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Белово\МУП Водоканал г. Белово 2026-2028\"/>
    </mc:Choice>
  </mc:AlternateContent>
  <xr:revisionPtr revIDLastSave="0" documentId="13_ncr:1_{D3A4CF2C-00E4-4BA8-A975-6F7DFE421EAE}" xr6:coauthVersionLast="47" xr6:coauthVersionMax="47" xr10:uidLastSave="{00000000-0000-0000-0000-000000000000}"/>
  <bookViews>
    <workbookView xWindow="-120" yWindow="-120" windowWidth="29040" windowHeight="15840" tabRatio="927" firstSheet="14" activeTab="28"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r:id="rId19"/>
    <sheet name="Административные" sheetId="20" r:id="rId20"/>
    <sheet name="Сбытовые расходы ГО" sheetId="21" r:id="rId21"/>
    <sheet name="Налоги" sheetId="22" r:id="rId22"/>
    <sheet name="ИП + источники" sheetId="23" state="hidden" r:id="rId23"/>
    <sheet name="Экономия_корр" sheetId="24" r:id="rId24"/>
    <sheet name="Плата за негативное возд" sheetId="25" state="hidden" r:id="rId25"/>
    <sheet name="Корректировка НВВ" sheetId="26" r:id="rId26"/>
    <sheet name="ТМ" sheetId="27" r:id="rId27"/>
    <sheet name="Калькуляция (МЭОР)" sheetId="28" state="hidden" r:id="rId28"/>
    <sheet name="Калькуляция (МИ)" sheetId="29" r:id="rId29"/>
    <sheet name="Калькуляция (МИ корр)" sheetId="30" state="hidden"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 name="Черновик 1" sheetId="45" r:id="rId45"/>
    <sheet name="Черновик 2" sheetId="46" r:id="rId46"/>
    <sheet name="Черновик 3" sheetId="47" r:id="rId47"/>
    <sheet name="Черновик 4" sheetId="48" r:id="rId48"/>
    <sheet name="Черновик 5" sheetId="49" r:id="rId49"/>
    <sheet name="Черновик 6" sheetId="50" r:id="rId50"/>
    <sheet name="Черновик 7" sheetId="51" r:id="rId51"/>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Административные!$AB$82</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(МИ)'!$AB$329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ЭЭ!$AE$25:$BB$74</definedName>
    <definedName name="Electricity_vis_flags">ЭЭ!$AI$2:$BB$2</definedName>
    <definedName name="entityName">'Общие сведения'!$AI$24</definedName>
    <definedName name="et_AdminExpenses_tariff">Административные!$32:$82</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ГО'!$60:$60</definedName>
    <definedName name="et_SalesExpensesGO_tariff">'Сбытовые расходы ГО'!$32:$58</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Административные!$AL$83</definedName>
    <definedName name="flag_end_AmorAnalog">'Амортизация (аналог)'!$AG$46</definedName>
    <definedName name="flag_end_Amortization">Амортизация!$BD$130</definedName>
    <definedName name="flag_end_Balance">Баланс!$BD$222</definedName>
    <definedName name="flag_end_CalcMeor">'Калькуляция (МЭОР)'!$AP$204</definedName>
    <definedName name="flag_end_CalcMiCorr">'Калькуляция (МИ корр)'!$BQ$320</definedName>
    <definedName name="flag_end_Calculation">'Калькуляция (МИ)'!$BQ$330</definedName>
    <definedName name="flag_end_Comments">Комментарии!$AC$34</definedName>
    <definedName name="flag_end_DPR">ДПР!$AL$137</definedName>
    <definedName name="flag_end_DPRConcessions">'ДПР (концессии)'!$AL$139</definedName>
    <definedName name="flag_end_Electricity">ЭЭ!$BD$86</definedName>
    <definedName name="flag_end_Explanations">Пояснения!$AE$27</definedName>
    <definedName name="flag_end_GeneralInfo">'Общие сведения'!$AF$223</definedName>
    <definedName name="flag_end_GO">ГО!$AF$210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объектов'!$AI$60</definedName>
    <definedName name="flag_end_Objects">'Перечень объектов'!$AK$65</definedName>
    <definedName name="flag_end_Purchase">Покупка!$BD$101</definedName>
    <definedName name="flag_end_Reagents">'Сырье и материалы'!$BD$49</definedName>
    <definedName name="flag_end_Rent">Аренда!$BD$52</definedName>
    <definedName name="flag_end_SalesExpensesGO">'Сбытовые расходы ГО'!$AL$59</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Налоги!$BD$76</definedName>
    <definedName name="flag_end_TerritoryList">'Список территорий'!$AH$33</definedName>
    <definedName name="flag_end_TM">ТМ!$FX$146</definedName>
    <definedName name="flag_end_uslmetr">'Условные метры'!$AQ$40</definedName>
    <definedName name="flag_end_WageFund">ФОТ!$AL$105</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(МЭОР)'!$AE$25:$AK$199</definedName>
    <definedName name="List15_LOAD_2">'Калькуляция (МЭОР)'!$AM$24:$AO$199</definedName>
    <definedName name="List15_pIns_comm">'Калькуляция (МЭОР)'!$AB$203</definedName>
    <definedName name="List15_vis_flags">'Калькуляция (МЭОР)'!$AE$17:$AL$17</definedName>
    <definedName name="List15_vis_flags2">'Калькуляция (МЭОР)'!$H$25:$H$199</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ЭЭ!$AB$74</definedName>
    <definedName name="pIns_Electricity_voltage">ЭЭ!$AC:$AC</definedName>
    <definedName name="pIns_Iika">ИИКА!$AB$37</definedName>
    <definedName name="pIns_InvestmentSources_tariff">'ИП + источники'!$AB$87</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(МЭОР)'!$AB$199</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материалы'!$AB$37</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Покупка!$AB$100</definedName>
    <definedName name="Purchase_vis_flags">Покупка!$AI$17:$BB$17</definedName>
    <definedName name="Reagents_LOAD_1">'Сырье и материалы'!$AE$25:$BB$37</definedName>
    <definedName name="Reagents_LOAD_2">'Сырье и материалы'!$BC$24:$BC$37</definedName>
    <definedName name="Reagents_pIns_comm">'Сырье и материалы'!$AB$48</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ГО'!$AB$58</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Налоги!$AB$75</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ФОТ!$AB$104</definedName>
    <definedName name="WageFund_vis_flags">ФОТ!$AE$17:$AJ$17</definedName>
    <definedName name="wsAdmins_json_coms">Административные!$AC$67:$AC$82</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Баланс!$AC$211:$AC$221</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ЭЭ!$AC$76:$AC$85</definedName>
    <definedName name="wsEe_preload">ЭЭ!$AE$28:$AH$74</definedName>
    <definedName name="wsEE_preload_coms">ЭЭ!$BC$28:$BC$74</definedName>
    <definedName name="wsEE_preload_full">ЭЭ!$AE$28:$BB$74</definedName>
    <definedName name="wsEE_preload_json">ЭЭ!$AE$28:$BC$74</definedName>
    <definedName name="wsGO_json_coms">ГО!$AC$207:$AC$209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(МЭОР)'!$AC$201:$AC$203</definedName>
    <definedName name="wsMeorCalc_preload">'Калькуляция (МЭОР)'!$AE$28:$AI$199</definedName>
    <definedName name="wsMeorCalc_preload_coms">'Калькуляция (МЭОР)'!$AM$28:$AO$199</definedName>
    <definedName name="wsMeorCalc_preload_full">'Калькуляция (МЭОР)'!$AE$28:$AL$199</definedName>
    <definedName name="wsMeorCalc_preload_json">'Калькуляция (МЭОР)'!$AE$28:$AO$199</definedName>
    <definedName name="wsMiCalc_json_coms">'Калькуляция (МИ)'!$AC$317:$AC$329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объектов'!$AH$28:$AH$60</definedName>
    <definedName name="wsObjects_json_coms">'Перечень объектов'!$AC$53:$AC$64</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Покупка!$AC$89:$AC$100</definedName>
    <definedName name="wsPurchase_preload">Покупка!$AE$28:$AH$87</definedName>
    <definedName name="wsPurchase_preload_coms">Покупка!$BC$28:$BC$87</definedName>
    <definedName name="wsPurchase_preload_full">Покупка!$AE$28:$BB$87</definedName>
    <definedName name="wsPurchase_preload_json">Покупка!$AE$28:$BC$87</definedName>
    <definedName name="wsReagents_json_coms">'Сырье и материалы'!$AC$39:$AC$48</definedName>
    <definedName name="wsReagents_preload">'Сырье и материалы'!$AE$28:$AH$36</definedName>
    <definedName name="wsReagents_preload_coms">'Сырье и материалы'!$BC$28:$BC$36</definedName>
    <definedName name="wsReagents_preload_full">'Сырье и материалы'!$AE$28:$BB$36</definedName>
    <definedName name="wsReagents_preload_json">'Сырье и материалы'!$AE$28:$BC$36</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ГО'!$AC$53:$AC$58</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Налоги!$AC$57:$AC$75</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ФОТ!$AC$91:$AC$104</definedName>
    <definedName name="wsWageFund_preload">ФОТ!$AE$28:$AH$89</definedName>
    <definedName name="wsWageFund_preload_coms">ФОТ!$AK$28:$AK$89</definedName>
    <definedName name="wsWageFund_preload_full">ФОТ!$AE$28:$AJ$89</definedName>
    <definedName name="wsWageFund_preload_json">ФОТ!$AE$28:$AK$89</definedName>
    <definedName name="XML_MR_MO_OKTMO_LIST_TAG_NAMES">TEHSHEET!$K$5:$K$11</definedName>
    <definedName name="YEAR_LIST">TEHSHEET!$Q$2:$Q$20</definedName>
    <definedName name="year_list2">TEHSHEET!$Q$11:$Q$20</definedName>
    <definedName name="YES_NO">TEHSHEET!$G$2:$G$3</definedName>
  </definedNames>
  <calcPr calcId="191029"/>
</workbook>
</file>

<file path=xl/calcChain.xml><?xml version="1.0" encoding="utf-8"?>
<calcChain xmlns="http://schemas.openxmlformats.org/spreadsheetml/2006/main">
  <c r="M8" i="42" l="1" a="1"/>
  <c r="M8" i="42" s="1"/>
  <c r="W32" i="35"/>
  <c r="T70" i="34"/>
  <c r="AF64" i="34"/>
  <c r="AE64" i="34"/>
  <c r="AC52" i="34"/>
  <c r="AC51" i="34"/>
  <c r="AF48" i="34"/>
  <c r="AE48" i="34"/>
  <c r="AE57" i="34" s="1"/>
  <c r="L48" i="34" a="1"/>
  <c r="L48" i="34" s="1"/>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F46" i="34" a="1"/>
  <c r="F46" i="34" s="1"/>
  <c r="F47" i="34" s="1" a="1"/>
  <c r="F47" i="34" s="1"/>
  <c r="F48" i="34" s="1" a="1"/>
  <c r="F48" i="34" s="1"/>
  <c r="AF45" i="34"/>
  <c r="AE45" i="34"/>
  <c r="AC33" i="34"/>
  <c r="AC32" i="34"/>
  <c r="AF29" i="34"/>
  <c r="AE29" i="34"/>
  <c r="AE38" i="34" s="1"/>
  <c r="T29" i="34"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M29" i="34" a="1"/>
  <c r="M29" i="34" s="1"/>
  <c r="L29" i="34" a="1"/>
  <c r="L29" i="34" s="1"/>
  <c r="T28" i="34" a="1"/>
  <c r="T28" i="34"/>
  <c r="T27" i="34"/>
  <c r="F27" i="34" a="1"/>
  <c r="F27" i="34"/>
  <c r="F28" i="34" s="1" a="1"/>
  <c r="F28" i="34" s="1"/>
  <c r="F29" i="34" s="1" a="1"/>
  <c r="F29" i="34" s="1"/>
  <c r="K29" i="34" s="1"/>
  <c r="AE24" i="34"/>
  <c r="AF9" i="34" a="1"/>
  <c r="AF9" i="34" s="1"/>
  <c r="AE9" i="34" a="1"/>
  <c r="AE9" i="34"/>
  <c r="AF7" i="34" a="1"/>
  <c r="AF7" i="34" s="1"/>
  <c r="AE7" i="34" a="1"/>
  <c r="AE7" i="34"/>
  <c r="AF6" i="34" a="1"/>
  <c r="AF6" i="34" s="1"/>
  <c r="AE6" i="34" a="1"/>
  <c r="AE6" i="34"/>
  <c r="T208" i="33"/>
  <c r="I203" i="33"/>
  <c r="AJ202" i="33" a="1"/>
  <c r="AJ202" i="33" s="1"/>
  <c r="AB202" i="33"/>
  <c r="I202" i="33" a="1"/>
  <c r="I202" i="33" s="1"/>
  <c r="AE201" i="33"/>
  <c r="AE193" i="33"/>
  <c r="AE181" i="33"/>
  <c r="AE168" i="33"/>
  <c r="AE167" i="33" s="1"/>
  <c r="I166" i="33"/>
  <c r="AJ165" i="33" a="1"/>
  <c r="AJ165" i="33"/>
  <c r="AB165" i="33"/>
  <c r="I165" i="33" a="1"/>
  <c r="I165" i="33"/>
  <c r="AE164" i="33"/>
  <c r="AE160" i="33"/>
  <c r="AE144" i="33" s="1"/>
  <c r="AE151" i="33"/>
  <c r="AE145" i="33"/>
  <c r="AE139" i="33"/>
  <c r="AE136" i="33"/>
  <c r="AE128" i="33"/>
  <c r="AE121" i="33"/>
  <c r="AE118" i="33"/>
  <c r="AE117" i="33"/>
  <c r="AE116" i="33" s="1"/>
  <c r="T116" i="33"/>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c r="AB113" i="33"/>
  <c r="I113" i="33" a="1"/>
  <c r="I113" i="33"/>
  <c r="AE112" i="33"/>
  <c r="AE104" i="33"/>
  <c r="AE92" i="33"/>
  <c r="AE79" i="33"/>
  <c r="I77" i="33"/>
  <c r="AJ76" i="33" a="1"/>
  <c r="AJ76" i="33"/>
  <c r="AB76" i="33"/>
  <c r="I76" i="33" a="1"/>
  <c r="I76" i="33"/>
  <c r="AE75" i="33"/>
  <c r="AE71" i="33"/>
  <c r="AE62" i="33"/>
  <c r="AE56" i="33"/>
  <c r="AE55" i="33"/>
  <c r="AE50" i="33"/>
  <c r="AE47" i="33" s="1"/>
  <c r="AE39" i="33"/>
  <c r="AE32" i="33"/>
  <c r="AE29" i="33" s="1"/>
  <c r="T28" i="33" a="1"/>
  <c r="T28" i="33"/>
  <c r="T29" i="33" s="1"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27" i="33"/>
  <c r="F27" i="33" a="1"/>
  <c r="F27" i="33"/>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c r="AE6" i="33"/>
  <c r="T137" i="32"/>
  <c r="G133" i="32"/>
  <c r="AN132" i="32" a="1"/>
  <c r="AN132" i="32" s="1"/>
  <c r="AB132" i="32"/>
  <c r="K132" i="32"/>
  <c r="B132" i="32"/>
  <c r="AN131" i="32"/>
  <c r="AB131" i="32"/>
  <c r="K131" i="32"/>
  <c r="AN131" i="32" s="1" a="1"/>
  <c r="B131" i="32"/>
  <c r="K130" i="32"/>
  <c r="AN130" i="32" s="1" a="1"/>
  <c r="AN130" i="32" s="1"/>
  <c r="AN129" i="32" a="1"/>
  <c r="AN129" i="32" s="1"/>
  <c r="K129" i="32"/>
  <c r="AB129" i="32" s="1"/>
  <c r="AB128" i="32"/>
  <c r="K128" i="32"/>
  <c r="AN128" i="32" s="1" a="1"/>
  <c r="AN128" i="32" s="1"/>
  <c r="B128" i="32"/>
  <c r="AN127" i="32"/>
  <c r="AB127" i="32"/>
  <c r="K127" i="32"/>
  <c r="AN127" i="32" s="1" a="1"/>
  <c r="B127" i="32"/>
  <c r="K126" i="32"/>
  <c r="AN126" i="32" s="1" a="1"/>
  <c r="AN126" i="32" s="1"/>
  <c r="AN125" i="32" a="1"/>
  <c r="AN125" i="32" s="1"/>
  <c r="K125" i="32"/>
  <c r="AB125" i="32" s="1"/>
  <c r="AB124" i="32"/>
  <c r="K124" i="32"/>
  <c r="AN124" i="32" s="1" a="1"/>
  <c r="AN124" i="32" s="1"/>
  <c r="B124" i="32"/>
  <c r="AN123" i="32"/>
  <c r="AB123" i="32"/>
  <c r="K123" i="32"/>
  <c r="AN123" i="32" s="1" a="1"/>
  <c r="B123" i="32"/>
  <c r="K122" i="32"/>
  <c r="AN122" i="32" s="1" a="1"/>
  <c r="AN122" i="32" s="1"/>
  <c r="AN121" i="32" a="1"/>
  <c r="AN121" i="32" s="1"/>
  <c r="AB121" i="32"/>
  <c r="K121" i="32"/>
  <c r="B121" i="32"/>
  <c r="AB120" i="32"/>
  <c r="K120" i="32"/>
  <c r="AN120" i="32" s="1" a="1"/>
  <c r="AN120" i="32" s="1"/>
  <c r="B120" i="32"/>
  <c r="K119" i="32"/>
  <c r="AN118" i="32" a="1"/>
  <c r="AN118" i="32" s="1"/>
  <c r="K118" i="32"/>
  <c r="AN117" i="32" a="1"/>
  <c r="AN117" i="32" s="1"/>
  <c r="AB117" i="32"/>
  <c r="K117" i="32"/>
  <c r="B117" i="32"/>
  <c r="K116" i="32"/>
  <c r="AB115" i="32"/>
  <c r="K115" i="32"/>
  <c r="AN115" i="32" s="1" a="1"/>
  <c r="AN115" i="32" s="1"/>
  <c r="B115" i="32"/>
  <c r="K114" i="32"/>
  <c r="AP113" i="32"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AN113" i="32" a="1"/>
  <c r="AN113" i="32" s="1"/>
  <c r="AB113" i="32"/>
  <c r="K113" i="32"/>
  <c r="B113" i="32"/>
  <c r="K112" i="32"/>
  <c r="AB111" i="32"/>
  <c r="K111" i="32"/>
  <c r="AN111" i="32" s="1" a="1"/>
  <c r="AN111" i="32" s="1"/>
  <c r="B111" i="32"/>
  <c r="K110" i="32"/>
  <c r="AN109" i="32" a="1"/>
  <c r="AN109" i="32" s="1"/>
  <c r="AB109" i="32"/>
  <c r="K109" i="32"/>
  <c r="B109" i="32"/>
  <c r="K108" i="32"/>
  <c r="AB107" i="32"/>
  <c r="K107" i="32"/>
  <c r="AN107" i="32" s="1" a="1"/>
  <c r="AN107" i="32" s="1"/>
  <c r="B107" i="32"/>
  <c r="K106" i="32"/>
  <c r="AN105" i="32" a="1"/>
  <c r="AN105" i="32" s="1"/>
  <c r="AB105" i="32"/>
  <c r="K105" i="32"/>
  <c r="B105" i="32"/>
  <c r="K104" i="32"/>
  <c r="AB103" i="32"/>
  <c r="K103" i="32"/>
  <c r="AN103" i="32" s="1" a="1"/>
  <c r="AN103" i="32" s="1"/>
  <c r="B103" i="32"/>
  <c r="K102" i="32"/>
  <c r="AB102" i="32" s="1"/>
  <c r="B102" i="32"/>
  <c r="K101" i="32"/>
  <c r="AN100" i="32" a="1"/>
  <c r="AN100" i="32" s="1"/>
  <c r="K100" i="32"/>
  <c r="AB100" i="32" s="1"/>
  <c r="AN99" i="32" a="1"/>
  <c r="AN99" i="32" s="1"/>
  <c r="AB99" i="32"/>
  <c r="K99" i="32"/>
  <c r="B99" i="32"/>
  <c r="AB98" i="32"/>
  <c r="K98" i="32"/>
  <c r="AN98" i="32" s="1" a="1"/>
  <c r="AN98" i="32" s="1"/>
  <c r="B98" i="32"/>
  <c r="K97" i="32"/>
  <c r="AN96" i="32" a="1"/>
  <c r="AN96" i="32" s="1"/>
  <c r="K96" i="32"/>
  <c r="AB96" i="32" s="1"/>
  <c r="AN95" i="32" a="1"/>
  <c r="AN95" i="32" s="1"/>
  <c r="AB95" i="32"/>
  <c r="K95" i="32"/>
  <c r="B95" i="32"/>
  <c r="AB94" i="32"/>
  <c r="K94" i="32"/>
  <c r="AN94" i="32" s="1" a="1"/>
  <c r="AN94" i="32" s="1"/>
  <c r="B94" i="32"/>
  <c r="K93" i="32"/>
  <c r="AN92" i="32" a="1"/>
  <c r="AN92" i="32" s="1"/>
  <c r="K92" i="32"/>
  <c r="AB92" i="32" s="1"/>
  <c r="AN91" i="32" a="1"/>
  <c r="AN91" i="32" s="1"/>
  <c r="AB91" i="32"/>
  <c r="K91" i="32"/>
  <c r="B91" i="32"/>
  <c r="AB90" i="32"/>
  <c r="K90" i="32"/>
  <c r="AN90" i="32" s="1" a="1"/>
  <c r="AN90" i="32" s="1"/>
  <c r="B90" i="32"/>
  <c r="K89" i="32"/>
  <c r="AN88" i="32" a="1"/>
  <c r="AN88" i="32" s="1"/>
  <c r="K88" i="32"/>
  <c r="AB88" i="32" s="1"/>
  <c r="AN87" i="32" a="1"/>
  <c r="AN87" i="32" s="1"/>
  <c r="AB87" i="32"/>
  <c r="K87" i="32"/>
  <c r="B87" i="32"/>
  <c r="AP86" i="32"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B86" i="32"/>
  <c r="K86" i="32"/>
  <c r="AN86" i="32" s="1" a="1"/>
  <c r="AN86" i="32" s="1"/>
  <c r="B86" i="32"/>
  <c r="K85" i="32"/>
  <c r="AN84" i="32" a="1"/>
  <c r="AN84" i="32" s="1"/>
  <c r="K84" i="32"/>
  <c r="AB84" i="32" s="1"/>
  <c r="AP83" i="32"/>
  <c r="AP84" i="32" s="1" a="1"/>
  <c r="AP84" i="32" s="1"/>
  <c r="AP85" i="32" s="1" a="1"/>
  <c r="AP85" i="32" s="1"/>
  <c r="AN83" i="32" a="1"/>
  <c r="AN83" i="32" s="1"/>
  <c r="K83" i="32" a="1"/>
  <c r="K83" i="32"/>
  <c r="AB83" i="32" s="1"/>
  <c r="B83" i="32"/>
  <c r="AP82" i="32" a="1"/>
  <c r="AP82" i="32" s="1"/>
  <c r="AP83" i="32" s="1" a="1"/>
  <c r="G82" i="32" a="1"/>
  <c r="G82" i="32" s="1"/>
  <c r="G83" i="32" s="1" a="1"/>
  <c r="G83" i="32" s="1"/>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T81" i="32"/>
  <c r="F81" i="32" a="1"/>
  <c r="F81" i="32" s="1"/>
  <c r="F82" i="32" s="1" a="1"/>
  <c r="F82" i="32" s="1"/>
  <c r="G80" i="32"/>
  <c r="AN79" i="32" a="1"/>
  <c r="AN79" i="32" s="1"/>
  <c r="AB79" i="32"/>
  <c r="K79" i="32"/>
  <c r="B79" i="32"/>
  <c r="AB78" i="32"/>
  <c r="K78" i="32"/>
  <c r="AN78" i="32" s="1" a="1"/>
  <c r="AN78" i="32" s="1"/>
  <c r="B78" i="32"/>
  <c r="K77" i="32"/>
  <c r="AN76" i="32" a="1"/>
  <c r="AN76" i="32" s="1"/>
  <c r="K76" i="32"/>
  <c r="AB76" i="32" s="1"/>
  <c r="AN75" i="32" a="1"/>
  <c r="AN75" i="32" s="1"/>
  <c r="AB75" i="32"/>
  <c r="K75" i="32"/>
  <c r="B75" i="32"/>
  <c r="AB74" i="32"/>
  <c r="K74" i="32"/>
  <c r="AN74" i="32" s="1" a="1"/>
  <c r="AN74" i="32" s="1"/>
  <c r="B74" i="32"/>
  <c r="K73" i="32"/>
  <c r="AN72" i="32" a="1"/>
  <c r="AN72" i="32" s="1"/>
  <c r="K72" i="32"/>
  <c r="AB72" i="32" s="1"/>
  <c r="AN71" i="32" a="1"/>
  <c r="AN71" i="32" s="1"/>
  <c r="AB71" i="32"/>
  <c r="K71" i="32"/>
  <c r="B71" i="32"/>
  <c r="AB70" i="32"/>
  <c r="K70" i="32"/>
  <c r="AN70" i="32" s="1" a="1"/>
  <c r="AN70" i="32" s="1"/>
  <c r="B70" i="32"/>
  <c r="K69" i="32"/>
  <c r="AN68" i="32" a="1"/>
  <c r="AN68" i="32" s="1"/>
  <c r="K68" i="32"/>
  <c r="AB68" i="32" s="1"/>
  <c r="AN67" i="32" a="1"/>
  <c r="AN67" i="32" s="1"/>
  <c r="AB67" i="32"/>
  <c r="K67" i="32"/>
  <c r="B67" i="32"/>
  <c r="AB66" i="32"/>
  <c r="K66" i="32"/>
  <c r="AN66" i="32" s="1" a="1"/>
  <c r="AN66" i="32" s="1"/>
  <c r="B66" i="32"/>
  <c r="AN65" i="32"/>
  <c r="AB65" i="32"/>
  <c r="K65" i="32"/>
  <c r="AN65" i="32" s="1" a="1"/>
  <c r="B65" i="32"/>
  <c r="K64" i="32"/>
  <c r="AN64" i="32" s="1" a="1"/>
  <c r="AN64" i="32" s="1"/>
  <c r="AN63" i="32" a="1"/>
  <c r="AN63" i="32" s="1"/>
  <c r="AB63" i="32"/>
  <c r="K63" i="32"/>
  <c r="B63" i="32"/>
  <c r="AB62" i="32"/>
  <c r="K62" i="32"/>
  <c r="AN62" i="32" s="1" a="1"/>
  <c r="AN62" i="32" s="1"/>
  <c r="B62" i="32"/>
  <c r="K61" i="32"/>
  <c r="AN60" i="32" a="1"/>
  <c r="AN60" i="32" s="1"/>
  <c r="K60" i="32"/>
  <c r="AN59" i="32" a="1"/>
  <c r="AN59" i="32" s="1"/>
  <c r="AB59" i="32"/>
  <c r="K59" i="32"/>
  <c r="B59" i="32"/>
  <c r="AP58" i="32"/>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AB58" i="32"/>
  <c r="K58" i="32"/>
  <c r="AN58" i="32" s="1" a="1"/>
  <c r="AN58" i="32" s="1"/>
  <c r="B58" i="32"/>
  <c r="AN57" i="32"/>
  <c r="AB57" i="32"/>
  <c r="K57" i="32"/>
  <c r="AN57" i="32" s="1" a="1"/>
  <c r="B57" i="32"/>
  <c r="K56" i="32"/>
  <c r="AN56" i="32" s="1" a="1"/>
  <c r="AN56" i="32" s="1"/>
  <c r="AN55" i="32" a="1"/>
  <c r="AN55" i="32" s="1"/>
  <c r="AB55" i="32"/>
  <c r="K55" i="32"/>
  <c r="B55" i="32"/>
  <c r="K54" i="32"/>
  <c r="AB53" i="32"/>
  <c r="K53" i="32"/>
  <c r="AN53" i="32" s="1" a="1"/>
  <c r="AN53" i="32" s="1"/>
  <c r="B53" i="32"/>
  <c r="K52" i="32"/>
  <c r="AN51" i="32" a="1"/>
  <c r="AN51" i="32" s="1"/>
  <c r="AB51" i="32"/>
  <c r="K51" i="32"/>
  <c r="B51" i="32"/>
  <c r="K50" i="32"/>
  <c r="AB49" i="32"/>
  <c r="K49" i="32"/>
  <c r="AN49" i="32" s="1" a="1"/>
  <c r="AN49" i="32" s="1"/>
  <c r="B49" i="32"/>
  <c r="K48" i="32"/>
  <c r="AP47" i="32"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N47" i="32" a="1"/>
  <c r="AN47" i="32" s="1"/>
  <c r="AB47" i="32"/>
  <c r="K47" i="32"/>
  <c r="B47" i="32"/>
  <c r="K46" i="32"/>
  <c r="AB45" i="32"/>
  <c r="K45" i="32"/>
  <c r="AN45" i="32" s="1" a="1"/>
  <c r="AN45" i="32" s="1"/>
  <c r="B45" i="32"/>
  <c r="K44" i="32"/>
  <c r="AN43" i="32" a="1"/>
  <c r="AN43" i="32" s="1"/>
  <c r="AB43" i="32"/>
  <c r="K43" i="32"/>
  <c r="B43" i="32"/>
  <c r="K42" i="32"/>
  <c r="AB41" i="32"/>
  <c r="K41" i="32"/>
  <c r="AN41" i="32" s="1" a="1"/>
  <c r="AN41" i="32" s="1"/>
  <c r="B41" i="32"/>
  <c r="K40" i="32"/>
  <c r="AN39" i="32" a="1"/>
  <c r="AN39" i="32" s="1"/>
  <c r="AB39" i="32"/>
  <c r="K39" i="32"/>
  <c r="B39" i="32"/>
  <c r="K38" i="32"/>
  <c r="AB37" i="32"/>
  <c r="K37" i="32"/>
  <c r="AN37" i="32" s="1" a="1"/>
  <c r="AN37" i="32" s="1"/>
  <c r="B37" i="32"/>
  <c r="K36" i="32"/>
  <c r="AN35" i="32" a="1"/>
  <c r="AN35" i="32" s="1"/>
  <c r="AB35" i="32"/>
  <c r="K35" i="32"/>
  <c r="B35" i="32"/>
  <c r="K34" i="32"/>
  <c r="AB33" i="32"/>
  <c r="K33" i="32"/>
  <c r="AN33" i="32" s="1" a="1"/>
  <c r="AN33" i="32" s="1"/>
  <c r="B33" i="32"/>
  <c r="K32" i="32"/>
  <c r="AP31" i="32" a="1"/>
  <c r="AP31" i="32" s="1"/>
  <c r="AP32" i="32" s="1" a="1"/>
  <c r="AP32" i="32" s="1"/>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N31" i="32" a="1"/>
  <c r="AN31" i="32" s="1"/>
  <c r="AB31" i="32"/>
  <c r="K31" i="32"/>
  <c r="B31" i="32"/>
  <c r="K30" i="32" a="1"/>
  <c r="K30" i="32" s="1"/>
  <c r="G30" i="32"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AP29" i="32" a="1"/>
  <c r="AP29" i="32"/>
  <c r="AP30" i="32" s="1" a="1"/>
  <c r="AP30" i="32" s="1"/>
  <c r="G29" i="32" a="1"/>
  <c r="G29" i="32" s="1"/>
  <c r="T28" i="32"/>
  <c r="F28" i="32" a="1"/>
  <c r="F28" i="32" s="1"/>
  <c r="F29" i="32" s="1" a="1"/>
  <c r="F29" i="32" s="1"/>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AK2" i="32"/>
  <c r="AJ2" i="32"/>
  <c r="AI2" i="32"/>
  <c r="AH2" i="32"/>
  <c r="AG2" i="32"/>
  <c r="T135" i="31"/>
  <c r="AB131" i="31"/>
  <c r="K131" i="31"/>
  <c r="K130" i="31"/>
  <c r="AO130" i="31" s="1" a="1"/>
  <c r="AO130" i="31" s="1"/>
  <c r="K129" i="31"/>
  <c r="AO128" i="31" a="1"/>
  <c r="AO128" i="31" s="1"/>
  <c r="AB128" i="31"/>
  <c r="K128" i="31"/>
  <c r="B128" i="31"/>
  <c r="AB127" i="31"/>
  <c r="K127" i="31"/>
  <c r="K126" i="31"/>
  <c r="AO126" i="31" s="1" a="1"/>
  <c r="AO126" i="31" s="1"/>
  <c r="K125" i="31"/>
  <c r="AO124" i="31" a="1"/>
  <c r="AO124" i="31" s="1"/>
  <c r="AB124" i="31"/>
  <c r="K124" i="31"/>
  <c r="B124" i="31"/>
  <c r="AB123" i="31"/>
  <c r="K123" i="31"/>
  <c r="K122" i="31"/>
  <c r="AO122" i="31" s="1" a="1"/>
  <c r="AO122" i="31" s="1"/>
  <c r="K121" i="31"/>
  <c r="AO120" i="31" a="1"/>
  <c r="AO120" i="31" s="1"/>
  <c r="AB120" i="31"/>
  <c r="K120" i="31"/>
  <c r="B120" i="31"/>
  <c r="AB119" i="31"/>
  <c r="K119" i="31"/>
  <c r="K118" i="31"/>
  <c r="AO118" i="31" s="1" a="1"/>
  <c r="AO118" i="31" s="1"/>
  <c r="K117" i="31"/>
  <c r="AO116" i="31" a="1"/>
  <c r="AO116" i="31" s="1"/>
  <c r="AB116" i="31"/>
  <c r="K116" i="31"/>
  <c r="B116" i="31"/>
  <c r="AB115" i="31"/>
  <c r="K115" i="31"/>
  <c r="K114" i="31"/>
  <c r="AO114" i="31" s="1" a="1"/>
  <c r="AO114" i="31" s="1"/>
  <c r="K113" i="31"/>
  <c r="AO112" i="31" a="1"/>
  <c r="AO112" i="31" s="1"/>
  <c r="AB112" i="31"/>
  <c r="K112" i="31"/>
  <c r="B112" i="31"/>
  <c r="AB111" i="31"/>
  <c r="K111" i="31"/>
  <c r="AO110" i="31"/>
  <c r="K110" i="31"/>
  <c r="AO110" i="31" s="1" a="1"/>
  <c r="AO109" i="31" a="1"/>
  <c r="AO109" i="31" s="1"/>
  <c r="K109" i="31"/>
  <c r="AB109" i="31" s="1"/>
  <c r="B109" i="31"/>
  <c r="AO108" i="31" a="1"/>
  <c r="AO108" i="31" s="1"/>
  <c r="AB108" i="31"/>
  <c r="K108" i="31"/>
  <c r="B108" i="31"/>
  <c r="AB107" i="31"/>
  <c r="K107" i="31"/>
  <c r="AO106" i="31" a="1"/>
  <c r="AO106" i="31" s="1"/>
  <c r="K106" i="31"/>
  <c r="AO105" i="31" a="1"/>
  <c r="AO105" i="31" s="1"/>
  <c r="K105" i="31"/>
  <c r="AO104" i="31" a="1"/>
  <c r="AO104" i="31" s="1"/>
  <c r="AB104" i="31"/>
  <c r="K104" i="31"/>
  <c r="B104" i="31"/>
  <c r="K103" i="31"/>
  <c r="K102" i="31"/>
  <c r="AO102" i="31" s="1" a="1"/>
  <c r="AO102" i="31" s="1"/>
  <c r="AO101" i="31" a="1"/>
  <c r="AO101" i="31"/>
  <c r="K101" i="31"/>
  <c r="AB101" i="31" s="1"/>
  <c r="B101" i="31"/>
  <c r="AO100" i="31" a="1"/>
  <c r="AO100" i="31" s="1"/>
  <c r="AB100" i="31"/>
  <c r="T100" i="3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100" i="31"/>
  <c r="B100" i="31"/>
  <c r="K99" i="31"/>
  <c r="K98" i="31"/>
  <c r="AO97" i="31" a="1"/>
  <c r="AO97" i="31"/>
  <c r="K97" i="31"/>
  <c r="AB97" i="31" s="1"/>
  <c r="B97" i="31"/>
  <c r="AO96" i="31" a="1"/>
  <c r="AO96" i="31" s="1"/>
  <c r="AB96" i="31"/>
  <c r="K96" i="31"/>
  <c r="B96" i="31"/>
  <c r="AB95" i="31"/>
  <c r="K95" i="31"/>
  <c r="AO94" i="31" a="1"/>
  <c r="AO94" i="31" s="1"/>
  <c r="K94" i="31"/>
  <c r="K93" i="31"/>
  <c r="AO92" i="31" a="1"/>
  <c r="AO92" i="31" s="1"/>
  <c r="AB92" i="31"/>
  <c r="K92" i="31"/>
  <c r="B92" i="31"/>
  <c r="K91" i="31"/>
  <c r="K90" i="31"/>
  <c r="AO90" i="31" s="1" a="1"/>
  <c r="AO90" i="31" s="1"/>
  <c r="B90" i="31"/>
  <c r="AO89" i="31" a="1"/>
  <c r="AO89" i="31" s="1"/>
  <c r="K89" i="31"/>
  <c r="K88" i="31"/>
  <c r="B88" i="31"/>
  <c r="K87" i="31"/>
  <c r="AO86" i="31" a="1"/>
  <c r="AO86" i="31" s="1"/>
  <c r="K86" i="31"/>
  <c r="B86" i="31"/>
  <c r="AB85" i="31"/>
  <c r="K85" i="31"/>
  <c r="AO84" i="31" a="1"/>
  <c r="AO84" i="31"/>
  <c r="AB84" i="31"/>
  <c r="K84" i="31"/>
  <c r="AB83" i="31"/>
  <c r="K83" i="31"/>
  <c r="B83" i="3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K82" i="31" a="1"/>
  <c r="K82" i="31" s="1"/>
  <c r="T81" i="31"/>
  <c r="F81" i="31" a="1"/>
  <c r="F81" i="31" s="1"/>
  <c r="F82" i="31" s="1" a="1"/>
  <c r="F82" i="31" s="1"/>
  <c r="AB80" i="31"/>
  <c r="K80" i="31"/>
  <c r="AO80" i="31" s="1" a="1"/>
  <c r="AO80" i="31" s="1"/>
  <c r="AB79" i="31"/>
  <c r="K79" i="31"/>
  <c r="K78" i="31"/>
  <c r="AO77" i="31" a="1"/>
  <c r="AO77" i="31" s="1"/>
  <c r="K77" i="31"/>
  <c r="AB77" i="31" s="1"/>
  <c r="B77" i="31"/>
  <c r="AB76" i="31"/>
  <c r="K76" i="31"/>
  <c r="AO76" i="31" s="1" a="1"/>
  <c r="AO76" i="31" s="1"/>
  <c r="AB75" i="31"/>
  <c r="K75" i="31"/>
  <c r="K74" i="31"/>
  <c r="AO73" i="31" a="1"/>
  <c r="AO73" i="31" s="1"/>
  <c r="K73" i="31"/>
  <c r="AB73" i="31" s="1"/>
  <c r="B73" i="31"/>
  <c r="AB72" i="31"/>
  <c r="K72" i="31"/>
  <c r="AO72" i="31" s="1" a="1"/>
  <c r="AO72" i="31" s="1"/>
  <c r="AB71" i="31"/>
  <c r="K71" i="31"/>
  <c r="K70" i="31"/>
  <c r="AO69" i="31" a="1"/>
  <c r="AO69" i="31" s="1"/>
  <c r="K69" i="31"/>
  <c r="AB69" i="31" s="1"/>
  <c r="B69" i="31"/>
  <c r="AB68" i="31"/>
  <c r="K68" i="31"/>
  <c r="AO68" i="31" s="1" a="1"/>
  <c r="AO68" i="31" s="1"/>
  <c r="AB67" i="31"/>
  <c r="K67" i="31"/>
  <c r="K66" i="31"/>
  <c r="AO65" i="31" a="1"/>
  <c r="AO65" i="31" s="1"/>
  <c r="K65" i="31"/>
  <c r="AB65" i="31" s="1"/>
  <c r="B65" i="31"/>
  <c r="AB64" i="31"/>
  <c r="K64" i="31"/>
  <c r="AO64" i="31" s="1" a="1"/>
  <c r="AO64" i="31" s="1"/>
  <c r="AB63" i="31"/>
  <c r="K63" i="31"/>
  <c r="K62" i="31"/>
  <c r="AO61" i="31" a="1"/>
  <c r="AO61" i="31" s="1"/>
  <c r="K61" i="31"/>
  <c r="AB61" i="31" s="1"/>
  <c r="B61" i="31"/>
  <c r="AB60" i="31"/>
  <c r="K60" i="31"/>
  <c r="AO60" i="31" s="1" a="1"/>
  <c r="AO60" i="31" s="1"/>
  <c r="AB59" i="31"/>
  <c r="K59" i="31"/>
  <c r="K58" i="31"/>
  <c r="AO57" i="31" a="1"/>
  <c r="AO57" i="31" s="1"/>
  <c r="K57" i="31"/>
  <c r="AB57" i="31" s="1"/>
  <c r="B57" i="31"/>
  <c r="AB56" i="31"/>
  <c r="K56" i="31"/>
  <c r="AO56" i="31" s="1" a="1"/>
  <c r="AO56" i="31" s="1"/>
  <c r="AB55" i="31"/>
  <c r="K55" i="31"/>
  <c r="K54" i="31"/>
  <c r="AO53" i="31" a="1"/>
  <c r="AO53" i="31" s="1"/>
  <c r="K53" i="31"/>
  <c r="AB53" i="31" s="1"/>
  <c r="B53" i="31"/>
  <c r="AB52" i="31"/>
  <c r="K52" i="31"/>
  <c r="AO52" i="31" s="1" a="1"/>
  <c r="AO52" i="31" s="1"/>
  <c r="AB51" i="31"/>
  <c r="K51" i="31"/>
  <c r="K50" i="31"/>
  <c r="AO49" i="31" a="1"/>
  <c r="AO49" i="31" s="1"/>
  <c r="K49" i="31"/>
  <c r="AB49" i="31" s="1"/>
  <c r="B49" i="31"/>
  <c r="AB48" i="31"/>
  <c r="K48" i="31"/>
  <c r="AO48" i="31" s="1" a="1"/>
  <c r="AO48" i="31" s="1"/>
  <c r="AB47" i="31"/>
  <c r="K47" i="31"/>
  <c r="K46" i="31"/>
  <c r="AO45" i="31" a="1"/>
  <c r="AO45" i="31" s="1"/>
  <c r="K45" i="31"/>
  <c r="AB45" i="31" s="1"/>
  <c r="B45" i="31"/>
  <c r="AO44" i="31" a="1"/>
  <c r="AO44" i="31" s="1"/>
  <c r="AB44" i="31"/>
  <c r="K44" i="31"/>
  <c r="B44" i="31"/>
  <c r="AB43" i="31"/>
  <c r="K43" i="31"/>
  <c r="K42" i="31"/>
  <c r="AB42" i="31" s="1"/>
  <c r="AO41" i="31" a="1"/>
  <c r="AO41" i="31" s="1"/>
  <c r="K41" i="31"/>
  <c r="AB41" i="31" s="1"/>
  <c r="B41" i="31"/>
  <c r="K40" i="31"/>
  <c r="AO40" i="31" s="1" a="1"/>
  <c r="AO40" i="31" s="1"/>
  <c r="B40" i="31"/>
  <c r="T39" i="3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39" i="31"/>
  <c r="AO39" i="31" s="1" a="1"/>
  <c r="AO39" i="31" s="1"/>
  <c r="B39" i="31"/>
  <c r="T38" i="31" a="1"/>
  <c r="T38" i="31" s="1"/>
  <c r="T39" i="31" s="1" a="1"/>
  <c r="K38" i="31"/>
  <c r="AO38" i="31" s="1" a="1"/>
  <c r="AO38" i="31" s="1"/>
  <c r="B38" i="31"/>
  <c r="K37" i="31"/>
  <c r="AO37" i="31" s="1" a="1"/>
  <c r="AO37" i="31" s="1"/>
  <c r="B37" i="31"/>
  <c r="K36" i="31"/>
  <c r="AO36" i="31" s="1" a="1"/>
  <c r="AO36" i="31" s="1"/>
  <c r="B36" i="31"/>
  <c r="T35" i="31"/>
  <c r="T36" i="31" s="1" a="1"/>
  <c r="T36" i="31" s="1"/>
  <c r="T37" i="31" s="1" a="1"/>
  <c r="T37" i="31" s="1"/>
  <c r="K35" i="31"/>
  <c r="AO35" i="31" s="1" a="1"/>
  <c r="AO35" i="31" s="1"/>
  <c r="B35" i="31"/>
  <c r="K34" i="31"/>
  <c r="K33" i="31"/>
  <c r="AO32" i="31"/>
  <c r="AB32" i="31"/>
  <c r="K32" i="31"/>
  <c r="AO32" i="31" s="1" a="1"/>
  <c r="B32" i="31"/>
  <c r="T31" i="31" a="1"/>
  <c r="T31" i="31" s="1"/>
  <c r="T32" i="31" s="1" a="1"/>
  <c r="T32" i="31" s="1"/>
  <c r="T33" i="31" s="1" a="1"/>
  <c r="T33" i="31" s="1"/>
  <c r="T34" i="31" s="1" a="1"/>
  <c r="T34" i="31" s="1"/>
  <c r="T35" i="31" s="1" a="1"/>
  <c r="K31" i="31" a="1"/>
  <c r="K31" i="31" s="1"/>
  <c r="B31" i="31"/>
  <c r="T30" i="31"/>
  <c r="F30" i="31" a="1"/>
  <c r="F30" i="31" s="1"/>
  <c r="F31" i="31" s="1" a="1"/>
  <c r="F31" i="31" s="1"/>
  <c r="F32" i="31" s="1" a="1"/>
  <c r="F32" i="31" s="1"/>
  <c r="AK2" i="31"/>
  <c r="AJ2" i="31"/>
  <c r="AI2" i="31"/>
  <c r="AH2" i="31"/>
  <c r="AG2" i="31"/>
  <c r="T318" i="30"/>
  <c r="AH314" i="30"/>
  <c r="AH313" i="30"/>
  <c r="AH312" i="30"/>
  <c r="AT303" i="30"/>
  <c r="AS303" i="30"/>
  <c r="AR303" i="30"/>
  <c r="AQ303" i="30"/>
  <c r="AP303" i="30"/>
  <c r="AO303" i="30"/>
  <c r="AN303" i="30"/>
  <c r="AM303" i="30"/>
  <c r="AL303" i="30"/>
  <c r="AK303" i="30"/>
  <c r="AJ303" i="30"/>
  <c r="AI303" i="30"/>
  <c r="AG303" i="30"/>
  <c r="AF303" i="30"/>
  <c r="AE303" i="30"/>
  <c r="AH300" i="30"/>
  <c r="AH297" i="30"/>
  <c r="B297" i="30"/>
  <c r="AH296" i="30"/>
  <c r="B296" i="30"/>
  <c r="AH292" i="30"/>
  <c r="AH291" i="30"/>
  <c r="AH290" i="30"/>
  <c r="AH289" i="30"/>
  <c r="AH288" i="30"/>
  <c r="BL287" i="30"/>
  <c r="BH287" i="30"/>
  <c r="BD287" i="30"/>
  <c r="BC287" i="30"/>
  <c r="BB287" i="30"/>
  <c r="BM287" i="30" s="1"/>
  <c r="BA287" i="30"/>
  <c r="AZ287" i="30"/>
  <c r="BK287" i="30" s="1"/>
  <c r="AY287" i="30"/>
  <c r="BJ287" i="30" s="1"/>
  <c r="AX287" i="30"/>
  <c r="BI287" i="30" s="1"/>
  <c r="AW287" i="30"/>
  <c r="AV287" i="30"/>
  <c r="BG287" i="30" s="1"/>
  <c r="AU287" i="30"/>
  <c r="BF287" i="30" s="1"/>
  <c r="AS287" i="30"/>
  <c r="AR287" i="30"/>
  <c r="AQ287" i="30"/>
  <c r="AP287" i="30"/>
  <c r="AO287" i="30"/>
  <c r="AN287" i="30"/>
  <c r="AM287" i="30"/>
  <c r="AL287" i="30"/>
  <c r="AK287" i="30"/>
  <c r="AI287" i="30"/>
  <c r="AG287" i="30"/>
  <c r="AF287" i="30"/>
  <c r="AH287" i="30" s="1"/>
  <c r="AE287" i="30"/>
  <c r="AH286" i="30"/>
  <c r="AH285" i="30"/>
  <c r="AH284" i="30"/>
  <c r="AH283" i="30"/>
  <c r="AH282" i="30"/>
  <c r="AH281" i="30"/>
  <c r="BM279" i="30"/>
  <c r="BL279" i="30"/>
  <c r="BK279" i="30"/>
  <c r="BJ279" i="30"/>
  <c r="BI279" i="30"/>
  <c r="BH279" i="30"/>
  <c r="BG279" i="30"/>
  <c r="BF279" i="30"/>
  <c r="BD279" i="30"/>
  <c r="AH279" i="30"/>
  <c r="BM270" i="30"/>
  <c r="BL270" i="30"/>
  <c r="BK270" i="30"/>
  <c r="BJ270" i="30"/>
  <c r="BI270" i="30"/>
  <c r="BH270" i="30"/>
  <c r="BG270" i="30"/>
  <c r="BF270" i="30"/>
  <c r="BE270" i="30"/>
  <c r="BD270" i="30"/>
  <c r="AH270" i="30"/>
  <c r="BM267" i="30"/>
  <c r="BL267" i="30"/>
  <c r="BK267" i="30"/>
  <c r="BJ267" i="30"/>
  <c r="BI267" i="30"/>
  <c r="BH267" i="30"/>
  <c r="BG267" i="30"/>
  <c r="BF267" i="30"/>
  <c r="BE267" i="30"/>
  <c r="BD267" i="30"/>
  <c r="AH267" i="30"/>
  <c r="B267" i="30"/>
  <c r="B268" i="30" s="1" a="1"/>
  <c r="B268" i="30" s="1"/>
  <c r="B269" i="30" s="1"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59" i="30"/>
  <c r="B260" i="30" s="1" a="1"/>
  <c r="B260" i="30" s="1"/>
  <c r="B261" i="30" s="1" a="1"/>
  <c r="B261" i="30" s="1"/>
  <c r="B262" i="30" s="1" a="1"/>
  <c r="B262" i="30" s="1"/>
  <c r="B263" i="30" s="1" a="1"/>
  <c r="B263" i="30" s="1"/>
  <c r="B264" i="30" s="1" a="1"/>
  <c r="B264" i="30" s="1"/>
  <c r="B265" i="30" s="1" a="1"/>
  <c r="B265" i="30" s="1"/>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M254" i="30"/>
  <c r="BL254" i="30"/>
  <c r="BK254" i="30"/>
  <c r="BI254" i="30"/>
  <c r="BH254" i="30"/>
  <c r="BE254" i="30"/>
  <c r="BC254" i="30"/>
  <c r="BB254" i="30"/>
  <c r="BA254" i="30"/>
  <c r="AZ254" i="30"/>
  <c r="AY254" i="30"/>
  <c r="BJ254" i="30" s="1"/>
  <c r="AX254" i="30"/>
  <c r="AW254" i="30"/>
  <c r="AV254" i="30"/>
  <c r="BG254" i="30" s="1"/>
  <c r="AU254" i="30"/>
  <c r="BF254" i="30" s="1"/>
  <c r="AT254" i="30"/>
  <c r="AS254" i="30"/>
  <c r="AR254" i="30"/>
  <c r="AQ254" i="30"/>
  <c r="AP254" i="30"/>
  <c r="AO254" i="30"/>
  <c r="AN254" i="30"/>
  <c r="AM254" i="30"/>
  <c r="AL254" i="30"/>
  <c r="AK254" i="30"/>
  <c r="AJ254" i="30"/>
  <c r="AI254" i="30"/>
  <c r="BD254" i="30" s="1"/>
  <c r="AG254" i="30"/>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AH220" i="30"/>
  <c r="AB220" i="30"/>
  <c r="J220" i="30" a="1"/>
  <c r="J220" i="30"/>
  <c r="AI219" i="30"/>
  <c r="AG219" i="30"/>
  <c r="AH219" i="30" s="1"/>
  <c r="AF219" i="30"/>
  <c r="AE219" i="30"/>
  <c r="AH218" i="30"/>
  <c r="AH217" i="30"/>
  <c r="B217" i="30"/>
  <c r="AH216" i="30"/>
  <c r="AH215" i="30"/>
  <c r="AH214" i="30"/>
  <c r="AI213" i="30"/>
  <c r="AG213" i="30"/>
  <c r="AH213" i="30" s="1"/>
  <c r="AF213" i="30"/>
  <c r="AE213" i="30"/>
  <c r="AH212" i="30"/>
  <c r="AH211" i="30"/>
  <c r="AH210" i="30"/>
  <c r="AH209" i="30"/>
  <c r="AH207" i="30"/>
  <c r="AH205" i="30"/>
  <c r="AH204" i="30"/>
  <c r="AH203" i="30"/>
  <c r="AH202" i="30"/>
  <c r="AH201" i="30"/>
  <c r="AH200" i="30"/>
  <c r="AH199" i="30"/>
  <c r="AI198" i="30"/>
  <c r="AG198" i="30"/>
  <c r="AF198" i="30"/>
  <c r="AE198" i="30"/>
  <c r="AH195" i="30"/>
  <c r="AH194" i="30"/>
  <c r="AH193" i="30"/>
  <c r="AH192" i="30"/>
  <c r="AI191" i="30"/>
  <c r="AG191" i="30"/>
  <c r="AH191" i="30" s="1"/>
  <c r="AF191" i="30"/>
  <c r="AE191" i="30"/>
  <c r="AH190" i="30"/>
  <c r="AH189" i="30"/>
  <c r="AH188" i="30"/>
  <c r="AH187" i="30"/>
  <c r="AH186" i="30"/>
  <c r="AH185" i="30"/>
  <c r="AH184" i="30"/>
  <c r="AI183" i="30"/>
  <c r="AG183" i="30"/>
  <c r="AH183" i="30" s="1"/>
  <c r="AF183" i="30"/>
  <c r="AE183" i="30"/>
  <c r="AH182" i="30"/>
  <c r="AH180" i="30"/>
  <c r="AH178" i="30"/>
  <c r="AH177" i="30"/>
  <c r="AH176" i="30"/>
  <c r="AI175" i="30"/>
  <c r="AH175" i="30"/>
  <c r="AG175" i="30"/>
  <c r="AF175" i="30"/>
  <c r="AE175" i="30"/>
  <c r="AH173"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s="1"/>
  <c r="B284" i="30" s="1"/>
  <c r="B285" i="30" s="1" a="1"/>
  <c r="B285"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H143" i="30"/>
  <c r="BD143" i="30"/>
  <c r="BC143" i="30"/>
  <c r="BB143" i="30"/>
  <c r="BM143" i="30" s="1"/>
  <c r="BA143" i="30"/>
  <c r="AZ143" i="30"/>
  <c r="BK143" i="30" s="1"/>
  <c r="AY143" i="30"/>
  <c r="BJ143" i="30" s="1"/>
  <c r="AX143" i="30"/>
  <c r="BI143" i="30" s="1"/>
  <c r="AW143" i="30"/>
  <c r="AV143" i="30"/>
  <c r="BG143" i="30" s="1"/>
  <c r="AU143" i="30"/>
  <c r="BF143" i="30" s="1"/>
  <c r="AS143" i="30"/>
  <c r="AR143" i="30"/>
  <c r="AQ143" i="30"/>
  <c r="AP143" i="30"/>
  <c r="AO143" i="30"/>
  <c r="AN143" i="30"/>
  <c r="AM143" i="30"/>
  <c r="AL143" i="30"/>
  <c r="AK143" i="30"/>
  <c r="AI143" i="30"/>
  <c r="AG143" i="30"/>
  <c r="AF143" i="30"/>
  <c r="AH143" i="30" s="1"/>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5" i="30"/>
  <c r="B116" i="30" s="1" a="1"/>
  <c r="B116" i="30" s="1"/>
  <c r="B117" i="30" s="1" a="1"/>
  <c r="B117" i="30" s="1"/>
  <c r="B118" i="30" s="1" a="1"/>
  <c r="B118" i="30" s="1"/>
  <c r="B119" i="30" s="1" a="1"/>
  <c r="B119" i="30" s="1"/>
  <c r="B120" i="30" s="1" a="1"/>
  <c r="B120" i="30" s="1"/>
  <c r="B121" i="30" s="1" a="1"/>
  <c r="B121"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K110" i="30"/>
  <c r="BI110" i="30"/>
  <c r="BG110" i="30"/>
  <c r="BE110" i="30"/>
  <c r="BC110" i="30"/>
  <c r="BB110" i="30"/>
  <c r="BA110" i="30"/>
  <c r="BL110" i="30" s="1"/>
  <c r="AZ110" i="30"/>
  <c r="AY110" i="30"/>
  <c r="BJ110" i="30" s="1"/>
  <c r="AX110" i="30"/>
  <c r="AW110" i="30"/>
  <c r="BH110" i="30" s="1"/>
  <c r="AV110" i="30"/>
  <c r="AU110" i="30"/>
  <c r="BF110" i="30" s="1"/>
  <c r="AT110" i="30"/>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G75" i="30"/>
  <c r="AH75" i="30" s="1"/>
  <c r="AF75" i="30"/>
  <c r="AE75" i="30"/>
  <c r="AH74" i="30"/>
  <c r="AH73" i="30"/>
  <c r="B73" i="30"/>
  <c r="AH72" i="30"/>
  <c r="AH71" i="30"/>
  <c r="AH70" i="30"/>
  <c r="AI69" i="30"/>
  <c r="AH69" i="30"/>
  <c r="AG69" i="30"/>
  <c r="AF69" i="30"/>
  <c r="AE69" i="30"/>
  <c r="AH68" i="30"/>
  <c r="AH67" i="30"/>
  <c r="AH66" i="30"/>
  <c r="AH65" i="30"/>
  <c r="AH63" i="30"/>
  <c r="AH61" i="30"/>
  <c r="AH60" i="30"/>
  <c r="AH59" i="30"/>
  <c r="AH58" i="30"/>
  <c r="AH57" i="30"/>
  <c r="AH56" i="30"/>
  <c r="AH55" i="30"/>
  <c r="AI54" i="30"/>
  <c r="AG54" i="30"/>
  <c r="AF54" i="30"/>
  <c r="AH54" i="30" s="1"/>
  <c r="AE54" i="30"/>
  <c r="AH51" i="30"/>
  <c r="AH50" i="30"/>
  <c r="AH49" i="30"/>
  <c r="AH48" i="30"/>
  <c r="AI47" i="30"/>
  <c r="AG47" i="30"/>
  <c r="AH47" i="30" s="1"/>
  <c r="AF47" i="30"/>
  <c r="AE47" i="30"/>
  <c r="AH46" i="30"/>
  <c r="AH45" i="30"/>
  <c r="AH44" i="30"/>
  <c r="AH43" i="30"/>
  <c r="AH42" i="30"/>
  <c r="AH41" i="30"/>
  <c r="AH40" i="30"/>
  <c r="AI39" i="30"/>
  <c r="AG39" i="30"/>
  <c r="AH39" i="30" s="1"/>
  <c r="AF39" i="30"/>
  <c r="AE39" i="30"/>
  <c r="AH38" i="30"/>
  <c r="AH36" i="30"/>
  <c r="AH34" i="30"/>
  <c r="AH33" i="30"/>
  <c r="AH32" i="30"/>
  <c r="AI31" i="30"/>
  <c r="AH31" i="30"/>
  <c r="AG31" i="30"/>
  <c r="AF31" i="30"/>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B140" i="30" s="1"/>
  <c r="B141" i="30" s="1" a="1"/>
  <c r="B141" i="30" s="1"/>
  <c r="F27" i="30" a="1"/>
  <c r="F27" i="30" s="1"/>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c r="BN13" i="30" a="1"/>
  <c r="BN13" i="30" s="1"/>
  <c r="BP11" i="30" a="1"/>
  <c r="BP11" i="30"/>
  <c r="BO11" i="30" a="1"/>
  <c r="BO11" i="30" s="1"/>
  <c r="BN11" i="30" a="1"/>
  <c r="BN11" i="30" s="1"/>
  <c r="BM10" i="30" a="1"/>
  <c r="BM10" i="30" s="1"/>
  <c r="BL10" i="30" a="1"/>
  <c r="BL10" i="30" s="1"/>
  <c r="BK10" i="30" a="1"/>
  <c r="BK10" i="30" s="1"/>
  <c r="BJ10" i="30" a="1"/>
  <c r="BJ10" i="30" s="1"/>
  <c r="BI10" i="30" a="1"/>
  <c r="BI10" i="30" s="1"/>
  <c r="BH10" i="30" a="1"/>
  <c r="BH10" i="30" s="1"/>
  <c r="BG10" i="30" a="1"/>
  <c r="BG10" i="30" s="1"/>
  <c r="BF10" i="30" a="1"/>
  <c r="BF10" i="30" s="1"/>
  <c r="BE10" i="30" a="1"/>
  <c r="BE10" i="30" s="1"/>
  <c r="BD10" i="30" a="1"/>
  <c r="BD10" i="30" s="1"/>
  <c r="BC10" i="30" a="1"/>
  <c r="BC10" i="30" s="1"/>
  <c r="BB10" i="30" a="1"/>
  <c r="BB10" i="30" s="1"/>
  <c r="BA10" i="30" a="1"/>
  <c r="BA10" i="30" s="1"/>
  <c r="AZ10" i="30" a="1"/>
  <c r="AZ10" i="30" s="1"/>
  <c r="AY10" i="30" a="1"/>
  <c r="AY10" i="30" s="1"/>
  <c r="AX10" i="30" a="1"/>
  <c r="AX10" i="30" s="1"/>
  <c r="AW10" i="30" a="1"/>
  <c r="AW10" i="30" s="1"/>
  <c r="AV10" i="30" a="1"/>
  <c r="AV10" i="30" s="1"/>
  <c r="AU10" i="30" a="1"/>
  <c r="AU10" i="30" s="1"/>
  <c r="AT10" i="30" a="1"/>
  <c r="AT10" i="30" s="1"/>
  <c r="AS10" i="30" a="1"/>
  <c r="AS10" i="30" s="1"/>
  <c r="AR10" i="30" a="1"/>
  <c r="AR10" i="30" s="1"/>
  <c r="AQ10" i="30" a="1"/>
  <c r="AQ10" i="30" s="1"/>
  <c r="AP10" i="30" a="1"/>
  <c r="AP10" i="30" s="1"/>
  <c r="AO10" i="30" a="1"/>
  <c r="AO10" i="30" s="1"/>
  <c r="AN10" i="30" a="1"/>
  <c r="AN10" i="30" s="1"/>
  <c r="AM10" i="30" a="1"/>
  <c r="AM10" i="30" s="1"/>
  <c r="AL10" i="30" a="1"/>
  <c r="AL10" i="30" s="1"/>
  <c r="AK10" i="30" a="1"/>
  <c r="AK10" i="30" s="1"/>
  <c r="AJ10" i="30" a="1"/>
  <c r="AJ10" i="30" s="1"/>
  <c r="AI10" i="30" a="1"/>
  <c r="AI10" i="30" s="1"/>
  <c r="AH10" i="30" a="1"/>
  <c r="AH10" i="30" s="1"/>
  <c r="AG10" i="30" a="1"/>
  <c r="AG10" i="30" s="1"/>
  <c r="AF10" i="30" a="1"/>
  <c r="AF10" i="30" s="1"/>
  <c r="AE10" i="30" a="1"/>
  <c r="AE10" i="30" s="1"/>
  <c r="BC7" i="30" a="1"/>
  <c r="BC7" i="30"/>
  <c r="BB7" i="30" a="1"/>
  <c r="BB7" i="30"/>
  <c r="BA7" i="30" a="1"/>
  <c r="BA7" i="30"/>
  <c r="AZ7" i="30" a="1"/>
  <c r="AZ7" i="30"/>
  <c r="AY7" i="30" a="1"/>
  <c r="AY7" i="30"/>
  <c r="AX7" i="30" a="1"/>
  <c r="AX7" i="30"/>
  <c r="AW7" i="30" a="1"/>
  <c r="AW7" i="30"/>
  <c r="AV7" i="30" a="1"/>
  <c r="AV7" i="30"/>
  <c r="AU7" i="30" a="1"/>
  <c r="AU7" i="30"/>
  <c r="AT7" i="30" a="1"/>
  <c r="AT7" i="30"/>
  <c r="AS7" i="30" a="1"/>
  <c r="AS7" i="30"/>
  <c r="AR7" i="30" a="1"/>
  <c r="AR7" i="30"/>
  <c r="AQ7" i="30" a="1"/>
  <c r="AQ7" i="30"/>
  <c r="AP7" i="30" a="1"/>
  <c r="AP7" i="30"/>
  <c r="AO7" i="30" a="1"/>
  <c r="AO7" i="30"/>
  <c r="AN7" i="30" a="1"/>
  <c r="AN7" i="30"/>
  <c r="AM7" i="30" a="1"/>
  <c r="AM7" i="30"/>
  <c r="AL7" i="30" a="1"/>
  <c r="AL7" i="30"/>
  <c r="AK7" i="30" a="1"/>
  <c r="AK7" i="30"/>
  <c r="AJ7" i="30" a="1"/>
  <c r="AJ7" i="30"/>
  <c r="AI7" i="30" a="1"/>
  <c r="AI7" i="30"/>
  <c r="AH7" i="30" a="1"/>
  <c r="AH7" i="30"/>
  <c r="AG7" i="30" a="1"/>
  <c r="AG7" i="30"/>
  <c r="AF7" i="30" a="1"/>
  <c r="AF7" i="30"/>
  <c r="AE7" i="30" a="1"/>
  <c r="AE7" i="30"/>
  <c r="BM6" i="30"/>
  <c r="BM9" i="30" s="1" a="1"/>
  <c r="BM9" i="30" s="1"/>
  <c r="BL6" i="30"/>
  <c r="BL9" i="30" s="1" a="1"/>
  <c r="BL9" i="30" s="1"/>
  <c r="BK6" i="30"/>
  <c r="BK9" i="30" s="1" a="1"/>
  <c r="BK9" i="30" s="1"/>
  <c r="BJ6" i="30"/>
  <c r="BJ9" i="30" s="1" a="1"/>
  <c r="BJ9" i="30" s="1"/>
  <c r="BI6" i="30"/>
  <c r="BI9" i="30" s="1" a="1"/>
  <c r="BI9" i="30" s="1"/>
  <c r="BH6" i="30"/>
  <c r="BH9" i="30" s="1" a="1"/>
  <c r="BH9" i="30" s="1"/>
  <c r="BG6" i="30"/>
  <c r="BG9" i="30" s="1" a="1"/>
  <c r="BG9" i="30" s="1"/>
  <c r="BF6" i="30"/>
  <c r="BF9" i="30" s="1" a="1"/>
  <c r="BF9" i="30" s="1"/>
  <c r="BE6" i="30"/>
  <c r="BE9" i="30" s="1" a="1"/>
  <c r="BE9" i="30" s="1"/>
  <c r="BD6" i="30" a="1"/>
  <c r="BD6" i="30"/>
  <c r="BD9" i="30" s="1" a="1"/>
  <c r="BD9" i="30" s="1"/>
  <c r="BC6" i="30"/>
  <c r="BC9" i="30" s="1" a="1"/>
  <c r="BC9" i="30" s="1"/>
  <c r="BB6" i="30"/>
  <c r="BB9" i="30" s="1" a="1"/>
  <c r="BB9" i="30" s="1"/>
  <c r="BA6" i="30"/>
  <c r="BA9" i="30" s="1" a="1"/>
  <c r="BA9" i="30" s="1"/>
  <c r="AZ6" i="30"/>
  <c r="AZ8" i="30" s="1"/>
  <c r="AY6" i="30"/>
  <c r="AY9" i="30" s="1" a="1"/>
  <c r="AY9" i="30" s="1"/>
  <c r="AX6" i="30"/>
  <c r="AX9" i="30" s="1" a="1"/>
  <c r="AX9" i="30" s="1"/>
  <c r="AW6" i="30"/>
  <c r="AW9" i="30" s="1" a="1"/>
  <c r="AW9" i="30" s="1"/>
  <c r="AV6" i="30"/>
  <c r="AV8" i="30" s="1"/>
  <c r="AU6" i="30"/>
  <c r="AU9" i="30" s="1" a="1"/>
  <c r="AU9" i="30" s="1"/>
  <c r="AT6" i="30" a="1"/>
  <c r="AT6" i="30"/>
  <c r="AT9" i="30" s="1" a="1"/>
  <c r="AT9" i="30" s="1"/>
  <c r="AS6" i="30"/>
  <c r="AS9" i="30" s="1" a="1"/>
  <c r="AS9" i="30" s="1"/>
  <c r="AR6" i="30"/>
  <c r="AR8" i="30" s="1"/>
  <c r="AQ6" i="30"/>
  <c r="AQ9" i="30" s="1" a="1"/>
  <c r="AQ9" i="30" s="1"/>
  <c r="AP6" i="30"/>
  <c r="AP9" i="30" s="1" a="1"/>
  <c r="AP9" i="30" s="1"/>
  <c r="AO6" i="30"/>
  <c r="AO9" i="30" s="1" a="1"/>
  <c r="AO9" i="30" s="1"/>
  <c r="AN6" i="30"/>
  <c r="AN8" i="30" s="1"/>
  <c r="AM6" i="30"/>
  <c r="AM9" i="30" s="1" a="1"/>
  <c r="AM9" i="30" s="1"/>
  <c r="AL6" i="30"/>
  <c r="AL9" i="30" s="1" a="1"/>
  <c r="AL9" i="30" s="1"/>
  <c r="AK6" i="30"/>
  <c r="AK9" i="30" s="1" a="1"/>
  <c r="AK9" i="30" s="1"/>
  <c r="AJ6" i="30" a="1"/>
  <c r="AJ6" i="30" s="1"/>
  <c r="AI6" i="30"/>
  <c r="AI9" i="30" s="1" a="1"/>
  <c r="AI9" i="30" s="1"/>
  <c r="AH6" i="30"/>
  <c r="AH9" i="30" s="1" a="1"/>
  <c r="AH9" i="30" s="1"/>
  <c r="AG6" i="30"/>
  <c r="AG9" i="30" s="1" a="1"/>
  <c r="AG9" i="30" s="1"/>
  <c r="AF6" i="30"/>
  <c r="AF8" i="30" s="1"/>
  <c r="AE6" i="30"/>
  <c r="AE9" i="30" s="1" a="1"/>
  <c r="AE9" i="30" s="1"/>
  <c r="T328" i="29"/>
  <c r="T327" i="29"/>
  <c r="T326" i="29"/>
  <c r="T325" i="29"/>
  <c r="T324" i="29"/>
  <c r="T323" i="29"/>
  <c r="T322" i="29"/>
  <c r="T321" i="29"/>
  <c r="T320" i="29"/>
  <c r="T319" i="29"/>
  <c r="T318" i="29"/>
  <c r="AH314" i="29"/>
  <c r="AH313" i="29"/>
  <c r="AH312" i="29"/>
  <c r="AH311" i="29"/>
  <c r="AS303" i="29"/>
  <c r="AR303" i="29"/>
  <c r="AQ303" i="29"/>
  <c r="AP303" i="29"/>
  <c r="AO303" i="29"/>
  <c r="AN303" i="29"/>
  <c r="AM303" i="29"/>
  <c r="AI303" i="29"/>
  <c r="AG303" i="29"/>
  <c r="AF303" i="29"/>
  <c r="AE303" i="29"/>
  <c r="AH300" i="29"/>
  <c r="AH299" i="29"/>
  <c r="AH297" i="29"/>
  <c r="B297" i="29"/>
  <c r="AH296" i="29"/>
  <c r="B296" i="29"/>
  <c r="AH292" i="29"/>
  <c r="AH291" i="29"/>
  <c r="AH290" i="29"/>
  <c r="AH289" i="29"/>
  <c r="AH288" i="29"/>
  <c r="BJ287" i="29"/>
  <c r="BF287" i="29"/>
  <c r="BE287" i="29"/>
  <c r="BC287" i="29"/>
  <c r="BB287" i="29"/>
  <c r="BM287" i="29" s="1"/>
  <c r="BA287" i="29"/>
  <c r="BL287" i="29" s="1"/>
  <c r="AZ287" i="29"/>
  <c r="BK287" i="29" s="1"/>
  <c r="AY287" i="29"/>
  <c r="AX287" i="29"/>
  <c r="BI287" i="29" s="1"/>
  <c r="AW287" i="29"/>
  <c r="BH287" i="29" s="1"/>
  <c r="AV287" i="29"/>
  <c r="BG287" i="29" s="1"/>
  <c r="AU287" i="29"/>
  <c r="AS287" i="29"/>
  <c r="AR287" i="29"/>
  <c r="AQ287" i="29"/>
  <c r="AP287" i="29"/>
  <c r="AO287" i="29"/>
  <c r="AN287" i="29"/>
  <c r="AM287" i="29"/>
  <c r="AL287" i="29"/>
  <c r="AK287" i="29"/>
  <c r="AI287" i="29"/>
  <c r="BD287" i="29" s="1"/>
  <c r="AG287" i="29"/>
  <c r="AH287" i="29" s="1"/>
  <c r="AF287" i="29"/>
  <c r="AE287" i="29"/>
  <c r="AT286" i="29"/>
  <c r="AH286" i="29"/>
  <c r="AH285" i="29"/>
  <c r="AH284" i="29"/>
  <c r="AH283" i="29"/>
  <c r="AH282" i="29"/>
  <c r="AH281" i="29"/>
  <c r="BM279" i="29"/>
  <c r="BL279" i="29"/>
  <c r="BK279" i="29"/>
  <c r="BJ279" i="29"/>
  <c r="BI279" i="29"/>
  <c r="BH279" i="29"/>
  <c r="BG279" i="29"/>
  <c r="BF279" i="29"/>
  <c r="BD279" i="29"/>
  <c r="AT279" i="29"/>
  <c r="BE279" i="29" s="1"/>
  <c r="AJ279" i="29" a="1"/>
  <c r="AJ279" i="29" s="1"/>
  <c r="AH279" i="29"/>
  <c r="BM270" i="29"/>
  <c r="BL270" i="29"/>
  <c r="BK270" i="29"/>
  <c r="BJ270" i="29"/>
  <c r="BI270" i="29"/>
  <c r="BH270" i="29"/>
  <c r="BG270" i="29"/>
  <c r="BF270" i="29"/>
  <c r="BE270" i="29"/>
  <c r="BD270" i="29"/>
  <c r="AH270" i="29"/>
  <c r="BM267" i="29"/>
  <c r="BL267" i="29"/>
  <c r="BK267" i="29"/>
  <c r="BJ267" i="29"/>
  <c r="BI267" i="29"/>
  <c r="BH267" i="29"/>
  <c r="BG267" i="29"/>
  <c r="BF267" i="29"/>
  <c r="BE267" i="29"/>
  <c r="BD267" i="29"/>
  <c r="AH267" i="29"/>
  <c r="B267" i="29"/>
  <c r="B268" i="29" s="1"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H254" i="29"/>
  <c r="BC254" i="29"/>
  <c r="BB254" i="29"/>
  <c r="BM254" i="29" s="1"/>
  <c r="BA254" i="29"/>
  <c r="AZ254" i="29"/>
  <c r="BK254" i="29" s="1"/>
  <c r="AY254" i="29"/>
  <c r="BJ254" i="29" s="1"/>
  <c r="AX254" i="29"/>
  <c r="BI254" i="29" s="1"/>
  <c r="AW254" i="29"/>
  <c r="AV254" i="29"/>
  <c r="BG254" i="29" s="1"/>
  <c r="AU254" i="29"/>
  <c r="BF254" i="29" s="1"/>
  <c r="AT254" i="29"/>
  <c r="BE254" i="29" s="1"/>
  <c r="AS254" i="29"/>
  <c r="AR254" i="29"/>
  <c r="AQ254" i="29"/>
  <c r="AP254" i="29"/>
  <c r="AO254" i="29"/>
  <c r="AN254" i="29"/>
  <c r="AM254" i="29"/>
  <c r="AL254" i="29"/>
  <c r="AK254" i="29"/>
  <c r="AJ254" i="29"/>
  <c r="AI254" i="29"/>
  <c r="BD254" i="29" s="1"/>
  <c r="AG254" i="29"/>
  <c r="AH254" i="29" s="1"/>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C249" i="29" a="1"/>
  <c r="BC249" i="29" s="1"/>
  <c r="BB249" i="29" a="1"/>
  <c r="BB249" i="29" s="1"/>
  <c r="BM249" i="29" s="1"/>
  <c r="BA249" i="29" a="1"/>
  <c r="BA249" i="29" s="1"/>
  <c r="BL249" i="29" s="1"/>
  <c r="AZ249" i="29" a="1"/>
  <c r="AZ249" i="29" s="1"/>
  <c r="BK249" i="29" s="1"/>
  <c r="AY249" i="29" a="1"/>
  <c r="AY249" i="29" s="1"/>
  <c r="BJ249" i="29" s="1"/>
  <c r="AX249" i="29" a="1"/>
  <c r="AX249" i="29" s="1"/>
  <c r="BI249" i="29" s="1"/>
  <c r="AW249" i="29" a="1"/>
  <c r="AW249" i="29" s="1"/>
  <c r="BH249" i="29" s="1"/>
  <c r="AV249" i="29" a="1"/>
  <c r="AV249" i="29" s="1"/>
  <c r="BG249" i="29" s="1"/>
  <c r="AU249" i="29" a="1"/>
  <c r="AU249" i="29" s="1"/>
  <c r="BF249" i="29" s="1"/>
  <c r="AS249" i="29" a="1"/>
  <c r="AS249" i="29" s="1"/>
  <c r="AR249" i="29" a="1"/>
  <c r="AR249" i="29" s="1"/>
  <c r="AQ249" i="29" a="1"/>
  <c r="AQ249" i="29" s="1"/>
  <c r="AP249" i="29" a="1"/>
  <c r="AP249" i="29" s="1"/>
  <c r="AO249" i="29" a="1"/>
  <c r="AO249" i="29" s="1"/>
  <c r="AN249" i="29" a="1"/>
  <c r="AN249" i="29" s="1"/>
  <c r="AM249" i="29" a="1"/>
  <c r="AM249" i="29" s="1"/>
  <c r="AL249" i="29" a="1"/>
  <c r="AL249" i="29" s="1"/>
  <c r="AK249" i="29" a="1"/>
  <c r="AK249" i="29" s="1"/>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s="1"/>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T190" i="29"/>
  <c r="AJ190" i="29"/>
  <c r="AG190" i="29" a="1"/>
  <c r="AG190" i="29" s="1"/>
  <c r="AF190" i="29"/>
  <c r="BD189" i="29"/>
  <c r="AH189" i="29"/>
  <c r="AT188" i="29"/>
  <c r="BD188" i="29" s="1"/>
  <c r="AI188" i="29"/>
  <c r="AH188" i="29"/>
  <c r="AT187" i="29"/>
  <c r="BD187" i="29" s="1"/>
  <c r="AJ187" i="29"/>
  <c r="AH187" i="29"/>
  <c r="AI186" i="29"/>
  <c r="BD186" i="29" s="1"/>
  <c r="AH186" i="29"/>
  <c r="AE186" i="29"/>
  <c r="AE183" i="29" s="1"/>
  <c r="BD185" i="29"/>
  <c r="AH185" i="29"/>
  <c r="AT184" i="29"/>
  <c r="BD184" i="29" s="1"/>
  <c r="AJ184" i="29"/>
  <c r="AH184" i="29"/>
  <c r="AT183" i="29"/>
  <c r="BD183" i="29" s="1"/>
  <c r="AJ183" i="29"/>
  <c r="AI183" i="29"/>
  <c r="AF183" i="29"/>
  <c r="BD182" i="29"/>
  <c r="AH182" i="29"/>
  <c r="BD178" i="29"/>
  <c r="AH178" i="29"/>
  <c r="BD177" i="29"/>
  <c r="AH177" i="29"/>
  <c r="BD176" i="29"/>
  <c r="AI176" i="29"/>
  <c r="AH176" i="29"/>
  <c r="AE176" i="29"/>
  <c r="AT175" i="29"/>
  <c r="AJ175" i="29"/>
  <c r="AI175" i="29"/>
  <c r="BD175" i="29" s="1"/>
  <c r="AG175" i="29"/>
  <c r="AF175" i="29"/>
  <c r="AH175" i="29" s="1"/>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s="1"/>
  <c r="B284" i="29" s="1"/>
  <c r="B285" i="29" s="1" a="1"/>
  <c r="B285" i="29" s="1"/>
  <c r="F171" i="29" a="1"/>
  <c r="F171" i="29" s="1"/>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M143" i="29"/>
  <c r="BI143" i="29"/>
  <c r="BC143" i="29"/>
  <c r="BB143" i="29"/>
  <c r="BA143" i="29"/>
  <c r="BL143" i="29" s="1"/>
  <c r="AZ143" i="29"/>
  <c r="BK143" i="29" s="1"/>
  <c r="AY143" i="29"/>
  <c r="BJ143" i="29" s="1"/>
  <c r="AX143" i="29"/>
  <c r="AW143" i="29"/>
  <c r="BH143" i="29" s="1"/>
  <c r="AV143" i="29"/>
  <c r="BG143" i="29" s="1"/>
  <c r="AU143" i="29"/>
  <c r="BF143" i="29" s="1"/>
  <c r="AS143" i="29"/>
  <c r="AR143" i="29"/>
  <c r="AQ143" i="29"/>
  <c r="AP143" i="29"/>
  <c r="AO143" i="29"/>
  <c r="AN143" i="29"/>
  <c r="AM143" i="29"/>
  <c r="AL143" i="29"/>
  <c r="AK143" i="29"/>
  <c r="AI143" i="29"/>
  <c r="BD143" i="29" s="1"/>
  <c r="AG143" i="29"/>
  <c r="AH143" i="29" s="1"/>
  <c r="AF143" i="29"/>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5" i="29"/>
  <c r="B116" i="29" s="1" a="1"/>
  <c r="B116" i="29" s="1"/>
  <c r="B117" i="29" s="1" a="1"/>
  <c r="B117" i="29" s="1"/>
  <c r="B118" i="29" s="1" a="1"/>
  <c r="B118" i="29" s="1"/>
  <c r="B119" i="29" s="1" a="1"/>
  <c r="B119" i="29" s="1"/>
  <c r="B120" i="29" s="1" a="1"/>
  <c r="B120" i="29" s="1"/>
  <c r="B121" i="29" s="1" a="1"/>
  <c r="B121" i="29" s="1"/>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I110" i="29"/>
  <c r="BC110" i="29"/>
  <c r="BB110" i="29"/>
  <c r="BA110" i="29"/>
  <c r="BL110" i="29" s="1"/>
  <c r="AZ110" i="29"/>
  <c r="BK110" i="29" s="1"/>
  <c r="AY110" i="29"/>
  <c r="BJ110" i="29" s="1"/>
  <c r="AX110" i="29"/>
  <c r="AW110" i="29"/>
  <c r="BH110" i="29" s="1"/>
  <c r="AV110" i="29"/>
  <c r="BG110" i="29" s="1"/>
  <c r="AU110" i="29"/>
  <c r="BF110" i="29" s="1"/>
  <c r="AT110" i="29"/>
  <c r="BE110" i="29" s="1"/>
  <c r="AS110" i="29"/>
  <c r="AR110" i="29"/>
  <c r="AQ110" i="29"/>
  <c r="AP110" i="29"/>
  <c r="AO110" i="29"/>
  <c r="AN110" i="29"/>
  <c r="AM110" i="29"/>
  <c r="AL110" i="29"/>
  <c r="AK110" i="29"/>
  <c r="AJ110" i="29"/>
  <c r="AI110" i="29"/>
  <c r="BD110" i="29" s="1"/>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L105" i="29"/>
  <c r="BH105" i="29"/>
  <c r="BC105" i="29" a="1"/>
  <c r="BC105" i="29"/>
  <c r="BB105" i="29" a="1"/>
  <c r="BB105" i="29"/>
  <c r="BM105" i="29" s="1"/>
  <c r="BA105" i="29" a="1"/>
  <c r="BA105" i="29"/>
  <c r="AZ105" i="29" a="1"/>
  <c r="AZ105" i="29"/>
  <c r="BK105" i="29" s="1"/>
  <c r="AY105" i="29" a="1"/>
  <c r="AY105" i="29"/>
  <c r="BJ105" i="29" s="1"/>
  <c r="AX105" i="29" a="1"/>
  <c r="AX105" i="29"/>
  <c r="BI105" i="29" s="1"/>
  <c r="AW105" i="29" a="1"/>
  <c r="AW105" i="29"/>
  <c r="AV105" i="29" a="1"/>
  <c r="AV105" i="29"/>
  <c r="BG105" i="29" s="1"/>
  <c r="AU105" i="29" a="1"/>
  <c r="AU105" i="29"/>
  <c r="BF105" i="29" s="1"/>
  <c r="AS105" i="29" a="1"/>
  <c r="AS105" i="29"/>
  <c r="AR105" i="29" a="1"/>
  <c r="AR105" i="29"/>
  <c r="AQ105" i="29" a="1"/>
  <c r="AQ105" i="29"/>
  <c r="AP105" i="29" a="1"/>
  <c r="AP105" i="29"/>
  <c r="AO105" i="29" a="1"/>
  <c r="AO105" i="29"/>
  <c r="AN105" i="29" a="1"/>
  <c r="AN105" i="29"/>
  <c r="AM105" i="29" a="1"/>
  <c r="AM105" i="29"/>
  <c r="AL105" i="29" a="1"/>
  <c r="AL105" i="29"/>
  <c r="AK105" i="29" a="1"/>
  <c r="AK105" i="29"/>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H39" i="29" s="1"/>
  <c r="AF39" i="29"/>
  <c r="AE39" i="29"/>
  <c r="BD38" i="29"/>
  <c r="AH38" i="29"/>
  <c r="BD34" i="29"/>
  <c r="AH34" i="29"/>
  <c r="BD33" i="29"/>
  <c r="AH33" i="29"/>
  <c r="BD32" i="29"/>
  <c r="AH32" i="29"/>
  <c r="AT31" i="29"/>
  <c r="AJ31" i="29"/>
  <c r="AI31" i="29"/>
  <c r="BD31" i="29" s="1"/>
  <c r="AH31" i="29"/>
  <c r="AG31" i="29"/>
  <c r="AF31" i="29"/>
  <c r="AE31" i="29"/>
  <c r="BD29" i="29"/>
  <c r="AH29"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27" i="29"/>
  <c r="S27" i="29" a="1"/>
  <c r="S27" i="29"/>
  <c r="B140" i="29" s="1"/>
  <c r="B141" i="29" s="1" a="1"/>
  <c r="B141" i="29" s="1"/>
  <c r="F27" i="29" a="1"/>
  <c r="F27" i="29"/>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s="1"/>
  <c r="BN13" i="29" a="1"/>
  <c r="BN13" i="29"/>
  <c r="BP11" i="29" a="1"/>
  <c r="BP11" i="29" s="1"/>
  <c r="BO11" i="29" a="1"/>
  <c r="BO11" i="29"/>
  <c r="BN11" i="29" a="1"/>
  <c r="BN11" i="29" s="1"/>
  <c r="BM10" i="29" a="1"/>
  <c r="BM10" i="29"/>
  <c r="BL10" i="29" a="1"/>
  <c r="BL10" i="29" s="1"/>
  <c r="BK10" i="29" a="1"/>
  <c r="BK10" i="29"/>
  <c r="BJ10" i="29" a="1"/>
  <c r="BJ10" i="29" s="1"/>
  <c r="BI10" i="29" a="1"/>
  <c r="BI10" i="29"/>
  <c r="BH10" i="29" a="1"/>
  <c r="BH10" i="29" s="1"/>
  <c r="BG10" i="29" a="1"/>
  <c r="BG10" i="29"/>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M9" i="29" a="1"/>
  <c r="BM9" i="29" s="1"/>
  <c r="BK9" i="29" a="1"/>
  <c r="BK9" i="29" s="1"/>
  <c r="BI9" i="29" a="1"/>
  <c r="BI9" i="29" s="1"/>
  <c r="BG9" i="29" a="1"/>
  <c r="BG9" i="29" s="1"/>
  <c r="BE9" i="29" a="1"/>
  <c r="BE9" i="29" s="1"/>
  <c r="BA9" i="29" a="1"/>
  <c r="BA9" i="29" s="1"/>
  <c r="AW9" i="29" a="1"/>
  <c r="AW9" i="29" s="1"/>
  <c r="AS9" i="29" a="1"/>
  <c r="AS9" i="29" s="1"/>
  <c r="AQ9" i="29" a="1"/>
  <c r="AQ9" i="29" s="1"/>
  <c r="AO9" i="29" a="1"/>
  <c r="AO9" i="29" s="1"/>
  <c r="AM9" i="29" a="1"/>
  <c r="AM9" i="29" s="1"/>
  <c r="AK9" i="29" a="1"/>
  <c r="AK9" i="29" s="1"/>
  <c r="AI9" i="29" a="1"/>
  <c r="AI9" i="29" s="1"/>
  <c r="AE9" i="29" a="1"/>
  <c r="AE9" i="29" s="1"/>
  <c r="BC7" i="29" a="1"/>
  <c r="BC7" i="29"/>
  <c r="BB7" i="29" a="1"/>
  <c r="BB7" i="29"/>
  <c r="BA7" i="29" a="1"/>
  <c r="BA7" i="29"/>
  <c r="BA8" i="29" s="1"/>
  <c r="AZ7" i="29" a="1"/>
  <c r="AZ7" i="29"/>
  <c r="AY7" i="29" a="1"/>
  <c r="AY7" i="29"/>
  <c r="AX7" i="29" a="1"/>
  <c r="AX7" i="29"/>
  <c r="AW7" i="29" a="1"/>
  <c r="AW7" i="29"/>
  <c r="AW8" i="29" s="1"/>
  <c r="AV7" i="29" a="1"/>
  <c r="AV7" i="29"/>
  <c r="AU7" i="29" a="1"/>
  <c r="AU7" i="29"/>
  <c r="AT7" i="29" a="1"/>
  <c r="AT7" i="29"/>
  <c r="AS7" i="29" a="1"/>
  <c r="AS7" i="29"/>
  <c r="AS8" i="29" s="1"/>
  <c r="AR7" i="29" a="1"/>
  <c r="AR7" i="29"/>
  <c r="AQ7" i="29" a="1"/>
  <c r="AQ7" i="29"/>
  <c r="AP7" i="29" a="1"/>
  <c r="AP7" i="29"/>
  <c r="AO7" i="29" a="1"/>
  <c r="AO7" i="29"/>
  <c r="AO8" i="29" s="1"/>
  <c r="AN7" i="29" a="1"/>
  <c r="AN7" i="29"/>
  <c r="AM7" i="29" a="1"/>
  <c r="AM7" i="29"/>
  <c r="AL7" i="29" a="1"/>
  <c r="AL7" i="29"/>
  <c r="AK7" i="29" a="1"/>
  <c r="AK7" i="29"/>
  <c r="AK8" i="29" s="1"/>
  <c r="AJ7" i="29" a="1"/>
  <c r="AJ7" i="29"/>
  <c r="AI7" i="29" a="1"/>
  <c r="AI7" i="29"/>
  <c r="AH7" i="29" a="1"/>
  <c r="AH7" i="29" s="1"/>
  <c r="AG7" i="29" a="1"/>
  <c r="AG7" i="29"/>
  <c r="AF7" i="29" a="1"/>
  <c r="AF7" i="29" s="1"/>
  <c r="AE7" i="29" a="1"/>
  <c r="AE7" i="29"/>
  <c r="BM6" i="29"/>
  <c r="BL6" i="29"/>
  <c r="BL9" i="29" s="1" a="1"/>
  <c r="BL9" i="29" s="1"/>
  <c r="BK6" i="29"/>
  <c r="BJ6" i="29"/>
  <c r="BJ9" i="29" s="1" a="1"/>
  <c r="BJ9" i="29" s="1"/>
  <c r="BI6" i="29"/>
  <c r="BH6" i="29"/>
  <c r="BH9" i="29" s="1" a="1"/>
  <c r="BH9" i="29" s="1"/>
  <c r="BG6" i="29"/>
  <c r="BF6" i="29"/>
  <c r="BF9" i="29" s="1" a="1"/>
  <c r="BF9" i="29" s="1"/>
  <c r="BE6" i="29"/>
  <c r="BD6" i="29" a="1"/>
  <c r="BD6" i="29" s="1"/>
  <c r="BC6" i="29"/>
  <c r="BB6" i="29"/>
  <c r="BB9" i="29" s="1" a="1"/>
  <c r="BB9" i="29" s="1"/>
  <c r="BA6" i="29"/>
  <c r="AZ6" i="29"/>
  <c r="AZ8" i="29" s="1"/>
  <c r="AY6" i="29"/>
  <c r="AX6" i="29"/>
  <c r="AX9" i="29" s="1" a="1"/>
  <c r="AX9" i="29" s="1"/>
  <c r="AW6" i="29"/>
  <c r="AV6" i="29"/>
  <c r="AV8" i="29" s="1"/>
  <c r="AU6" i="29"/>
  <c r="AT6" i="29" a="1"/>
  <c r="AT6" i="29" s="1"/>
  <c r="AS6" i="29"/>
  <c r="AR6" i="29"/>
  <c r="AR8" i="29" s="1"/>
  <c r="AQ6" i="29"/>
  <c r="AQ8" i="29" s="1"/>
  <c r="AP6" i="29"/>
  <c r="AP9" i="29" s="1" a="1"/>
  <c r="AP9" i="29" s="1"/>
  <c r="AO6" i="29"/>
  <c r="AN6" i="29"/>
  <c r="AN8" i="29" s="1"/>
  <c r="AM6" i="29"/>
  <c r="AM8" i="29" s="1"/>
  <c r="AL6" i="29"/>
  <c r="AL9" i="29" s="1" a="1"/>
  <c r="AL9" i="29" s="1"/>
  <c r="AK6" i="29"/>
  <c r="AJ6" i="29" a="1"/>
  <c r="AJ6" i="29" s="1"/>
  <c r="AI6" i="29"/>
  <c r="AI8" i="29" s="1"/>
  <c r="AH6" i="29"/>
  <c r="AH9" i="29" s="1" a="1"/>
  <c r="AH9" i="29" s="1"/>
  <c r="AG6" i="29"/>
  <c r="AG9" i="29" s="1" a="1"/>
  <c r="AG9" i="29" s="1"/>
  <c r="AF6" i="29"/>
  <c r="AF8" i="29" s="1"/>
  <c r="AE6" i="29"/>
  <c r="AE8" i="29" s="1"/>
  <c r="T202" i="28"/>
  <c r="AH198" i="28"/>
  <c r="AH197" i="28"/>
  <c r="AH196" i="28"/>
  <c r="AK188" i="28"/>
  <c r="AJ188" i="28"/>
  <c r="AI188" i="28"/>
  <c r="AG188" i="28"/>
  <c r="AF188" i="28"/>
  <c r="AE188" i="28"/>
  <c r="AH185" i="28"/>
  <c r="AL182" i="28"/>
  <c r="AH182" i="28"/>
  <c r="AL181" i="28"/>
  <c r="AH181" i="28"/>
  <c r="AL179" i="28"/>
  <c r="AH179" i="28"/>
  <c r="AL178" i="28"/>
  <c r="AH178" i="28"/>
  <c r="AL177" i="28"/>
  <c r="AH177" i="28"/>
  <c r="AL176" i="28"/>
  <c r="AH176" i="28"/>
  <c r="AK175" i="28"/>
  <c r="AJ175" i="28"/>
  <c r="AI175" i="28"/>
  <c r="AL175" i="28" s="1"/>
  <c r="AH175" i="28"/>
  <c r="AG175" i="28"/>
  <c r="AF175" i="28"/>
  <c r="AE175" i="28"/>
  <c r="AL174" i="28"/>
  <c r="AH174" i="28"/>
  <c r="AL173" i="28"/>
  <c r="AH173" i="28"/>
  <c r="AL172" i="28"/>
  <c r="AH172" i="28"/>
  <c r="AL171" i="28"/>
  <c r="AL170" i="28"/>
  <c r="AH170" i="28"/>
  <c r="B170" i="28"/>
  <c r="AL169" i="28"/>
  <c r="B161" i="28"/>
  <c r="AL144" i="28"/>
  <c r="AH144" i="28"/>
  <c r="AT141" i="28" a="1"/>
  <c r="AT141" i="28" s="1"/>
  <c r="AL141" i="28"/>
  <c r="AH141" i="28"/>
  <c r="AB141" i="28"/>
  <c r="J141" i="28" a="1"/>
  <c r="J141" i="28" s="1"/>
  <c r="AT140" i="28" a="1"/>
  <c r="AT140" i="28" s="1"/>
  <c r="AL140" i="28"/>
  <c r="AH140" i="28"/>
  <c r="AB140" i="28"/>
  <c r="J140" i="28" a="1"/>
  <c r="J140" i="28" s="1"/>
  <c r="AT139" i="28" a="1"/>
  <c r="AT139" i="28" s="1"/>
  <c r="AL139" i="28"/>
  <c r="AH139" i="28"/>
  <c r="AB139" i="28"/>
  <c r="J139" i="28" a="1"/>
  <c r="J139" i="28" s="1"/>
  <c r="AL138" i="28"/>
  <c r="AH138" i="28"/>
  <c r="AL137" i="28"/>
  <c r="AH137" i="28"/>
  <c r="AL136" i="28"/>
  <c r="AH136" i="28"/>
  <c r="AL135" i="28"/>
  <c r="AH135" i="28"/>
  <c r="AK134" i="28"/>
  <c r="AJ134" i="28"/>
  <c r="AI134" i="28"/>
  <c r="AL134" i="28" s="1"/>
  <c r="AG134" i="28"/>
  <c r="AF134" i="28"/>
  <c r="AH134" i="28" s="1"/>
  <c r="AE134" i="28"/>
  <c r="AL133" i="28"/>
  <c r="AH133" i="28"/>
  <c r="AL132" i="28"/>
  <c r="AH132" i="28"/>
  <c r="AL128" i="28"/>
  <c r="AH128" i="28"/>
  <c r="AL117" i="28"/>
  <c r="AH117" i="28"/>
  <c r="AL116" i="28"/>
  <c r="AH116" i="28"/>
  <c r="T114" i="28"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13" i="28" a="1"/>
  <c r="T113" i="28" s="1"/>
  <c r="T112" i="28"/>
  <c r="F112" i="28" a="1"/>
  <c r="F112" i="28"/>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G88" i="28"/>
  <c r="AF88" i="28"/>
  <c r="AE88" i="28"/>
  <c r="AL87" i="28"/>
  <c r="AH87" i="28"/>
  <c r="AL86" i="28"/>
  <c r="AH86" i="28"/>
  <c r="AL85" i="28"/>
  <c r="AH85" i="28"/>
  <c r="AL84" i="28"/>
  <c r="AL83" i="28"/>
  <c r="AH83" i="28"/>
  <c r="B83" i="28"/>
  <c r="AL82" i="28"/>
  <c r="B74" i="28"/>
  <c r="AL57" i="28"/>
  <c r="AH57" i="28"/>
  <c r="AT54" i="28" a="1"/>
  <c r="AT54" i="28" s="1"/>
  <c r="AL54" i="28"/>
  <c r="AH54" i="28"/>
  <c r="AB54" i="28"/>
  <c r="J54" i="28" a="1"/>
  <c r="J54" i="28" s="1"/>
  <c r="AL53" i="28"/>
  <c r="AH53" i="28"/>
  <c r="AL52" i="28"/>
  <c r="AH52" i="28"/>
  <c r="AL51" i="28"/>
  <c r="AH51" i="28"/>
  <c r="AL50" i="28"/>
  <c r="AH50" i="28"/>
  <c r="AL49" i="28"/>
  <c r="AK49" i="28"/>
  <c r="AJ49" i="28"/>
  <c r="AI49" i="28"/>
  <c r="AG49" i="28"/>
  <c r="AF49" i="28"/>
  <c r="AH49" i="28" s="1"/>
  <c r="AE49" i="28"/>
  <c r="AL48" i="28"/>
  <c r="AH48" i="28"/>
  <c r="AL47" i="28"/>
  <c r="AH47" i="28"/>
  <c r="AL43" i="28"/>
  <c r="AH43" i="28"/>
  <c r="AL32" i="28"/>
  <c r="AH32" i="28"/>
  <c r="AL31" i="28"/>
  <c r="AH31" i="28"/>
  <c r="T28" i="28"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7" i="28"/>
  <c r="F27" i="28" a="1"/>
  <c r="F27" i="28"/>
  <c r="F28" i="28" s="1" a="1"/>
  <c r="F28" i="28" s="1"/>
  <c r="F29" i="28" s="1" a="1"/>
  <c r="F29" i="28" s="1"/>
  <c r="F30" i="28" s="1" a="1"/>
  <c r="F30" i="28" s="1"/>
  <c r="AK24" i="28"/>
  <c r="AJ24" i="28"/>
  <c r="AI24" i="28"/>
  <c r="AH24" i="28"/>
  <c r="AG24" i="28"/>
  <c r="AF24" i="28"/>
  <c r="AE24" i="28"/>
  <c r="AO12" i="28" a="1"/>
  <c r="AO12" i="28" s="1"/>
  <c r="AN12" i="28" a="1"/>
  <c r="AN12" i="28" s="1"/>
  <c r="AM12" i="28" a="1"/>
  <c r="AM12" i="28" s="1"/>
  <c r="AL11" i="28" a="1"/>
  <c r="AL11" i="28" s="1"/>
  <c r="AK11" i="28" a="1"/>
  <c r="AK11" i="28" s="1"/>
  <c r="AJ11" i="28" a="1"/>
  <c r="AJ11" i="28" s="1"/>
  <c r="AI11" i="28" a="1"/>
  <c r="AI11" i="28" s="1"/>
  <c r="AH11" i="28" a="1"/>
  <c r="AH11" i="28" s="1"/>
  <c r="AG11" i="28" a="1"/>
  <c r="AG11" i="28" s="1"/>
  <c r="AF11" i="28" a="1"/>
  <c r="AF11" i="28" s="1"/>
  <c r="AE11" i="28" a="1"/>
  <c r="AE11" i="28" s="1"/>
  <c r="AI10" i="28" a="1"/>
  <c r="AI10" i="28" s="1"/>
  <c r="AH10" i="28" a="1"/>
  <c r="AH10" i="28" s="1"/>
  <c r="AG10" i="28" a="1"/>
  <c r="AG10" i="28" s="1"/>
  <c r="AE10" i="28" a="1"/>
  <c r="AE10" i="28" s="1"/>
  <c r="AK8" i="28" a="1"/>
  <c r="AK8" i="28"/>
  <c r="AK9" i="28" s="1"/>
  <c r="AJ8" i="28" a="1"/>
  <c r="AJ8" i="28"/>
  <c r="AI8" i="28" a="1"/>
  <c r="AI8" i="28"/>
  <c r="AI9" i="28" s="1"/>
  <c r="AH8" i="28" a="1"/>
  <c r="AH8" i="28"/>
  <c r="AG8" i="28" a="1"/>
  <c r="AG8" i="28"/>
  <c r="AG9" i="28" s="1"/>
  <c r="AF8" i="28" a="1"/>
  <c r="AF8" i="28"/>
  <c r="AE8" i="28" a="1"/>
  <c r="AE8" i="28"/>
  <c r="AE9" i="28" s="1"/>
  <c r="AK7" i="28" a="1"/>
  <c r="AK7" i="28"/>
  <c r="AK10" i="28" s="1" a="1"/>
  <c r="AK10" i="28" s="1"/>
  <c r="AJ7" i="28" a="1"/>
  <c r="AJ7" i="28"/>
  <c r="AJ9" i="28" s="1"/>
  <c r="AI7" i="28"/>
  <c r="AH7" i="28"/>
  <c r="AH9" i="28" s="1"/>
  <c r="AG7" i="28"/>
  <c r="AF7" i="28"/>
  <c r="AF9" i="28" s="1"/>
  <c r="AE7" i="28"/>
  <c r="AO6" i="28" a="1"/>
  <c r="AO6" i="28" s="1"/>
  <c r="AN6" i="28" a="1"/>
  <c r="AN6" i="28" s="1"/>
  <c r="AM6" i="28" a="1"/>
  <c r="AM6" i="28" s="1"/>
  <c r="AI2" i="28"/>
  <c r="AH2" i="28"/>
  <c r="AG2" i="28"/>
  <c r="AF2" i="28"/>
  <c r="AE2" i="28"/>
  <c r="T144" i="27"/>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s="1"/>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I130" i="27" a="1"/>
  <c r="I130" i="27" s="1"/>
  <c r="I131" i="27" s="1" a="1"/>
  <c r="I131" i="27" s="1"/>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V127" i="27"/>
  <c r="FU127" i="27"/>
  <c r="FW127" i="27" s="1"/>
  <c r="FS127" i="27"/>
  <c r="FR127" i="27"/>
  <c r="FT127" i="27" s="1"/>
  <c r="FQ127" i="27"/>
  <c r="FP127" i="27"/>
  <c r="FO127" i="27"/>
  <c r="FN127" i="27"/>
  <c r="FM127" i="27"/>
  <c r="FL127" i="27"/>
  <c r="FJ127" i="27"/>
  <c r="FI127" i="27"/>
  <c r="FK127" i="27" s="1"/>
  <c r="FG127" i="27"/>
  <c r="FF127" i="27"/>
  <c r="FH127" i="27" s="1"/>
  <c r="FE127" i="27"/>
  <c r="FD127" i="27"/>
  <c r="FC127" i="27"/>
  <c r="FB127" i="27"/>
  <c r="FA127" i="27"/>
  <c r="EZ127" i="27"/>
  <c r="EX127" i="27"/>
  <c r="EW127" i="27"/>
  <c r="EY127" i="27" s="1"/>
  <c r="EU127" i="27"/>
  <c r="ET127" i="27"/>
  <c r="EV127" i="27" s="1"/>
  <c r="ES127" i="27"/>
  <c r="ER127" i="27"/>
  <c r="EQ127" i="27"/>
  <c r="EP127" i="27"/>
  <c r="EO127" i="27"/>
  <c r="EN127" i="27"/>
  <c r="EL127" i="27"/>
  <c r="EK127" i="27"/>
  <c r="EM127" i="27" s="1"/>
  <c r="EI127" i="27"/>
  <c r="EH127" i="27"/>
  <c r="EJ127" i="27" s="1"/>
  <c r="EG127" i="27"/>
  <c r="EF127" i="27"/>
  <c r="EE127" i="27"/>
  <c r="ED127" i="27"/>
  <c r="EC127" i="27"/>
  <c r="EB127" i="27"/>
  <c r="DZ127" i="27"/>
  <c r="DY127" i="27"/>
  <c r="EA127" i="27" s="1"/>
  <c r="DW127" i="27"/>
  <c r="DV127" i="27"/>
  <c r="DX127" i="27" s="1"/>
  <c r="DU127" i="27"/>
  <c r="DT127" i="27"/>
  <c r="DS127" i="27"/>
  <c r="DR127" i="27"/>
  <c r="DQ127" i="27"/>
  <c r="DP127" i="27"/>
  <c r="DN127" i="27"/>
  <c r="DM127" i="27"/>
  <c r="DO127" i="27" s="1"/>
  <c r="DK127" i="27"/>
  <c r="DJ127" i="27"/>
  <c r="DL127" i="27" s="1"/>
  <c r="DI127" i="27"/>
  <c r="DH127" i="27"/>
  <c r="DG127" i="27"/>
  <c r="DF127" i="27"/>
  <c r="DE127" i="27"/>
  <c r="DD127" i="27"/>
  <c r="DB127" i="27"/>
  <c r="DA127" i="27"/>
  <c r="DC127" i="27" s="1"/>
  <c r="CY127" i="27"/>
  <c r="CX127" i="27"/>
  <c r="CZ127" i="27" s="1"/>
  <c r="CW127" i="27"/>
  <c r="CV127" i="27"/>
  <c r="CU127" i="27"/>
  <c r="CT127" i="27"/>
  <c r="CS127" i="27"/>
  <c r="CR127" i="27"/>
  <c r="CP127" i="27"/>
  <c r="CO127" i="27"/>
  <c r="CQ127" i="27" s="1"/>
  <c r="CM127" i="27"/>
  <c r="CL127" i="27"/>
  <c r="CN127" i="27" s="1"/>
  <c r="CK127" i="27"/>
  <c r="CJ127" i="27"/>
  <c r="CI127" i="27"/>
  <c r="CH127" i="27"/>
  <c r="CG127" i="27"/>
  <c r="CF127" i="27"/>
  <c r="CD127" i="27"/>
  <c r="CC127" i="27"/>
  <c r="CE127" i="27" s="1"/>
  <c r="CA127" i="27"/>
  <c r="BZ127" i="27"/>
  <c r="CB127" i="27" s="1"/>
  <c r="BY127" i="27"/>
  <c r="BX127" i="27"/>
  <c r="BW127" i="27"/>
  <c r="BV127" i="27"/>
  <c r="BU127" i="27"/>
  <c r="BT127" i="27"/>
  <c r="BR127" i="27"/>
  <c r="BQ127" i="27"/>
  <c r="BS127" i="27" s="1"/>
  <c r="BO127" i="27"/>
  <c r="BN127" i="27"/>
  <c r="BP127" i="27" s="1"/>
  <c r="BM127" i="27"/>
  <c r="BL127" i="27"/>
  <c r="BK127" i="27"/>
  <c r="BJ127" i="27"/>
  <c r="BI127" i="27"/>
  <c r="BH127" i="27"/>
  <c r="BF127" i="27"/>
  <c r="BE127" i="27"/>
  <c r="BG127" i="27" s="1"/>
  <c r="BC127" i="27"/>
  <c r="BB127" i="27"/>
  <c r="BD127" i="27" s="1"/>
  <c r="BA127" i="27"/>
  <c r="AZ127" i="27"/>
  <c r="AY127" i="27"/>
  <c r="AX127" i="27"/>
  <c r="AW127" i="27"/>
  <c r="AV127" i="27"/>
  <c r="AT127" i="27"/>
  <c r="AS127" i="27"/>
  <c r="AU127" i="27" s="1"/>
  <c r="AQ127" i="27"/>
  <c r="AP127" i="27"/>
  <c r="AR127" i="27" s="1"/>
  <c r="AO127" i="27"/>
  <c r="AN127" i="27"/>
  <c r="AM127" i="27"/>
  <c r="AL127" i="27"/>
  <c r="AK127" i="27"/>
  <c r="AJ127" i="27"/>
  <c r="AH127" i="27"/>
  <c r="AG127" i="27"/>
  <c r="AI127" i="27" s="1"/>
  <c r="AE127" i="27"/>
  <c r="AD127" i="27"/>
  <c r="AF127" i="27" s="1"/>
  <c r="I127" i="27" a="1"/>
  <c r="I127" i="27" s="1"/>
  <c r="I128" i="27" s="1" a="1"/>
  <c r="I128" i="27" s="1"/>
  <c r="I129" i="27" s="1" a="1"/>
  <c r="I129"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V121" i="27"/>
  <c r="FU121" i="27"/>
  <c r="FT121" i="27"/>
  <c r="FS121" i="27"/>
  <c r="FR121" i="27"/>
  <c r="FP121" i="27"/>
  <c r="FO121" i="27"/>
  <c r="FQ121" i="27" s="1"/>
  <c r="FM121" i="27"/>
  <c r="FL121" i="27"/>
  <c r="FN121" i="27" s="1"/>
  <c r="FK121" i="27"/>
  <c r="FJ121" i="27"/>
  <c r="FI121" i="27"/>
  <c r="FH121" i="27"/>
  <c r="FG121" i="27"/>
  <c r="FF121" i="27"/>
  <c r="FD121" i="27"/>
  <c r="FC121" i="27"/>
  <c r="FE121" i="27" s="1"/>
  <c r="FA121" i="27"/>
  <c r="EZ121" i="27"/>
  <c r="FB121" i="27" s="1"/>
  <c r="EY121" i="27"/>
  <c r="EX121" i="27"/>
  <c r="EW121" i="27"/>
  <c r="EV121" i="27"/>
  <c r="EU121" i="27"/>
  <c r="ET121" i="27"/>
  <c r="ER121" i="27"/>
  <c r="EQ121" i="27"/>
  <c r="ES121" i="27" s="1"/>
  <c r="EO121" i="27"/>
  <c r="EN121" i="27"/>
  <c r="EP121" i="27" s="1"/>
  <c r="EM121" i="27"/>
  <c r="EL121" i="27"/>
  <c r="EK121" i="27"/>
  <c r="EJ121" i="27"/>
  <c r="EI121" i="27"/>
  <c r="EH121" i="27"/>
  <c r="EF121" i="27"/>
  <c r="EE121" i="27"/>
  <c r="EG121" i="27" s="1"/>
  <c r="EC121" i="27"/>
  <c r="EB121" i="27"/>
  <c r="ED121" i="27" s="1"/>
  <c r="EA121" i="27"/>
  <c r="DZ121" i="27"/>
  <c r="DY121" i="27"/>
  <c r="DX121" i="27"/>
  <c r="DW121" i="27"/>
  <c r="DV121" i="27"/>
  <c r="DT121" i="27"/>
  <c r="DS121" i="27"/>
  <c r="DU121" i="27" s="1"/>
  <c r="DQ121" i="27"/>
  <c r="DP121" i="27"/>
  <c r="DR121" i="27" s="1"/>
  <c r="DO121" i="27"/>
  <c r="DN121" i="27"/>
  <c r="DM121" i="27"/>
  <c r="DL121" i="27"/>
  <c r="DK121" i="27"/>
  <c r="DJ121" i="27"/>
  <c r="DH121" i="27"/>
  <c r="DG121" i="27"/>
  <c r="DI121" i="27" s="1"/>
  <c r="DE121" i="27"/>
  <c r="DD121" i="27"/>
  <c r="DF121" i="27" s="1"/>
  <c r="DC121" i="27"/>
  <c r="DB121" i="27"/>
  <c r="DA121" i="27"/>
  <c r="CZ121" i="27"/>
  <c r="CY121" i="27"/>
  <c r="CX121" i="27"/>
  <c r="CV121" i="27"/>
  <c r="CU121" i="27"/>
  <c r="CW121" i="27" s="1"/>
  <c r="CS121" i="27"/>
  <c r="CR121" i="27"/>
  <c r="CT121" i="27" s="1"/>
  <c r="CQ121" i="27"/>
  <c r="CP121" i="27"/>
  <c r="CO121" i="27"/>
  <c r="CN121" i="27"/>
  <c r="CM121" i="27"/>
  <c r="CL121" i="27"/>
  <c r="CJ121" i="27"/>
  <c r="CI121" i="27"/>
  <c r="CK121" i="27" s="1"/>
  <c r="CG121" i="27"/>
  <c r="CF121" i="27"/>
  <c r="CH121" i="27" s="1"/>
  <c r="CE121" i="27"/>
  <c r="CD121" i="27"/>
  <c r="CC121" i="27"/>
  <c r="CB121" i="27"/>
  <c r="CA121" i="27"/>
  <c r="BZ121" i="27"/>
  <c r="BX121" i="27"/>
  <c r="BW121" i="27"/>
  <c r="BY121" i="27" s="1"/>
  <c r="BU121" i="27"/>
  <c r="BT121" i="27"/>
  <c r="BV121" i="27" s="1"/>
  <c r="BS121" i="27"/>
  <c r="BR121" i="27"/>
  <c r="BQ121" i="27"/>
  <c r="BP121" i="27"/>
  <c r="BO121" i="27"/>
  <c r="BN121" i="27"/>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T115" i="27"/>
  <c r="FS115" i="27"/>
  <c r="FR115" i="27"/>
  <c r="FQ115" i="27"/>
  <c r="FP115" i="27"/>
  <c r="FO115" i="27"/>
  <c r="FM115" i="27"/>
  <c r="FL115" i="27"/>
  <c r="FN115" i="27" s="1"/>
  <c r="FJ115" i="27"/>
  <c r="FI115" i="27"/>
  <c r="FK115" i="27" s="1"/>
  <c r="FH115" i="27"/>
  <c r="FG115" i="27"/>
  <c r="FF115" i="27"/>
  <c r="FE115" i="27"/>
  <c r="FD115" i="27"/>
  <c r="FC115" i="27"/>
  <c r="FA115" i="27"/>
  <c r="EZ115" i="27"/>
  <c r="FB115" i="27" s="1"/>
  <c r="EX115" i="27"/>
  <c r="EW115" i="27"/>
  <c r="EY115" i="27" s="1"/>
  <c r="EV115" i="27"/>
  <c r="EU115" i="27"/>
  <c r="ET115" i="27"/>
  <c r="ER115" i="27"/>
  <c r="EQ115" i="27"/>
  <c r="ES115" i="27" s="1"/>
  <c r="EO115" i="27"/>
  <c r="EN115" i="27"/>
  <c r="EP115" i="27" s="1"/>
  <c r="EL115" i="27"/>
  <c r="EK115" i="27"/>
  <c r="EM115" i="27" s="1"/>
  <c r="EJ115" i="27"/>
  <c r="EI115" i="27"/>
  <c r="EH115" i="27"/>
  <c r="EF115" i="27"/>
  <c r="EE115" i="27"/>
  <c r="EG115" i="27" s="1"/>
  <c r="EC115" i="27"/>
  <c r="EB115" i="27"/>
  <c r="ED115" i="27" s="1"/>
  <c r="DZ115" i="27"/>
  <c r="DY115" i="27"/>
  <c r="EA115" i="27" s="1"/>
  <c r="DX115" i="27"/>
  <c r="DW115" i="27"/>
  <c r="DV115" i="27"/>
  <c r="DT115" i="27"/>
  <c r="DS115" i="27"/>
  <c r="DU115" i="27" s="1"/>
  <c r="DQ115" i="27"/>
  <c r="DP115" i="27"/>
  <c r="DR115" i="27" s="1"/>
  <c r="DN115" i="27"/>
  <c r="DM115" i="27"/>
  <c r="DO115" i="27" s="1"/>
  <c r="DL115" i="27"/>
  <c r="DK115" i="27"/>
  <c r="DJ115" i="27"/>
  <c r="DH115" i="27"/>
  <c r="DG115" i="27"/>
  <c r="DI115" i="27" s="1"/>
  <c r="DE115" i="27"/>
  <c r="DD115" i="27"/>
  <c r="DF115" i="27" s="1"/>
  <c r="DB115" i="27"/>
  <c r="DA115" i="27"/>
  <c r="DC115" i="27" s="1"/>
  <c r="CZ115" i="27"/>
  <c r="CY115" i="27"/>
  <c r="CX115" i="27"/>
  <c r="CV115" i="27"/>
  <c r="CU115" i="27"/>
  <c r="CW115" i="27" s="1"/>
  <c r="CS115" i="27"/>
  <c r="CR115" i="27"/>
  <c r="CT115" i="27" s="1"/>
  <c r="CP115" i="27"/>
  <c r="CO115" i="27"/>
  <c r="CQ115" i="27" s="1"/>
  <c r="CN115" i="27"/>
  <c r="CM115" i="27"/>
  <c r="CL115" i="27"/>
  <c r="CJ115" i="27"/>
  <c r="CI115" i="27"/>
  <c r="CK115" i="27" s="1"/>
  <c r="CG115" i="27"/>
  <c r="CF115" i="27"/>
  <c r="CH115" i="27" s="1"/>
  <c r="CE115" i="27"/>
  <c r="CD115" i="27"/>
  <c r="CC115" i="27"/>
  <c r="CB115" i="27"/>
  <c r="CA115" i="27"/>
  <c r="BZ115" i="27"/>
  <c r="BX115" i="27"/>
  <c r="BW115" i="27"/>
  <c r="BY115" i="27" s="1"/>
  <c r="BU115" i="27"/>
  <c r="BT115" i="27"/>
  <c r="BV115" i="27" s="1"/>
  <c r="BS115" i="27"/>
  <c r="BR115" i="27"/>
  <c r="BQ115" i="27"/>
  <c r="BP115" i="27"/>
  <c r="BO115" i="27"/>
  <c r="BN115" i="27"/>
  <c r="BL115" i="27"/>
  <c r="BK115" i="27"/>
  <c r="BM115" i="27" s="1"/>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T109" i="27"/>
  <c r="FS109" i="27"/>
  <c r="FR109" i="27"/>
  <c r="FQ109" i="27"/>
  <c r="FP109" i="27"/>
  <c r="FO109" i="27"/>
  <c r="FM109" i="27"/>
  <c r="FL109" i="27"/>
  <c r="FN109" i="27" s="1"/>
  <c r="FJ109" i="27"/>
  <c r="FI109" i="27"/>
  <c r="FK109" i="27" s="1"/>
  <c r="FH109" i="27"/>
  <c r="FG109" i="27"/>
  <c r="FF109" i="27"/>
  <c r="FE109" i="27"/>
  <c r="FD109" i="27"/>
  <c r="FC109" i="27"/>
  <c r="FA109" i="27"/>
  <c r="EZ109" i="27"/>
  <c r="FB109" i="27" s="1"/>
  <c r="EX109" i="27"/>
  <c r="EW109" i="27"/>
  <c r="EY109" i="27" s="1"/>
  <c r="EV109" i="27"/>
  <c r="EU109" i="27"/>
  <c r="ET109" i="27"/>
  <c r="ES109" i="27"/>
  <c r="ER109" i="27"/>
  <c r="EQ109" i="27"/>
  <c r="EO109" i="27"/>
  <c r="EN109" i="27"/>
  <c r="EP109" i="27" s="1"/>
  <c r="EL109" i="27"/>
  <c r="EK109" i="27"/>
  <c r="EM109" i="27" s="1"/>
  <c r="EJ109" i="27"/>
  <c r="EI109" i="27"/>
  <c r="EH109" i="27"/>
  <c r="EG109" i="27"/>
  <c r="EF109" i="27"/>
  <c r="EE109" i="27"/>
  <c r="EC109" i="27"/>
  <c r="EB109" i="27"/>
  <c r="ED109" i="27" s="1"/>
  <c r="DZ109" i="27"/>
  <c r="DY109" i="27"/>
  <c r="EA109" i="27" s="1"/>
  <c r="DX109" i="27"/>
  <c r="DW109" i="27"/>
  <c r="DV109" i="27"/>
  <c r="DU109" i="27"/>
  <c r="DT109" i="27"/>
  <c r="DS109" i="27"/>
  <c r="DQ109" i="27"/>
  <c r="DP109" i="27"/>
  <c r="DR109" i="27" s="1"/>
  <c r="DN109" i="27"/>
  <c r="DM109" i="27"/>
  <c r="DO109" i="27" s="1"/>
  <c r="DL109" i="27"/>
  <c r="DK109" i="27"/>
  <c r="DJ109" i="27"/>
  <c r="DI109" i="27"/>
  <c r="DH109" i="27"/>
  <c r="DG109" i="27"/>
  <c r="DE109" i="27"/>
  <c r="DD109" i="27"/>
  <c r="DF109" i="27" s="1"/>
  <c r="DB109" i="27"/>
  <c r="DA109" i="27"/>
  <c r="DC109" i="27" s="1"/>
  <c r="CZ109" i="27"/>
  <c r="CY109" i="27"/>
  <c r="CX109" i="27"/>
  <c r="CW109" i="27"/>
  <c r="CV109" i="27"/>
  <c r="CU109" i="27"/>
  <c r="CS109" i="27"/>
  <c r="CR109" i="27"/>
  <c r="CT109" i="27" s="1"/>
  <c r="CP109" i="27"/>
  <c r="CO109" i="27"/>
  <c r="CQ109" i="27" s="1"/>
  <c r="CN109" i="27"/>
  <c r="CM109" i="27"/>
  <c r="CL109" i="27"/>
  <c r="CK109" i="27"/>
  <c r="CJ109" i="27"/>
  <c r="CI109" i="27"/>
  <c r="CG109" i="27"/>
  <c r="CF109" i="27"/>
  <c r="CH109" i="27" s="1"/>
  <c r="CD109" i="27"/>
  <c r="CC109" i="27"/>
  <c r="CE109" i="27" s="1"/>
  <c r="CB109" i="27"/>
  <c r="CA109" i="27"/>
  <c r="BZ109" i="27"/>
  <c r="BY109" i="27"/>
  <c r="BX109" i="27"/>
  <c r="BW109" i="27"/>
  <c r="BU109" i="27"/>
  <c r="BT109" i="27"/>
  <c r="BV109" i="27" s="1"/>
  <c r="BR109" i="27"/>
  <c r="BQ109" i="27"/>
  <c r="BS109" i="27" s="1"/>
  <c r="BP109" i="27"/>
  <c r="BO109" i="27"/>
  <c r="BN109" i="27"/>
  <c r="BM109" i="27"/>
  <c r="BL109" i="27"/>
  <c r="BK109" i="27"/>
  <c r="BI109" i="27"/>
  <c r="BH109" i="27"/>
  <c r="BJ109" i="27" s="1"/>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V103" i="27"/>
  <c r="FU103" i="27"/>
  <c r="FW103" i="27" s="1"/>
  <c r="FS103" i="27"/>
  <c r="FR103" i="27"/>
  <c r="FT103" i="27" s="1"/>
  <c r="FP103" i="27"/>
  <c r="FO103" i="27"/>
  <c r="FQ103" i="27" s="1"/>
  <c r="FN103" i="27"/>
  <c r="FM103" i="27"/>
  <c r="FL103" i="27"/>
  <c r="FJ103" i="27"/>
  <c r="FI103" i="27"/>
  <c r="FK103" i="27" s="1"/>
  <c r="FG103" i="27"/>
  <c r="FF103" i="27"/>
  <c r="FH103" i="27" s="1"/>
  <c r="FD103" i="27"/>
  <c r="FC103" i="27"/>
  <c r="FE103" i="27" s="1"/>
  <c r="FB103" i="27"/>
  <c r="FA103" i="27"/>
  <c r="EZ103" i="27"/>
  <c r="EX103" i="27"/>
  <c r="EW103" i="27"/>
  <c r="EY103" i="27" s="1"/>
  <c r="EU103" i="27"/>
  <c r="ET103" i="27"/>
  <c r="EV103" i="27" s="1"/>
  <c r="ER103" i="27"/>
  <c r="EQ103" i="27"/>
  <c r="ES103" i="27" s="1"/>
  <c r="EP103" i="27"/>
  <c r="EO103" i="27"/>
  <c r="EN103" i="27"/>
  <c r="EL103" i="27"/>
  <c r="EK103" i="27"/>
  <c r="EM103" i="27" s="1"/>
  <c r="EI103" i="27"/>
  <c r="EH103" i="27"/>
  <c r="EJ103" i="27" s="1"/>
  <c r="EF103" i="27"/>
  <c r="EE103" i="27"/>
  <c r="EG103" i="27" s="1"/>
  <c r="ED103" i="27"/>
  <c r="EC103" i="27"/>
  <c r="EB103" i="27"/>
  <c r="EA103" i="27"/>
  <c r="DZ103" i="27"/>
  <c r="DY103" i="27"/>
  <c r="DW103" i="27"/>
  <c r="DV103" i="27"/>
  <c r="DX103" i="27" s="1"/>
  <c r="DT103" i="27"/>
  <c r="DS103" i="27"/>
  <c r="DU103" i="27" s="1"/>
  <c r="DR103" i="27"/>
  <c r="DQ103" i="27"/>
  <c r="DP103" i="27"/>
  <c r="DN103" i="27"/>
  <c r="DM103" i="27"/>
  <c r="DO103" i="27" s="1"/>
  <c r="DK103" i="27"/>
  <c r="DJ103" i="27"/>
  <c r="DL103" i="27" s="1"/>
  <c r="DH103" i="27"/>
  <c r="DG103" i="27"/>
  <c r="DI103" i="27" s="1"/>
  <c r="DF103" i="27"/>
  <c r="DE103" i="27"/>
  <c r="DD103" i="27"/>
  <c r="DB103" i="27"/>
  <c r="DA103" i="27"/>
  <c r="DC103" i="27" s="1"/>
  <c r="CY103" i="27"/>
  <c r="CX103" i="27"/>
  <c r="CZ103" i="27" s="1"/>
  <c r="CV103" i="27"/>
  <c r="CU103" i="27"/>
  <c r="CW103" i="27" s="1"/>
  <c r="CT103" i="27"/>
  <c r="CS103" i="27"/>
  <c r="CR103" i="27"/>
  <c r="CP103" i="27"/>
  <c r="CO103" i="27"/>
  <c r="CQ103" i="27" s="1"/>
  <c r="CM103" i="27"/>
  <c r="CL103" i="27"/>
  <c r="CN103" i="27" s="1"/>
  <c r="CJ103" i="27"/>
  <c r="CI103" i="27"/>
  <c r="CK103" i="27" s="1"/>
  <c r="CH103" i="27"/>
  <c r="CG103" i="27"/>
  <c r="CF103" i="27"/>
  <c r="CD103" i="27"/>
  <c r="CC103" i="27"/>
  <c r="CE103" i="27" s="1"/>
  <c r="CA103" i="27"/>
  <c r="BZ103" i="27"/>
  <c r="CB103" i="27" s="1"/>
  <c r="BX103" i="27"/>
  <c r="BW103" i="27"/>
  <c r="BY103" i="27" s="1"/>
  <c r="BV103" i="27"/>
  <c r="BU103" i="27"/>
  <c r="BT103" i="27"/>
  <c r="BR103" i="27"/>
  <c r="BQ103" i="27"/>
  <c r="BS103" i="27" s="1"/>
  <c r="BO103" i="27"/>
  <c r="BN103" i="27"/>
  <c r="BP103" i="27" s="1"/>
  <c r="BL103" i="27"/>
  <c r="BK103" i="27"/>
  <c r="BM103" i="27" s="1"/>
  <c r="BJ103" i="27"/>
  <c r="BI103" i="27"/>
  <c r="BH103" i="27"/>
  <c r="GB99" i="27"/>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c r="GB99" i="27" s="1" a="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c r="F85" i="27" a="1"/>
  <c r="F85" i="27"/>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c r="GB72" i="27" s="1" a="1"/>
  <c r="GB72" i="27" s="1"/>
  <c r="GB73" i="27" s="1" a="1"/>
  <c r="GB73" i="27" s="1"/>
  <c r="GB74" i="27" s="1" a="1"/>
  <c r="GB74" i="27" s="1"/>
  <c r="GB75" i="27" s="1" a="1"/>
  <c r="GB75" i="27" s="1"/>
  <c r="FV71" i="27"/>
  <c r="FU71" i="27"/>
  <c r="FW71" i="27" s="1"/>
  <c r="FT71" i="27"/>
  <c r="FS71" i="27"/>
  <c r="FR71" i="27"/>
  <c r="FQ71" i="27"/>
  <c r="FP71" i="27"/>
  <c r="FO71" i="27"/>
  <c r="FM71" i="27"/>
  <c r="FL71" i="27"/>
  <c r="FN71" i="27" s="1"/>
  <c r="FJ71" i="27"/>
  <c r="FI71" i="27"/>
  <c r="FK71" i="27" s="1"/>
  <c r="FH71" i="27"/>
  <c r="FG71" i="27"/>
  <c r="FF71" i="27"/>
  <c r="FE71" i="27"/>
  <c r="FD71" i="27"/>
  <c r="FC71" i="27"/>
  <c r="FA71" i="27"/>
  <c r="EZ71" i="27"/>
  <c r="FB71" i="27" s="1"/>
  <c r="EX71" i="27"/>
  <c r="EW71" i="27"/>
  <c r="EY71" i="27" s="1"/>
  <c r="EV71" i="27"/>
  <c r="EU71" i="27"/>
  <c r="ET71" i="27"/>
  <c r="ES71" i="27"/>
  <c r="ER71" i="27"/>
  <c r="EQ71" i="27"/>
  <c r="EO71" i="27"/>
  <c r="EN71" i="27"/>
  <c r="EP71" i="27" s="1"/>
  <c r="EL71" i="27"/>
  <c r="EK71" i="27"/>
  <c r="EM71" i="27" s="1"/>
  <c r="EJ71" i="27"/>
  <c r="EI71" i="27"/>
  <c r="EH71" i="27"/>
  <c r="EG71" i="27"/>
  <c r="EF71" i="27"/>
  <c r="EE71" i="27"/>
  <c r="EC71" i="27"/>
  <c r="EB71" i="27"/>
  <c r="ED71" i="27" s="1"/>
  <c r="DZ71" i="27"/>
  <c r="DY71" i="27"/>
  <c r="EA71" i="27" s="1"/>
  <c r="DX71" i="27"/>
  <c r="DW71" i="27"/>
  <c r="DV71" i="27"/>
  <c r="DU71" i="27"/>
  <c r="DT71" i="27"/>
  <c r="DS71" i="27"/>
  <c r="DQ71" i="27"/>
  <c r="DP71" i="27"/>
  <c r="DR71" i="27" s="1"/>
  <c r="DN71" i="27"/>
  <c r="DM71" i="27"/>
  <c r="DO71" i="27" s="1"/>
  <c r="DL71" i="27"/>
  <c r="DK71" i="27"/>
  <c r="DJ71" i="27"/>
  <c r="DI71" i="27"/>
  <c r="DH71" i="27"/>
  <c r="DG71" i="27"/>
  <c r="DE71" i="27"/>
  <c r="DD71" i="27"/>
  <c r="DF71" i="27" s="1"/>
  <c r="DB71" i="27"/>
  <c r="DA71" i="27"/>
  <c r="DC71" i="27" s="1"/>
  <c r="CZ71" i="27"/>
  <c r="CY71" i="27"/>
  <c r="CX71" i="27"/>
  <c r="CW71" i="27"/>
  <c r="CV71" i="27"/>
  <c r="CU71" i="27"/>
  <c r="CS71" i="27"/>
  <c r="CR71" i="27"/>
  <c r="CT71" i="27" s="1"/>
  <c r="CP71" i="27"/>
  <c r="CO71" i="27"/>
  <c r="CQ71" i="27" s="1"/>
  <c r="CN71" i="27"/>
  <c r="CM71" i="27"/>
  <c r="CL71" i="27"/>
  <c r="CK71" i="27"/>
  <c r="CJ71" i="27"/>
  <c r="CI71" i="27"/>
  <c r="CG71" i="27"/>
  <c r="CF71" i="27"/>
  <c r="CH71" i="27" s="1"/>
  <c r="CD71" i="27"/>
  <c r="CC71" i="27"/>
  <c r="CE71" i="27" s="1"/>
  <c r="CB71" i="27"/>
  <c r="CA71" i="27"/>
  <c r="BZ71" i="27"/>
  <c r="BY71" i="27"/>
  <c r="BX71" i="27"/>
  <c r="BW71" i="27"/>
  <c r="BU71" i="27"/>
  <c r="BT71" i="27"/>
  <c r="BV71" i="27" s="1"/>
  <c r="BR71" i="27"/>
  <c r="BQ71" i="27"/>
  <c r="BS71" i="27" s="1"/>
  <c r="BP71" i="27"/>
  <c r="BO71" i="27"/>
  <c r="BN71" i="27"/>
  <c r="BM71" i="27"/>
  <c r="BL71" i="27"/>
  <c r="BK71" i="27"/>
  <c r="BI71" i="27"/>
  <c r="BH71" i="27"/>
  <c r="BJ71" i="27" s="1"/>
  <c r="BF71" i="27"/>
  <c r="BE71" i="27"/>
  <c r="BG71" i="27" s="1"/>
  <c r="BD71" i="27"/>
  <c r="BC71" i="27"/>
  <c r="BB71" i="27"/>
  <c r="BA71" i="27"/>
  <c r="AZ71" i="27"/>
  <c r="AY71" i="27"/>
  <c r="AW71" i="27"/>
  <c r="AV71" i="27"/>
  <c r="AX71" i="27" s="1"/>
  <c r="AT71" i="27"/>
  <c r="AS71" i="27"/>
  <c r="AU71" i="27" s="1"/>
  <c r="AR71" i="27"/>
  <c r="AQ71" i="27"/>
  <c r="AP71" i="27"/>
  <c r="AO71" i="27"/>
  <c r="AN71" i="27"/>
  <c r="AM71" i="27"/>
  <c r="AK71" i="27"/>
  <c r="AJ71" i="27"/>
  <c r="AL71" i="27" s="1"/>
  <c r="AH71" i="27"/>
  <c r="AG71" i="27"/>
  <c r="AI71" i="27" s="1"/>
  <c r="AF71" i="27"/>
  <c r="AE71" i="27"/>
  <c r="AD71" i="27"/>
  <c r="I71" i="27" a="1"/>
  <c r="I71" i="27"/>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S65" i="27"/>
  <c r="FR65" i="27"/>
  <c r="FT65" i="27" s="1"/>
  <c r="FP65" i="27"/>
  <c r="FO65" i="27"/>
  <c r="FQ65" i="27" s="1"/>
  <c r="FN65" i="27"/>
  <c r="FM65" i="27"/>
  <c r="FL65" i="27"/>
  <c r="FK65" i="27"/>
  <c r="FJ65" i="27"/>
  <c r="FI65" i="27"/>
  <c r="FG65" i="27"/>
  <c r="FF65" i="27"/>
  <c r="FH65" i="27" s="1"/>
  <c r="FD65" i="27"/>
  <c r="FC65" i="27"/>
  <c r="FE65" i="27" s="1"/>
  <c r="FB65" i="27"/>
  <c r="FA65" i="27"/>
  <c r="EZ65" i="27"/>
  <c r="EY65" i="27"/>
  <c r="EX65" i="27"/>
  <c r="EW65" i="27"/>
  <c r="EU65" i="27"/>
  <c r="ET65" i="27"/>
  <c r="EV65" i="27" s="1"/>
  <c r="ER65" i="27"/>
  <c r="EQ65" i="27"/>
  <c r="ES65" i="27" s="1"/>
  <c r="EP65" i="27"/>
  <c r="EO65" i="27"/>
  <c r="EN65" i="27"/>
  <c r="EM65" i="27"/>
  <c r="EL65" i="27"/>
  <c r="EK65" i="27"/>
  <c r="EI65" i="27"/>
  <c r="EH65" i="27"/>
  <c r="EJ65" i="27" s="1"/>
  <c r="EF65" i="27"/>
  <c r="EE65" i="27"/>
  <c r="EG65" i="27" s="1"/>
  <c r="ED65" i="27"/>
  <c r="EC65" i="27"/>
  <c r="EB65" i="27"/>
  <c r="EA65" i="27"/>
  <c r="DZ65" i="27"/>
  <c r="DY65" i="27"/>
  <c r="DW65" i="27"/>
  <c r="DV65" i="27"/>
  <c r="DX65" i="27" s="1"/>
  <c r="DT65" i="27"/>
  <c r="DS65" i="27"/>
  <c r="DU65" i="27" s="1"/>
  <c r="DR65" i="27"/>
  <c r="DQ65" i="27"/>
  <c r="DP65" i="27"/>
  <c r="DO65" i="27"/>
  <c r="DN65" i="27"/>
  <c r="DM65" i="27"/>
  <c r="DK65" i="27"/>
  <c r="DJ65" i="27"/>
  <c r="DL65" i="27" s="1"/>
  <c r="DH65" i="27"/>
  <c r="DG65" i="27"/>
  <c r="DI65" i="27" s="1"/>
  <c r="DF65" i="27"/>
  <c r="DE65" i="27"/>
  <c r="DD65" i="27"/>
  <c r="DC65" i="27"/>
  <c r="DB65" i="27"/>
  <c r="DA65" i="27"/>
  <c r="CY65" i="27"/>
  <c r="CX65" i="27"/>
  <c r="CZ65" i="27" s="1"/>
  <c r="CV65" i="27"/>
  <c r="CU65" i="27"/>
  <c r="CW65" i="27" s="1"/>
  <c r="CT65" i="27"/>
  <c r="CS65" i="27"/>
  <c r="CR65" i="27"/>
  <c r="CQ65" i="27"/>
  <c r="CP65" i="27"/>
  <c r="CO65" i="27"/>
  <c r="CM65" i="27"/>
  <c r="CL65" i="27"/>
  <c r="CN65" i="27" s="1"/>
  <c r="CJ65" i="27"/>
  <c r="CI65" i="27"/>
  <c r="CK65" i="27" s="1"/>
  <c r="CH65" i="27"/>
  <c r="CG65" i="27"/>
  <c r="CF65" i="27"/>
  <c r="CE65" i="27"/>
  <c r="CD65" i="27"/>
  <c r="CC65" i="27"/>
  <c r="CA65" i="27"/>
  <c r="BZ65" i="27"/>
  <c r="CB65" i="27" s="1"/>
  <c r="BX65" i="27"/>
  <c r="BW65" i="27"/>
  <c r="BY65" i="27" s="1"/>
  <c r="BV65" i="27"/>
  <c r="BU65" i="27"/>
  <c r="BT65" i="27"/>
  <c r="BS65" i="27"/>
  <c r="BR65" i="27"/>
  <c r="BQ65" i="27"/>
  <c r="BO65" i="27"/>
  <c r="BN65" i="27"/>
  <c r="BP65" i="27" s="1"/>
  <c r="BL65" i="27"/>
  <c r="BK65" i="27"/>
  <c r="BM65" i="27" s="1"/>
  <c r="BJ65" i="27"/>
  <c r="BI65" i="27"/>
  <c r="BH65" i="27"/>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T59" i="27"/>
  <c r="FS59" i="27"/>
  <c r="FR59" i="27"/>
  <c r="FP59" i="27"/>
  <c r="FO59" i="27"/>
  <c r="FQ59" i="27" s="1"/>
  <c r="FM59" i="27"/>
  <c r="FL59" i="27"/>
  <c r="FN59" i="27" s="1"/>
  <c r="FK59" i="27"/>
  <c r="FJ59" i="27"/>
  <c r="FI59" i="27"/>
  <c r="FH59" i="27"/>
  <c r="FG59" i="27"/>
  <c r="FF59" i="27"/>
  <c r="FD59" i="27"/>
  <c r="FC59" i="27"/>
  <c r="FE59" i="27" s="1"/>
  <c r="FA59" i="27"/>
  <c r="EZ59" i="27"/>
  <c r="FB59" i="27" s="1"/>
  <c r="EY59" i="27"/>
  <c r="EX59" i="27"/>
  <c r="EW59" i="27"/>
  <c r="EV59" i="27"/>
  <c r="EU59" i="27"/>
  <c r="ET59" i="27"/>
  <c r="ER59" i="27"/>
  <c r="EQ59" i="27"/>
  <c r="ES59" i="27" s="1"/>
  <c r="EO59" i="27"/>
  <c r="EN59" i="27"/>
  <c r="EP59" i="27" s="1"/>
  <c r="EM59" i="27"/>
  <c r="EL59" i="27"/>
  <c r="EK59" i="27"/>
  <c r="EJ59" i="27"/>
  <c r="EI59" i="27"/>
  <c r="EH59" i="27"/>
  <c r="EF59" i="27"/>
  <c r="EE59" i="27"/>
  <c r="EG59" i="27" s="1"/>
  <c r="EC59" i="27"/>
  <c r="EB59" i="27"/>
  <c r="ED59" i="27" s="1"/>
  <c r="EA59" i="27"/>
  <c r="DZ59" i="27"/>
  <c r="DY59" i="27"/>
  <c r="DX59" i="27"/>
  <c r="DW59" i="27"/>
  <c r="DV59" i="27"/>
  <c r="DT59" i="27"/>
  <c r="DS59" i="27"/>
  <c r="DU59" i="27" s="1"/>
  <c r="DQ59" i="27"/>
  <c r="DP59" i="27"/>
  <c r="DR59" i="27" s="1"/>
  <c r="DO59" i="27"/>
  <c r="DN59" i="27"/>
  <c r="DM59" i="27"/>
  <c r="DL59" i="27"/>
  <c r="DK59" i="27"/>
  <c r="DJ59" i="27"/>
  <c r="DH59" i="27"/>
  <c r="DG59" i="27"/>
  <c r="DI59" i="27" s="1"/>
  <c r="DE59" i="27"/>
  <c r="DD59" i="27"/>
  <c r="DF59" i="27" s="1"/>
  <c r="DC59" i="27"/>
  <c r="DB59" i="27"/>
  <c r="DA59" i="27"/>
  <c r="CZ59" i="27"/>
  <c r="CY59" i="27"/>
  <c r="CX59" i="27"/>
  <c r="CV59" i="27"/>
  <c r="CU59" i="27"/>
  <c r="CW59" i="27" s="1"/>
  <c r="CS59" i="27"/>
  <c r="CR59" i="27"/>
  <c r="CT59" i="27" s="1"/>
  <c r="CQ59" i="27"/>
  <c r="CP59" i="27"/>
  <c r="CO59" i="27"/>
  <c r="CN59" i="27"/>
  <c r="CM59" i="27"/>
  <c r="CL59" i="27"/>
  <c r="CJ59" i="27"/>
  <c r="CI59" i="27"/>
  <c r="CK59" i="27" s="1"/>
  <c r="CG59" i="27"/>
  <c r="CF59" i="27"/>
  <c r="CH59" i="27" s="1"/>
  <c r="CE59" i="27"/>
  <c r="CD59" i="27"/>
  <c r="CC59" i="27"/>
  <c r="CB59" i="27"/>
  <c r="CA59" i="27"/>
  <c r="BZ59" i="27"/>
  <c r="BX59" i="27"/>
  <c r="BW59" i="27"/>
  <c r="BY59" i="27" s="1"/>
  <c r="BU59" i="27"/>
  <c r="BT59" i="27"/>
  <c r="BV59" i="27" s="1"/>
  <c r="BS59" i="27"/>
  <c r="BR59" i="27"/>
  <c r="BQ59" i="27"/>
  <c r="BP59" i="27"/>
  <c r="BO59" i="27"/>
  <c r="BN59" i="27"/>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J53" i="27"/>
  <c r="FI53" i="27"/>
  <c r="FK53" i="27" s="1"/>
  <c r="FH53" i="27"/>
  <c r="FG53" i="27"/>
  <c r="FF53" i="27"/>
  <c r="FE53" i="27"/>
  <c r="FD53" i="27"/>
  <c r="FC53" i="27"/>
  <c r="FA53" i="27"/>
  <c r="EZ53" i="27"/>
  <c r="FB53" i="27" s="1"/>
  <c r="EX53" i="27"/>
  <c r="EW53" i="27"/>
  <c r="EY53" i="27" s="1"/>
  <c r="EV53" i="27"/>
  <c r="EU53" i="27"/>
  <c r="ET53" i="27"/>
  <c r="ES53" i="27"/>
  <c r="ER53" i="27"/>
  <c r="EQ53" i="27"/>
  <c r="EO53" i="27"/>
  <c r="EN53" i="27"/>
  <c r="EP53" i="27" s="1"/>
  <c r="EL53" i="27"/>
  <c r="EK53" i="27"/>
  <c r="EM53" i="27" s="1"/>
  <c r="EJ53" i="27"/>
  <c r="EI53" i="27"/>
  <c r="EH53" i="27"/>
  <c r="EG53" i="27"/>
  <c r="EF53" i="27"/>
  <c r="EE53" i="27"/>
  <c r="EC53" i="27"/>
  <c r="EB53" i="27"/>
  <c r="ED53" i="27" s="1"/>
  <c r="DZ53" i="27"/>
  <c r="DY53" i="27"/>
  <c r="EA53" i="27" s="1"/>
  <c r="DX53" i="27"/>
  <c r="DW53" i="27"/>
  <c r="DV53" i="27"/>
  <c r="DU53" i="27"/>
  <c r="DT53" i="27"/>
  <c r="DS53" i="27"/>
  <c r="DQ53" i="27"/>
  <c r="DP53" i="27"/>
  <c r="DR53" i="27" s="1"/>
  <c r="DN53" i="27"/>
  <c r="DM53" i="27"/>
  <c r="DO53" i="27" s="1"/>
  <c r="DL53" i="27"/>
  <c r="DK53" i="27"/>
  <c r="DJ53" i="27"/>
  <c r="DI53" i="27"/>
  <c r="DH53" i="27"/>
  <c r="DG53" i="27"/>
  <c r="DE53" i="27"/>
  <c r="DD53" i="27"/>
  <c r="DF53" i="27" s="1"/>
  <c r="DB53" i="27"/>
  <c r="DA53" i="27"/>
  <c r="DC53" i="27" s="1"/>
  <c r="CZ53" i="27"/>
  <c r="CY53" i="27"/>
  <c r="CX53" i="27"/>
  <c r="CW53" i="27"/>
  <c r="CV53" i="27"/>
  <c r="CU53" i="27"/>
  <c r="CS53" i="27"/>
  <c r="CR53" i="27"/>
  <c r="CT53" i="27" s="1"/>
  <c r="CP53" i="27"/>
  <c r="CO53" i="27"/>
  <c r="CQ53" i="27" s="1"/>
  <c r="CN53" i="27"/>
  <c r="CM53" i="27"/>
  <c r="CL53" i="27"/>
  <c r="CK53" i="27"/>
  <c r="CJ53" i="27"/>
  <c r="CI53" i="27"/>
  <c r="CG53" i="27"/>
  <c r="CF53" i="27"/>
  <c r="CH53" i="27" s="1"/>
  <c r="CD53" i="27"/>
  <c r="CC53" i="27"/>
  <c r="CE53" i="27" s="1"/>
  <c r="CB53" i="27"/>
  <c r="CA53" i="27"/>
  <c r="BZ53" i="27"/>
  <c r="BY53" i="27"/>
  <c r="BX53" i="27"/>
  <c r="BW53" i="27"/>
  <c r="BU53" i="27"/>
  <c r="BT53" i="27"/>
  <c r="BV53" i="27" s="1"/>
  <c r="BR53" i="27"/>
  <c r="BQ53" i="27"/>
  <c r="BS53" i="27" s="1"/>
  <c r="BP53" i="27"/>
  <c r="BO53" i="27"/>
  <c r="BN53" i="27"/>
  <c r="BM53" i="27"/>
  <c r="BL53" i="27"/>
  <c r="BK53" i="27"/>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V47" i="27"/>
  <c r="FU47" i="27"/>
  <c r="FW47" i="27" s="1"/>
  <c r="FS47" i="27"/>
  <c r="FR47" i="27"/>
  <c r="FT47" i="27" s="1"/>
  <c r="FQ47" i="27"/>
  <c r="FP47" i="27"/>
  <c r="FO47" i="27"/>
  <c r="FN47" i="27"/>
  <c r="FM47" i="27"/>
  <c r="FL47" i="27"/>
  <c r="FJ47" i="27"/>
  <c r="FI47" i="27"/>
  <c r="FK47" i="27" s="1"/>
  <c r="FG47" i="27"/>
  <c r="FF47" i="27"/>
  <c r="FH47" i="27" s="1"/>
  <c r="FE47" i="27"/>
  <c r="FD47" i="27"/>
  <c r="FC47" i="27"/>
  <c r="FB47" i="27"/>
  <c r="FA47" i="27"/>
  <c r="EZ47" i="27"/>
  <c r="EX47" i="27"/>
  <c r="EW47" i="27"/>
  <c r="EY47" i="27" s="1"/>
  <c r="EU47" i="27"/>
  <c r="ET47" i="27"/>
  <c r="EV47" i="27" s="1"/>
  <c r="ES47" i="27"/>
  <c r="ER47" i="27"/>
  <c r="EQ47" i="27"/>
  <c r="EP47" i="27"/>
  <c r="EO47" i="27"/>
  <c r="EN47" i="27"/>
  <c r="EL47" i="27"/>
  <c r="EK47" i="27"/>
  <c r="EM47" i="27" s="1"/>
  <c r="EI47" i="27"/>
  <c r="EH47" i="27"/>
  <c r="EJ47" i="27" s="1"/>
  <c r="EG47" i="27"/>
  <c r="EF47" i="27"/>
  <c r="EE47" i="27"/>
  <c r="ED47" i="27"/>
  <c r="EC47" i="27"/>
  <c r="EB47" i="27"/>
  <c r="DZ47" i="27"/>
  <c r="DY47" i="27"/>
  <c r="EA47" i="27" s="1"/>
  <c r="DW47" i="27"/>
  <c r="DV47" i="27"/>
  <c r="DX47" i="27" s="1"/>
  <c r="DU47" i="27"/>
  <c r="DT47" i="27"/>
  <c r="DS47" i="27"/>
  <c r="DR47" i="27"/>
  <c r="DQ47" i="27"/>
  <c r="DP47" i="27"/>
  <c r="DN47" i="27"/>
  <c r="DM47" i="27"/>
  <c r="DO47" i="27" s="1"/>
  <c r="DK47" i="27"/>
  <c r="DJ47" i="27"/>
  <c r="DL47" i="27" s="1"/>
  <c r="DI47" i="27"/>
  <c r="DH47" i="27"/>
  <c r="DG47" i="27"/>
  <c r="DF47" i="27"/>
  <c r="DE47" i="27"/>
  <c r="DD47" i="27"/>
  <c r="DB47" i="27"/>
  <c r="DA47" i="27"/>
  <c r="DC47" i="27" s="1"/>
  <c r="CY47" i="27"/>
  <c r="CX47" i="27"/>
  <c r="CZ47" i="27" s="1"/>
  <c r="CW47" i="27"/>
  <c r="CV47" i="27"/>
  <c r="CU47" i="27"/>
  <c r="CT47" i="27"/>
  <c r="CS47" i="27"/>
  <c r="CR47" i="27"/>
  <c r="CP47" i="27"/>
  <c r="CO47" i="27"/>
  <c r="CQ47" i="27" s="1"/>
  <c r="CM47" i="27"/>
  <c r="CL47" i="27"/>
  <c r="CN47" i="27" s="1"/>
  <c r="CK47" i="27"/>
  <c r="CJ47" i="27"/>
  <c r="CI47" i="27"/>
  <c r="CH47" i="27"/>
  <c r="CG47" i="27"/>
  <c r="CF47" i="27"/>
  <c r="CD47" i="27"/>
  <c r="CC47" i="27"/>
  <c r="CE47" i="27" s="1"/>
  <c r="CA47" i="27"/>
  <c r="BZ47" i="27"/>
  <c r="CB47" i="27" s="1"/>
  <c r="BY47" i="27"/>
  <c r="BX47" i="27"/>
  <c r="BW47" i="27"/>
  <c r="BV47" i="27"/>
  <c r="BU47" i="27"/>
  <c r="BT47" i="27"/>
  <c r="BR47" i="27"/>
  <c r="BQ47" i="27"/>
  <c r="BS47" i="27" s="1"/>
  <c r="BO47" i="27"/>
  <c r="BN47" i="27"/>
  <c r="BP47" i="27" s="1"/>
  <c r="BM47" i="27"/>
  <c r="BL47" i="27"/>
  <c r="BK47" i="27"/>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I43" i="27" a="1"/>
  <c r="I43" i="27" s="1"/>
  <c r="GB42" i="27" a="1"/>
  <c r="GB42" i="27" s="1"/>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29" i="27"/>
  <c r="T30" i="27" s="1"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Q29" i="27" a="1"/>
  <c r="Q29" i="27" s="1"/>
  <c r="AB74" i="27" s="1"/>
  <c r="F29" i="27" a="1"/>
  <c r="F29" i="27" s="1"/>
  <c r="F30" i="27" s="1"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L25" i="27"/>
  <c r="EZ25" i="27"/>
  <c r="EE25" i="27"/>
  <c r="DP25" i="27"/>
  <c r="DD25" i="27"/>
  <c r="CI25" i="27"/>
  <c r="BT25" i="27"/>
  <c r="BH25" i="27"/>
  <c r="AM25" i="27"/>
  <c r="FW10" i="27" a="1"/>
  <c r="FW10" i="27"/>
  <c r="FV10" i="27" a="1"/>
  <c r="FV10" i="27" s="1"/>
  <c r="FU10" i="27" a="1"/>
  <c r="FU10" i="27" s="1"/>
  <c r="FT10" i="27" a="1"/>
  <c r="FT10" i="27" s="1"/>
  <c r="FS10" i="27" a="1"/>
  <c r="FS10" i="27" s="1"/>
  <c r="FR10" i="27" a="1"/>
  <c r="FR10" i="27" s="1"/>
  <c r="FQ10" i="27" a="1"/>
  <c r="FQ10" i="27"/>
  <c r="FP10" i="27" a="1"/>
  <c r="FP10" i="27" s="1"/>
  <c r="FO10" i="27" a="1"/>
  <c r="FO10" i="27"/>
  <c r="FN10" i="27" a="1"/>
  <c r="FN10" i="27" s="1"/>
  <c r="FM10" i="27" a="1"/>
  <c r="FM10" i="27" s="1"/>
  <c r="FL10" i="27" a="1"/>
  <c r="FL10" i="27" s="1"/>
  <c r="FK10" i="27" a="1"/>
  <c r="FK10" i="27" s="1"/>
  <c r="FJ10" i="27" a="1"/>
  <c r="FJ10" i="27" s="1"/>
  <c r="FI10" i="27" a="1"/>
  <c r="FI10" i="27"/>
  <c r="FH10" i="27" a="1"/>
  <c r="FH10" i="27" s="1"/>
  <c r="FG10" i="27" a="1"/>
  <c r="FG10" i="27"/>
  <c r="FF10" i="27" a="1"/>
  <c r="FF10" i="27" s="1"/>
  <c r="FE10" i="27" a="1"/>
  <c r="FE10" i="27" s="1"/>
  <c r="FD10" i="27" a="1"/>
  <c r="FD10" i="27" s="1"/>
  <c r="FC10" i="27" a="1"/>
  <c r="FC10" i="27" s="1"/>
  <c r="FB10" i="27" a="1"/>
  <c r="FB10" i="27" s="1"/>
  <c r="FA10" i="27" a="1"/>
  <c r="FA10" i="27"/>
  <c r="EZ10" i="27" a="1"/>
  <c r="EZ10" i="27" s="1"/>
  <c r="EY10" i="27" a="1"/>
  <c r="EY10" i="27"/>
  <c r="EX10" i="27" a="1"/>
  <c r="EX10" i="27" s="1"/>
  <c r="EW10" i="27" a="1"/>
  <c r="EW10" i="27" s="1"/>
  <c r="EV10" i="27" a="1"/>
  <c r="EV10" i="27" s="1"/>
  <c r="EU10" i="27" a="1"/>
  <c r="EU10" i="27" s="1"/>
  <c r="ET10" i="27" a="1"/>
  <c r="ET10" i="27" s="1"/>
  <c r="ES10" i="27" a="1"/>
  <c r="ES10" i="27"/>
  <c r="ER10" i="27" a="1"/>
  <c r="ER10" i="27" s="1"/>
  <c r="EQ10" i="27" a="1"/>
  <c r="EQ10" i="27"/>
  <c r="EP10" i="27" a="1"/>
  <c r="EP10" i="27" s="1"/>
  <c r="EO10" i="27" a="1"/>
  <c r="EO10" i="27" s="1"/>
  <c r="EN10" i="27" a="1"/>
  <c r="EN10" i="27" s="1"/>
  <c r="EM10" i="27" a="1"/>
  <c r="EM10" i="27" s="1"/>
  <c r="EL10" i="27" a="1"/>
  <c r="EL10" i="27" s="1"/>
  <c r="EK10" i="27" a="1"/>
  <c r="EK10" i="27"/>
  <c r="EJ10" i="27" a="1"/>
  <c r="EJ10" i="27" s="1"/>
  <c r="EI10" i="27" a="1"/>
  <c r="EI10" i="27"/>
  <c r="EH10" i="27" a="1"/>
  <c r="EH10" i="27" s="1"/>
  <c r="EG10" i="27" a="1"/>
  <c r="EG10" i="27" s="1"/>
  <c r="EF10" i="27" a="1"/>
  <c r="EF10" i="27" s="1"/>
  <c r="EE10" i="27" a="1"/>
  <c r="EE10" i="27" s="1"/>
  <c r="ED10" i="27" a="1"/>
  <c r="ED10" i="27" s="1"/>
  <c r="EC10" i="27" a="1"/>
  <c r="EC10" i="27"/>
  <c r="EB10" i="27" a="1"/>
  <c r="EB10" i="27" s="1"/>
  <c r="EA10" i="27" a="1"/>
  <c r="EA10" i="27"/>
  <c r="DZ10" i="27" a="1"/>
  <c r="DZ10" i="27" s="1"/>
  <c r="DY10" i="27" a="1"/>
  <c r="DY10" i="27" s="1"/>
  <c r="DX10" i="27" a="1"/>
  <c r="DX10" i="27" s="1"/>
  <c r="DW10" i="27" a="1"/>
  <c r="DW10" i="27" s="1"/>
  <c r="DV10" i="27" a="1"/>
  <c r="DV10" i="27" s="1"/>
  <c r="DU10" i="27" a="1"/>
  <c r="DU10" i="27"/>
  <c r="DT10" i="27" a="1"/>
  <c r="DT10" i="27" s="1"/>
  <c r="DS10" i="27" a="1"/>
  <c r="DS10" i="27"/>
  <c r="DR10" i="27" a="1"/>
  <c r="DR10" i="27" s="1"/>
  <c r="DQ10" i="27" a="1"/>
  <c r="DQ10" i="27" s="1"/>
  <c r="DP10" i="27" a="1"/>
  <c r="DP10" i="27" s="1"/>
  <c r="DO10" i="27" a="1"/>
  <c r="DO10" i="27" s="1"/>
  <c r="DN10" i="27" a="1"/>
  <c r="DN10" i="27" s="1"/>
  <c r="DM10" i="27" a="1"/>
  <c r="DM10" i="27"/>
  <c r="DL10" i="27" a="1"/>
  <c r="DL10" i="27" s="1"/>
  <c r="DK10" i="27" a="1"/>
  <c r="DK10" i="27"/>
  <c r="DJ10" i="27" a="1"/>
  <c r="DJ10" i="27" s="1"/>
  <c r="DI10" i="27" a="1"/>
  <c r="DI10" i="27" s="1"/>
  <c r="DH10" i="27" a="1"/>
  <c r="DH10" i="27" s="1"/>
  <c r="DG10" i="27" a="1"/>
  <c r="DG10" i="27" s="1"/>
  <c r="DF10" i="27" a="1"/>
  <c r="DF10" i="27" s="1"/>
  <c r="DE10" i="27" a="1"/>
  <c r="DE10" i="27"/>
  <c r="DD10" i="27" a="1"/>
  <c r="DD10" i="27" s="1"/>
  <c r="DC10" i="27" a="1"/>
  <c r="DC10" i="27"/>
  <c r="DB10" i="27" a="1"/>
  <c r="DB10" i="27" s="1"/>
  <c r="DA10" i="27" a="1"/>
  <c r="DA10" i="27" s="1"/>
  <c r="CZ10" i="27" a="1"/>
  <c r="CZ10" i="27" s="1"/>
  <c r="CY10" i="27" a="1"/>
  <c r="CY10" i="27" s="1"/>
  <c r="CX10" i="27" a="1"/>
  <c r="CX10" i="27" s="1"/>
  <c r="CW10" i="27" a="1"/>
  <c r="CW10" i="27"/>
  <c r="CV10" i="27" a="1"/>
  <c r="CV10" i="27" s="1"/>
  <c r="CU10" i="27" a="1"/>
  <c r="CU10" i="27"/>
  <c r="CT10" i="27" a="1"/>
  <c r="CT10" i="27" s="1"/>
  <c r="CS10" i="27" a="1"/>
  <c r="CS10" i="27" s="1"/>
  <c r="CR10" i="27" a="1"/>
  <c r="CR10" i="27" s="1"/>
  <c r="CQ10" i="27" a="1"/>
  <c r="CQ10" i="27" s="1"/>
  <c r="CP10" i="27" a="1"/>
  <c r="CP10" i="27" s="1"/>
  <c r="CO10" i="27" a="1"/>
  <c r="CO10" i="27"/>
  <c r="CN10" i="27" a="1"/>
  <c r="CN10" i="27" s="1"/>
  <c r="CM10" i="27" a="1"/>
  <c r="CM10" i="27"/>
  <c r="CL10" i="27" a="1"/>
  <c r="CL10" i="27" s="1"/>
  <c r="CK10" i="27" a="1"/>
  <c r="CK10" i="27" s="1"/>
  <c r="CJ10" i="27" a="1"/>
  <c r="CJ10" i="27" s="1"/>
  <c r="CI10" i="27" a="1"/>
  <c r="CI10" i="27" s="1"/>
  <c r="CH10" i="27" a="1"/>
  <c r="CH10" i="27" s="1"/>
  <c r="CG10" i="27" a="1"/>
  <c r="CG10" i="27"/>
  <c r="CF10" i="27" a="1"/>
  <c r="CF10" i="27" s="1"/>
  <c r="CE10" i="27" a="1"/>
  <c r="CE10" i="27"/>
  <c r="CD10" i="27" a="1"/>
  <c r="CD10" i="27" s="1"/>
  <c r="CC10" i="27" a="1"/>
  <c r="CC10" i="27" s="1"/>
  <c r="CB10" i="27" a="1"/>
  <c r="CB10" i="27" s="1"/>
  <c r="CA10" i="27" a="1"/>
  <c r="CA10" i="27" s="1"/>
  <c r="BZ10" i="27" a="1"/>
  <c r="BZ10" i="27" s="1"/>
  <c r="BY10" i="27" a="1"/>
  <c r="BY10" i="27"/>
  <c r="BX10" i="27" a="1"/>
  <c r="BX10" i="27" s="1"/>
  <c r="BW10" i="27" a="1"/>
  <c r="BW10" i="27"/>
  <c r="BV10" i="27" a="1"/>
  <c r="BV10" i="27" s="1"/>
  <c r="BU10" i="27" a="1"/>
  <c r="BU10" i="27" s="1"/>
  <c r="BT10" i="27" a="1"/>
  <c r="BT10" i="27" s="1"/>
  <c r="BS10" i="27" a="1"/>
  <c r="BS10" i="27" s="1"/>
  <c r="BR10" i="27" a="1"/>
  <c r="BR10" i="27" s="1"/>
  <c r="BQ10" i="27" a="1"/>
  <c r="BQ10" i="27"/>
  <c r="BP10" i="27" a="1"/>
  <c r="BP10" i="27" s="1"/>
  <c r="BO10" i="27" a="1"/>
  <c r="BO10" i="27"/>
  <c r="BN10" i="27" a="1"/>
  <c r="BN10" i="27" s="1"/>
  <c r="BM10" i="27" a="1"/>
  <c r="BM10" i="27" s="1"/>
  <c r="BL10" i="27" a="1"/>
  <c r="BL10" i="27" s="1"/>
  <c r="BK10" i="27" a="1"/>
  <c r="BK10" i="27" s="1"/>
  <c r="BJ10" i="27" a="1"/>
  <c r="BJ10" i="27" s="1"/>
  <c r="BI10" i="27" a="1"/>
  <c r="BI10" i="27"/>
  <c r="BH10" i="27" a="1"/>
  <c r="BH10" i="27" s="1"/>
  <c r="BG10" i="27" a="1"/>
  <c r="BG10" i="27"/>
  <c r="BF10" i="27" a="1"/>
  <c r="BF10" i="27" s="1"/>
  <c r="BE10" i="27" a="1"/>
  <c r="BE10" i="27" s="1"/>
  <c r="BD10" i="27" a="1"/>
  <c r="BD10" i="27" s="1"/>
  <c r="BC10" i="27" a="1"/>
  <c r="BC10" i="27" s="1"/>
  <c r="BB10" i="27" a="1"/>
  <c r="BB10" i="27" s="1"/>
  <c r="BA10" i="27" a="1"/>
  <c r="BA10" i="27"/>
  <c r="AZ10" i="27" a="1"/>
  <c r="AZ10" i="27" s="1"/>
  <c r="AY10" i="27" a="1"/>
  <c r="AY10" i="27"/>
  <c r="AX10" i="27" a="1"/>
  <c r="AX10" i="27" s="1"/>
  <c r="AW10" i="27" a="1"/>
  <c r="AW10" i="27" s="1"/>
  <c r="AV10" i="27" a="1"/>
  <c r="AV10" i="27" s="1"/>
  <c r="AU10" i="27" a="1"/>
  <c r="AU10" i="27" s="1"/>
  <c r="AT10" i="27" a="1"/>
  <c r="AT10" i="27" s="1"/>
  <c r="AS10" i="27" a="1"/>
  <c r="AS10" i="27"/>
  <c r="AR10" i="27" a="1"/>
  <c r="AR10" i="27" s="1"/>
  <c r="AQ10" i="27" a="1"/>
  <c r="AQ10" i="27"/>
  <c r="AP10" i="27" a="1"/>
  <c r="AP10" i="27" s="1"/>
  <c r="AO10" i="27" a="1"/>
  <c r="AO10" i="27" s="1"/>
  <c r="AN10" i="27" a="1"/>
  <c r="AN10" i="27" s="1"/>
  <c r="AM10" i="27" a="1"/>
  <c r="AM10" i="27" s="1"/>
  <c r="AL10" i="27" a="1"/>
  <c r="AL10" i="27" s="1"/>
  <c r="AK10" i="27" a="1"/>
  <c r="AK10" i="27"/>
  <c r="AJ10" i="27" a="1"/>
  <c r="AJ10" i="27" s="1"/>
  <c r="AI10" i="27" a="1"/>
  <c r="AI10" i="27"/>
  <c r="AH10" i="27" a="1"/>
  <c r="AH10" i="27" s="1"/>
  <c r="AG10" i="27" a="1"/>
  <c r="AG10" i="27" s="1"/>
  <c r="AF10" i="27" a="1"/>
  <c r="AF10" i="27" s="1"/>
  <c r="AE10" i="27" a="1"/>
  <c r="AE10" i="27" s="1"/>
  <c r="AD10" i="27" a="1"/>
  <c r="AD10" i="27" s="1"/>
  <c r="FW9" i="27" a="1"/>
  <c r="FW9" i="27"/>
  <c r="FT9" i="27" a="1"/>
  <c r="FT9" i="27" s="1"/>
  <c r="FO9" i="27" a="1"/>
  <c r="FO9" i="27"/>
  <c r="FL9" i="27" a="1"/>
  <c r="FL9" i="27" s="1"/>
  <c r="FG9" i="27" a="1"/>
  <c r="FG9" i="27"/>
  <c r="FD9" i="27" a="1"/>
  <c r="FD9" i="27" s="1"/>
  <c r="EY9" i="27" a="1"/>
  <c r="EY9" i="27"/>
  <c r="EV9" i="27" a="1"/>
  <c r="EV9" i="27" s="1"/>
  <c r="EQ9" i="27" a="1"/>
  <c r="EQ9" i="27"/>
  <c r="EN9" i="27" a="1"/>
  <c r="EN9" i="27" s="1"/>
  <c r="EI9" i="27" a="1"/>
  <c r="EI9" i="27"/>
  <c r="EF9" i="27" a="1"/>
  <c r="EF9" i="27" s="1"/>
  <c r="EA9" i="27" a="1"/>
  <c r="EA9" i="27"/>
  <c r="DX9" i="27" a="1"/>
  <c r="DX9" i="27" s="1"/>
  <c r="DS9" i="27" a="1"/>
  <c r="DS9" i="27"/>
  <c r="DP9" i="27" a="1"/>
  <c r="DP9" i="27" s="1"/>
  <c r="DK9" i="27" a="1"/>
  <c r="DK9" i="27" s="1"/>
  <c r="DG9" i="27" a="1"/>
  <c r="DG9" i="27" s="1"/>
  <c r="DC9" i="27" a="1"/>
  <c r="DC9" i="27" s="1"/>
  <c r="CY9" i="27" a="1"/>
  <c r="CY9" i="27" s="1"/>
  <c r="CU9" i="27" a="1"/>
  <c r="CU9" i="27" s="1"/>
  <c r="CQ9" i="27" a="1"/>
  <c r="CQ9" i="27" s="1"/>
  <c r="CM9" i="27" a="1"/>
  <c r="CM9" i="27" s="1"/>
  <c r="CI9" i="27" a="1"/>
  <c r="CI9" i="27" s="1"/>
  <c r="CE9" i="27" a="1"/>
  <c r="CE9" i="27" s="1"/>
  <c r="CA9" i="27" a="1"/>
  <c r="CA9" i="27" s="1"/>
  <c r="BW9" i="27" a="1"/>
  <c r="BW9" i="27" s="1"/>
  <c r="BS9" i="27" a="1"/>
  <c r="BS9" i="27" s="1"/>
  <c r="BO9" i="27" a="1"/>
  <c r="BO9" i="27" s="1"/>
  <c r="BK9" i="27" a="1"/>
  <c r="BK9" i="27" s="1"/>
  <c r="BG9" i="27" a="1"/>
  <c r="BG9" i="27" s="1"/>
  <c r="BC9" i="27" a="1"/>
  <c r="BC9" i="27" s="1"/>
  <c r="AY9" i="27" a="1"/>
  <c r="AY9" i="27" s="1"/>
  <c r="AU9" i="27" a="1"/>
  <c r="AU9" i="27" s="1"/>
  <c r="AQ9" i="27" a="1"/>
  <c r="AQ9" i="27" s="1"/>
  <c r="AM9" i="27" a="1"/>
  <c r="AM9" i="27" s="1"/>
  <c r="AI9" i="27" a="1"/>
  <c r="AI9" i="27" s="1"/>
  <c r="FW8" i="27"/>
  <c r="FS8" i="27"/>
  <c r="FO8" i="27"/>
  <c r="FK8" i="27"/>
  <c r="FG8" i="27"/>
  <c r="FC8" i="27"/>
  <c r="EY8" i="27"/>
  <c r="EU8" i="27"/>
  <c r="EQ8" i="27"/>
  <c r="EM8" i="27"/>
  <c r="EI8" i="27"/>
  <c r="EE8" i="27"/>
  <c r="EA8" i="27"/>
  <c r="DW8" i="27"/>
  <c r="DS8" i="27"/>
  <c r="DO8" i="27"/>
  <c r="DK8" i="27"/>
  <c r="DG8" i="27"/>
  <c r="DC8" i="27"/>
  <c r="CY8" i="27"/>
  <c r="CU8" i="27"/>
  <c r="CQ8" i="27"/>
  <c r="CM8" i="27"/>
  <c r="CI8" i="27"/>
  <c r="CE8" i="27"/>
  <c r="CA8" i="27"/>
  <c r="BW8" i="27"/>
  <c r="BS8" i="27"/>
  <c r="BO8" i="27"/>
  <c r="BK8" i="27"/>
  <c r="BG8" i="27"/>
  <c r="BC8" i="27"/>
  <c r="AY8" i="27"/>
  <c r="AU8" i="27"/>
  <c r="AQ8" i="27"/>
  <c r="AM8" i="27"/>
  <c r="AI8" i="27"/>
  <c r="FW7" i="27" a="1"/>
  <c r="FW7" i="27"/>
  <c r="FV7" i="27" a="1"/>
  <c r="FV7" i="27" s="1"/>
  <c r="FU7" i="27" a="1"/>
  <c r="FU7" i="27"/>
  <c r="FT7" i="27" a="1"/>
  <c r="FT7" i="27" s="1"/>
  <c r="FT8" i="27" s="1"/>
  <c r="FS7" i="27" a="1"/>
  <c r="FS7" i="27"/>
  <c r="FR7" i="27" a="1"/>
  <c r="FR7" i="27" s="1"/>
  <c r="FQ7" i="27" a="1"/>
  <c r="FQ7" i="27"/>
  <c r="FP7" i="27" a="1"/>
  <c r="FP7" i="27" s="1"/>
  <c r="FP8" i="27" s="1"/>
  <c r="FO7" i="27" a="1"/>
  <c r="FO7" i="27"/>
  <c r="FN7" i="27" a="1"/>
  <c r="FN7" i="27" s="1"/>
  <c r="FM7" i="27" a="1"/>
  <c r="FM7" i="27"/>
  <c r="FL7" i="27" a="1"/>
  <c r="FL7" i="27" s="1"/>
  <c r="FL8" i="27" s="1"/>
  <c r="FK7" i="27" a="1"/>
  <c r="FK7" i="27"/>
  <c r="FJ7" i="27" a="1"/>
  <c r="FJ7" i="27" s="1"/>
  <c r="FI7" i="27" a="1"/>
  <c r="FI7" i="27"/>
  <c r="FH7" i="27" a="1"/>
  <c r="FH7" i="27" s="1"/>
  <c r="FH8" i="27" s="1"/>
  <c r="FG7" i="27" a="1"/>
  <c r="FG7" i="27"/>
  <c r="FF7" i="27" a="1"/>
  <c r="FF7" i="27" s="1"/>
  <c r="FE7" i="27" a="1"/>
  <c r="FE7" i="27"/>
  <c r="FD7" i="27" a="1"/>
  <c r="FD7" i="27" s="1"/>
  <c r="FD8" i="27" s="1"/>
  <c r="FC7" i="27" a="1"/>
  <c r="FC7" i="27"/>
  <c r="FB7" i="27" a="1"/>
  <c r="FB7" i="27" s="1"/>
  <c r="FA7" i="27" a="1"/>
  <c r="FA7" i="27"/>
  <c r="EZ7" i="27" a="1"/>
  <c r="EZ7" i="27" s="1"/>
  <c r="EZ8" i="27" s="1"/>
  <c r="EY7" i="27" a="1"/>
  <c r="EY7" i="27"/>
  <c r="EX7" i="27" a="1"/>
  <c r="EX7" i="27" s="1"/>
  <c r="EW7" i="27" a="1"/>
  <c r="EW7" i="27"/>
  <c r="EV7" i="27" a="1"/>
  <c r="EV7" i="27" s="1"/>
  <c r="EV8" i="27" s="1"/>
  <c r="EU7" i="27" a="1"/>
  <c r="EU7" i="27"/>
  <c r="ET7" i="27" a="1"/>
  <c r="ET7" i="27" s="1"/>
  <c r="ES7" i="27" a="1"/>
  <c r="ES7" i="27"/>
  <c r="ER7" i="27" a="1"/>
  <c r="ER7" i="27" s="1"/>
  <c r="ER8" i="27" s="1"/>
  <c r="EQ7" i="27" a="1"/>
  <c r="EQ7" i="27"/>
  <c r="EP7" i="27" a="1"/>
  <c r="EP7" i="27" s="1"/>
  <c r="EO7" i="27" a="1"/>
  <c r="EO7" i="27"/>
  <c r="EN7" i="27" a="1"/>
  <c r="EN7" i="27" s="1"/>
  <c r="EN8" i="27" s="1"/>
  <c r="EM7" i="27" a="1"/>
  <c r="EM7" i="27"/>
  <c r="EL7" i="27" a="1"/>
  <c r="EL7" i="27" s="1"/>
  <c r="EK7" i="27" a="1"/>
  <c r="EK7" i="27"/>
  <c r="EJ7" i="27" a="1"/>
  <c r="EJ7" i="27" s="1"/>
  <c r="EJ8" i="27" s="1"/>
  <c r="EI7" i="27" a="1"/>
  <c r="EI7" i="27"/>
  <c r="EH7" i="27" a="1"/>
  <c r="EH7" i="27" s="1"/>
  <c r="EG7" i="27" a="1"/>
  <c r="EG7" i="27"/>
  <c r="EF7" i="27" a="1"/>
  <c r="EF7" i="27" s="1"/>
  <c r="EF8" i="27" s="1"/>
  <c r="EE7" i="27" a="1"/>
  <c r="EE7" i="27"/>
  <c r="ED7" i="27" a="1"/>
  <c r="ED7" i="27" s="1"/>
  <c r="EC7" i="27" a="1"/>
  <c r="EC7" i="27"/>
  <c r="EB7" i="27" a="1"/>
  <c r="EB7" i="27" s="1"/>
  <c r="EB8" i="27" s="1"/>
  <c r="EA7" i="27" a="1"/>
  <c r="EA7" i="27"/>
  <c r="DZ7" i="27" a="1"/>
  <c r="DZ7" i="27" s="1"/>
  <c r="DY7" i="27" a="1"/>
  <c r="DY7" i="27"/>
  <c r="DX7" i="27" a="1"/>
  <c r="DX7" i="27" s="1"/>
  <c r="DX8" i="27" s="1"/>
  <c r="DW7" i="27" a="1"/>
  <c r="DW7" i="27"/>
  <c r="DV7" i="27" a="1"/>
  <c r="DV7" i="27" s="1"/>
  <c r="DU7" i="27" a="1"/>
  <c r="DU7" i="27"/>
  <c r="DT7" i="27" a="1"/>
  <c r="DT7" i="27" s="1"/>
  <c r="DT8" i="27" s="1"/>
  <c r="DS7" i="27" a="1"/>
  <c r="DS7" i="27"/>
  <c r="DR7" i="27" a="1"/>
  <c r="DR7" i="27" s="1"/>
  <c r="DQ7" i="27" a="1"/>
  <c r="DQ7" i="27"/>
  <c r="DP7" i="27" a="1"/>
  <c r="DP7" i="27" s="1"/>
  <c r="DP8" i="27" s="1"/>
  <c r="DO7" i="27" a="1"/>
  <c r="DO7" i="27"/>
  <c r="DN7" i="27" a="1"/>
  <c r="DN7" i="27" s="1"/>
  <c r="DM7" i="27" a="1"/>
  <c r="DM7" i="27"/>
  <c r="DL7" i="27" a="1"/>
  <c r="DL7" i="27" s="1"/>
  <c r="DL8" i="27" s="1"/>
  <c r="DK7" i="27" a="1"/>
  <c r="DK7" i="27"/>
  <c r="DJ7" i="27" a="1"/>
  <c r="DJ7" i="27" s="1"/>
  <c r="DI7" i="27" a="1"/>
  <c r="DI7" i="27"/>
  <c r="DH7" i="27" a="1"/>
  <c r="DH7" i="27" s="1"/>
  <c r="DH8" i="27" s="1"/>
  <c r="DG7" i="27" a="1"/>
  <c r="DG7" i="27"/>
  <c r="DF7" i="27" a="1"/>
  <c r="DF7" i="27" s="1"/>
  <c r="DE7" i="27" a="1"/>
  <c r="DE7" i="27"/>
  <c r="DD7" i="27" a="1"/>
  <c r="DD7" i="27" s="1"/>
  <c r="DD8" i="27" s="1"/>
  <c r="DC7" i="27" a="1"/>
  <c r="DC7" i="27"/>
  <c r="DB7" i="27" a="1"/>
  <c r="DB7" i="27" s="1"/>
  <c r="DA7" i="27" a="1"/>
  <c r="DA7" i="27"/>
  <c r="CZ7" i="27" a="1"/>
  <c r="CZ7" i="27" s="1"/>
  <c r="CZ8" i="27" s="1"/>
  <c r="CY7" i="27" a="1"/>
  <c r="CY7" i="27"/>
  <c r="CX7" i="27" a="1"/>
  <c r="CX7" i="27" s="1"/>
  <c r="CW7" i="27" a="1"/>
  <c r="CW7" i="27"/>
  <c r="CV7" i="27" a="1"/>
  <c r="CV7" i="27" s="1"/>
  <c r="CV8" i="27" s="1"/>
  <c r="CU7" i="27" a="1"/>
  <c r="CU7" i="27"/>
  <c r="CT7" i="27" a="1"/>
  <c r="CT7" i="27" s="1"/>
  <c r="CS7" i="27" a="1"/>
  <c r="CS7" i="27"/>
  <c r="CR7" i="27" a="1"/>
  <c r="CR7" i="27" s="1"/>
  <c r="CR8" i="27" s="1"/>
  <c r="CQ7" i="27" a="1"/>
  <c r="CQ7" i="27"/>
  <c r="CP7" i="27" a="1"/>
  <c r="CP7" i="27" s="1"/>
  <c r="CO7" i="27" a="1"/>
  <c r="CO7" i="27"/>
  <c r="CN7" i="27" a="1"/>
  <c r="CN7" i="27" s="1"/>
  <c r="CN8" i="27" s="1"/>
  <c r="CM7" i="27" a="1"/>
  <c r="CM7" i="27"/>
  <c r="CL7" i="27" a="1"/>
  <c r="CL7" i="27" s="1"/>
  <c r="CK7" i="27" a="1"/>
  <c r="CK7" i="27"/>
  <c r="CJ7" i="27" a="1"/>
  <c r="CJ7" i="27" s="1"/>
  <c r="CJ8" i="27" s="1"/>
  <c r="CI7" i="27" a="1"/>
  <c r="CI7" i="27"/>
  <c r="CH7" i="27" a="1"/>
  <c r="CH7" i="27" s="1"/>
  <c r="CG7" i="27" a="1"/>
  <c r="CG7" i="27"/>
  <c r="CF7" i="27" a="1"/>
  <c r="CF7" i="27" s="1"/>
  <c r="CF8" i="27" s="1"/>
  <c r="CE7" i="27" a="1"/>
  <c r="CE7" i="27"/>
  <c r="CD7" i="27" a="1"/>
  <c r="CD7" i="27" s="1"/>
  <c r="CC7" i="27" a="1"/>
  <c r="CC7" i="27"/>
  <c r="CB7" i="27" a="1"/>
  <c r="CB7" i="27" s="1"/>
  <c r="CB8" i="27" s="1"/>
  <c r="CA7" i="27" a="1"/>
  <c r="CA7" i="27"/>
  <c r="BZ7" i="27" a="1"/>
  <c r="BZ7" i="27" s="1"/>
  <c r="BY7" i="27" a="1"/>
  <c r="BY7" i="27"/>
  <c r="BX7" i="27" a="1"/>
  <c r="BX7" i="27" s="1"/>
  <c r="BX8" i="27" s="1"/>
  <c r="BW7" i="27" a="1"/>
  <c r="BW7" i="27"/>
  <c r="BV7" i="27" a="1"/>
  <c r="BV7" i="27" s="1"/>
  <c r="BU7" i="27" a="1"/>
  <c r="BU7" i="27"/>
  <c r="BT7" i="27" a="1"/>
  <c r="BT7" i="27" s="1"/>
  <c r="BT8" i="27" s="1"/>
  <c r="BS7" i="27" a="1"/>
  <c r="BS7" i="27"/>
  <c r="BR7" i="27" a="1"/>
  <c r="BR7" i="27" s="1"/>
  <c r="BQ7" i="27" a="1"/>
  <c r="BQ7" i="27"/>
  <c r="BP7" i="27" a="1"/>
  <c r="BP7" i="27" s="1"/>
  <c r="BP8" i="27" s="1"/>
  <c r="BO7" i="27" a="1"/>
  <c r="BO7" i="27"/>
  <c r="BN7" i="27" a="1"/>
  <c r="BN7" i="27" s="1"/>
  <c r="BM7" i="27" a="1"/>
  <c r="BM7" i="27"/>
  <c r="BL7" i="27" a="1"/>
  <c r="BL7" i="27" s="1"/>
  <c r="BL8" i="27" s="1"/>
  <c r="BK7" i="27" a="1"/>
  <c r="BK7" i="27"/>
  <c r="BJ7" i="27" a="1"/>
  <c r="BJ7" i="27" s="1"/>
  <c r="BI7" i="27" a="1"/>
  <c r="BI7" i="27"/>
  <c r="BH7" i="27" a="1"/>
  <c r="BH7" i="27" s="1"/>
  <c r="BH8" i="27" s="1"/>
  <c r="BG7" i="27" a="1"/>
  <c r="BG7" i="27"/>
  <c r="BF7" i="27" a="1"/>
  <c r="BF7" i="27" s="1"/>
  <c r="BE7" i="27" a="1"/>
  <c r="BE7" i="27"/>
  <c r="BD7" i="27" a="1"/>
  <c r="BD7" i="27" s="1"/>
  <c r="BD8" i="27" s="1"/>
  <c r="BC7" i="27" a="1"/>
  <c r="BC7" i="27"/>
  <c r="BB7" i="27" a="1"/>
  <c r="BB7" i="27" s="1"/>
  <c r="BA7" i="27" a="1"/>
  <c r="BA7" i="27"/>
  <c r="AZ7" i="27" a="1"/>
  <c r="AZ7" i="27" s="1"/>
  <c r="AZ8" i="27" s="1"/>
  <c r="AY7" i="27" a="1"/>
  <c r="AY7" i="27"/>
  <c r="AX7" i="27" a="1"/>
  <c r="AX7" i="27" s="1"/>
  <c r="AW7" i="27" a="1"/>
  <c r="AW7" i="27"/>
  <c r="AV7" i="27" a="1"/>
  <c r="AV7" i="27" s="1"/>
  <c r="AV8" i="27" s="1"/>
  <c r="AU7" i="27" a="1"/>
  <c r="AU7" i="27"/>
  <c r="AT7" i="27" a="1"/>
  <c r="AT7" i="27" s="1"/>
  <c r="AS7" i="27" a="1"/>
  <c r="AS7" i="27"/>
  <c r="AR7" i="27" a="1"/>
  <c r="AR7" i="27" s="1"/>
  <c r="AR8" i="27" s="1"/>
  <c r="AQ7" i="27" a="1"/>
  <c r="AQ7" i="27"/>
  <c r="AP7" i="27" a="1"/>
  <c r="AP7" i="27" s="1"/>
  <c r="AO7" i="27" a="1"/>
  <c r="AO7" i="27"/>
  <c r="AN7" i="27" a="1"/>
  <c r="AN7" i="27" s="1"/>
  <c r="AN8" i="27" s="1"/>
  <c r="AM7" i="27" a="1"/>
  <c r="AM7" i="27"/>
  <c r="AL7" i="27" a="1"/>
  <c r="AL7" i="27" s="1"/>
  <c r="AK7" i="27" a="1"/>
  <c r="AK7" i="27"/>
  <c r="AJ7" i="27" a="1"/>
  <c r="AJ7" i="27" s="1"/>
  <c r="AJ8" i="27" s="1"/>
  <c r="AI7" i="27" a="1"/>
  <c r="AI7" i="27"/>
  <c r="AH7" i="27" a="1"/>
  <c r="AH7" i="27" s="1"/>
  <c r="AG7" i="27" a="1"/>
  <c r="AG7" i="27"/>
  <c r="AF7" i="27" a="1"/>
  <c r="AF7" i="27" s="1"/>
  <c r="AF8" i="27" s="1"/>
  <c r="AE7" i="27" a="1"/>
  <c r="AE7" i="27"/>
  <c r="AD7" i="27" a="1"/>
  <c r="AD7" i="27" s="1"/>
  <c r="FW6" i="27"/>
  <c r="FV6" i="27"/>
  <c r="FV9" i="27" s="1" a="1"/>
  <c r="FV9" i="27" s="1"/>
  <c r="FU6" i="27"/>
  <c r="FT6" i="27"/>
  <c r="FS6" i="27"/>
  <c r="FS9" i="27" s="1" a="1"/>
  <c r="FS9" i="27" s="1"/>
  <c r="FR6" i="27"/>
  <c r="FR25" i="27" s="1"/>
  <c r="FQ6" i="27"/>
  <c r="FQ9" i="27" s="1" a="1"/>
  <c r="FQ9" i="27" s="1"/>
  <c r="FP6" i="27"/>
  <c r="FP9" i="27" s="1" a="1"/>
  <c r="FP9" i="27" s="1"/>
  <c r="FO6" i="27"/>
  <c r="FO25" i="27" s="1"/>
  <c r="FN6" i="27"/>
  <c r="FN9" i="27" s="1" a="1"/>
  <c r="FN9" i="27" s="1"/>
  <c r="FM6" i="27"/>
  <c r="FL6" i="27"/>
  <c r="FK6" i="27"/>
  <c r="FK9" i="27" s="1" a="1"/>
  <c r="FK9" i="27" s="1"/>
  <c r="FJ6" i="27"/>
  <c r="FJ8" i="27" s="1"/>
  <c r="FI6" i="27"/>
  <c r="FI9" i="27" s="1" a="1"/>
  <c r="FI9" i="27" s="1"/>
  <c r="FH6" i="27"/>
  <c r="FH9" i="27" s="1" a="1"/>
  <c r="FH9" i="27" s="1"/>
  <c r="FG6" i="27"/>
  <c r="FF6" i="27"/>
  <c r="FF25" i="27" s="1"/>
  <c r="FE6" i="27"/>
  <c r="FD6" i="27"/>
  <c r="FC6" i="27"/>
  <c r="FC9" i="27" s="1" a="1"/>
  <c r="FC9" i="27" s="1"/>
  <c r="FB6" i="27"/>
  <c r="FB8" i="27" s="1"/>
  <c r="FA6" i="27"/>
  <c r="FA9" i="27" s="1" a="1"/>
  <c r="FA9" i="27" s="1"/>
  <c r="EZ6" i="27"/>
  <c r="EZ9" i="27" s="1" a="1"/>
  <c r="EZ9" i="27" s="1"/>
  <c r="EY6" i="27"/>
  <c r="EX6" i="27"/>
  <c r="EX9" i="27" s="1" a="1"/>
  <c r="EX9" i="27" s="1"/>
  <c r="EW6" i="27"/>
  <c r="EW25" i="27" s="1"/>
  <c r="EV6" i="27"/>
  <c r="EU6" i="27"/>
  <c r="EU9" i="27" s="1" a="1"/>
  <c r="EU9" i="27" s="1"/>
  <c r="ET6" i="27"/>
  <c r="ET25" i="27" s="1"/>
  <c r="ES6" i="27"/>
  <c r="ES9" i="27" s="1" a="1"/>
  <c r="ES9" i="27" s="1"/>
  <c r="ER6" i="27"/>
  <c r="ER9" i="27" s="1" a="1"/>
  <c r="ER9" i="27" s="1"/>
  <c r="EQ6" i="27"/>
  <c r="EQ25" i="27" s="1"/>
  <c r="EP6" i="27"/>
  <c r="EP9" i="27" s="1" a="1"/>
  <c r="EP9" i="27" s="1"/>
  <c r="EO6" i="27"/>
  <c r="EN6" i="27"/>
  <c r="EN25" i="27" s="1"/>
  <c r="EM6" i="27"/>
  <c r="EM9" i="27" s="1" a="1"/>
  <c r="EM9" i="27" s="1"/>
  <c r="EL6" i="27"/>
  <c r="EL8" i="27" s="1"/>
  <c r="EK6" i="27"/>
  <c r="EK9" i="27" s="1" a="1"/>
  <c r="EK9" i="27" s="1"/>
  <c r="EJ6" i="27"/>
  <c r="EJ9" i="27" s="1" a="1"/>
  <c r="EJ9" i="27" s="1"/>
  <c r="EI6" i="27"/>
  <c r="EH6" i="27"/>
  <c r="EH25" i="27" s="1"/>
  <c r="EG6" i="27"/>
  <c r="EF6" i="27"/>
  <c r="EE6" i="27"/>
  <c r="EE9" i="27" s="1" a="1"/>
  <c r="EE9" i="27" s="1"/>
  <c r="ED6" i="27"/>
  <c r="ED8" i="27" s="1"/>
  <c r="EC6" i="27"/>
  <c r="EC9" i="27" s="1" a="1"/>
  <c r="EC9" i="27" s="1"/>
  <c r="EB6" i="27"/>
  <c r="EB25" i="27" s="1"/>
  <c r="EA6" i="27"/>
  <c r="DZ6" i="27"/>
  <c r="DZ9" i="27" s="1" a="1"/>
  <c r="DZ9" i="27" s="1"/>
  <c r="DY6" i="27"/>
  <c r="DX6" i="27"/>
  <c r="DW6" i="27"/>
  <c r="DW9" i="27" s="1" a="1"/>
  <c r="DW9" i="27" s="1"/>
  <c r="DV6" i="27"/>
  <c r="DV25" i="27" s="1"/>
  <c r="DU6" i="27"/>
  <c r="DU9" i="27" s="1" a="1"/>
  <c r="DU9" i="27" s="1"/>
  <c r="DT6" i="27"/>
  <c r="DT9" i="27" s="1" a="1"/>
  <c r="DT9" i="27" s="1"/>
  <c r="DS6" i="27"/>
  <c r="DS25" i="27" s="1"/>
  <c r="DR6" i="27"/>
  <c r="DR9" i="27" s="1" a="1"/>
  <c r="DR9" i="27" s="1"/>
  <c r="DQ6" i="27"/>
  <c r="DP6" i="27"/>
  <c r="DO6" i="27"/>
  <c r="DO9" i="27" s="1" a="1"/>
  <c r="DO9" i="27" s="1"/>
  <c r="DN6" i="27"/>
  <c r="DN8" i="27" s="1"/>
  <c r="DM6" i="27"/>
  <c r="DM9" i="27" s="1" a="1"/>
  <c r="DM9" i="27" s="1"/>
  <c r="DL6" i="27"/>
  <c r="DL9" i="27" s="1" a="1"/>
  <c r="DL9" i="27" s="1"/>
  <c r="DK6" i="27"/>
  <c r="DJ6" i="27"/>
  <c r="DJ25" i="27" s="1"/>
  <c r="DI6" i="27"/>
  <c r="DI9" i="27" s="1" a="1"/>
  <c r="DI9" i="27" s="1"/>
  <c r="DH6" i="27"/>
  <c r="DH9" i="27" s="1" a="1"/>
  <c r="DH9" i="27" s="1"/>
  <c r="DG6" i="27"/>
  <c r="DG25" i="27" s="1"/>
  <c r="DF6" i="27"/>
  <c r="DF8" i="27" s="1"/>
  <c r="DE6" i="27"/>
  <c r="DE9" i="27" s="1" a="1"/>
  <c r="DE9" i="27" s="1"/>
  <c r="DD6" i="27"/>
  <c r="DD9" i="27" s="1" a="1"/>
  <c r="DD9" i="27" s="1"/>
  <c r="DC6" i="27"/>
  <c r="DB6" i="27"/>
  <c r="DB8" i="27" s="1"/>
  <c r="DA6" i="27"/>
  <c r="DA25" i="27" s="1"/>
  <c r="CZ6" i="27"/>
  <c r="CZ9" i="27" s="1" a="1"/>
  <c r="CZ9" i="27" s="1"/>
  <c r="CY6" i="27"/>
  <c r="CX6" i="27"/>
  <c r="CX25" i="27" s="1"/>
  <c r="CW6" i="27"/>
  <c r="CW9" i="27" s="1" a="1"/>
  <c r="CW9" i="27" s="1"/>
  <c r="CV6" i="27"/>
  <c r="CV9" i="27" s="1" a="1"/>
  <c r="CV9" i="27" s="1"/>
  <c r="CU6" i="27"/>
  <c r="CU25" i="27" s="1"/>
  <c r="CT6" i="27"/>
  <c r="CT8" i="27" s="1"/>
  <c r="CS6" i="27"/>
  <c r="CS9" i="27" s="1" a="1"/>
  <c r="CS9" i="27" s="1"/>
  <c r="CR6" i="27"/>
  <c r="CR25" i="27" s="1"/>
  <c r="CQ6" i="27"/>
  <c r="CP6" i="27"/>
  <c r="CP8" i="27" s="1"/>
  <c r="CO6" i="27"/>
  <c r="CO9" i="27" s="1" a="1"/>
  <c r="CO9" i="27" s="1"/>
  <c r="CN6" i="27"/>
  <c r="CN9" i="27" s="1" a="1"/>
  <c r="CN9" i="27" s="1"/>
  <c r="CM6" i="27"/>
  <c r="CL6" i="27"/>
  <c r="CL25" i="27" s="1"/>
  <c r="CK6" i="27"/>
  <c r="CK9" i="27" s="1" a="1"/>
  <c r="CK9" i="27" s="1"/>
  <c r="CJ6" i="27"/>
  <c r="CJ9" i="27" s="1" a="1"/>
  <c r="CJ9" i="27" s="1"/>
  <c r="CI6" i="27"/>
  <c r="CH6" i="27"/>
  <c r="CH8" i="27" s="1"/>
  <c r="CG6" i="27"/>
  <c r="CG9" i="27" s="1" a="1"/>
  <c r="CG9" i="27" s="1"/>
  <c r="CF6" i="27"/>
  <c r="CF25" i="27" s="1"/>
  <c r="CE6" i="27"/>
  <c r="CD6" i="27"/>
  <c r="CD8" i="27" s="1"/>
  <c r="CC6" i="27"/>
  <c r="CC9" i="27" s="1" a="1"/>
  <c r="CC9" i="27" s="1"/>
  <c r="CB6" i="27"/>
  <c r="CB9" i="27" s="1" a="1"/>
  <c r="CB9" i="27" s="1"/>
  <c r="CA6" i="27"/>
  <c r="BZ6" i="27"/>
  <c r="BZ25" i="27" s="1"/>
  <c r="BY6" i="27"/>
  <c r="BY9" i="27" s="1" a="1"/>
  <c r="BY9" i="27" s="1"/>
  <c r="BX6" i="27"/>
  <c r="BX9" i="27" s="1" a="1"/>
  <c r="BX9" i="27" s="1"/>
  <c r="BW6" i="27"/>
  <c r="BW25" i="27" s="1"/>
  <c r="BV6" i="27"/>
  <c r="BV8" i="27" s="1"/>
  <c r="BU6" i="27"/>
  <c r="BU9" i="27" s="1" a="1"/>
  <c r="BU9" i="27" s="1"/>
  <c r="BT6" i="27"/>
  <c r="BT9" i="27" s="1" a="1"/>
  <c r="BT9" i="27" s="1"/>
  <c r="BS6" i="27"/>
  <c r="BR6" i="27"/>
  <c r="BR8" i="27" s="1"/>
  <c r="BQ6" i="27"/>
  <c r="BQ9" i="27" s="1" a="1"/>
  <c r="BQ9" i="27" s="1"/>
  <c r="BP6" i="27"/>
  <c r="BP9" i="27" s="1" a="1"/>
  <c r="BP9" i="27" s="1"/>
  <c r="BO6" i="27"/>
  <c r="BN6" i="27"/>
  <c r="BN25" i="27" s="1"/>
  <c r="BM6" i="27"/>
  <c r="BM9" i="27" s="1" a="1"/>
  <c r="BM9" i="27" s="1"/>
  <c r="BL6" i="27"/>
  <c r="BL9" i="27" s="1" a="1"/>
  <c r="BL9" i="27" s="1"/>
  <c r="BK6" i="27"/>
  <c r="BK25" i="27" s="1"/>
  <c r="BJ6" i="27"/>
  <c r="BJ8" i="27" s="1"/>
  <c r="BI6" i="27"/>
  <c r="BI9" i="27" s="1" a="1"/>
  <c r="BI9" i="27" s="1"/>
  <c r="BH6" i="27"/>
  <c r="BH9" i="27" s="1" a="1"/>
  <c r="BH9" i="27" s="1"/>
  <c r="BG6" i="27"/>
  <c r="BF6" i="27"/>
  <c r="BF8" i="27" s="1"/>
  <c r="BE6" i="27"/>
  <c r="BE25" i="27" s="1"/>
  <c r="BD6" i="27"/>
  <c r="BD9" i="27" s="1" a="1"/>
  <c r="BD9" i="27" s="1"/>
  <c r="BC6" i="27"/>
  <c r="BB6" i="27"/>
  <c r="BB25" i="27" s="1"/>
  <c r="BA6" i="27"/>
  <c r="BA9" i="27" s="1" a="1"/>
  <c r="BA9" i="27" s="1"/>
  <c r="AZ6" i="27"/>
  <c r="AZ9" i="27" s="1" a="1"/>
  <c r="AZ9" i="27" s="1"/>
  <c r="AY6" i="27"/>
  <c r="AY25" i="27" s="1"/>
  <c r="AX6" i="27"/>
  <c r="AX8" i="27" s="1"/>
  <c r="AW6" i="27"/>
  <c r="AW9" i="27" s="1" a="1"/>
  <c r="AW9" i="27" s="1"/>
  <c r="AV6" i="27"/>
  <c r="AV25" i="27" s="1"/>
  <c r="AU6" i="27"/>
  <c r="AT6" i="27"/>
  <c r="AT8" i="27" s="1"/>
  <c r="AS6" i="27"/>
  <c r="AS9" i="27" s="1" a="1"/>
  <c r="AS9" i="27" s="1"/>
  <c r="AR6" i="27"/>
  <c r="AR9" i="27" s="1" a="1"/>
  <c r="AR9" i="27" s="1"/>
  <c r="AQ6" i="27"/>
  <c r="AP6" i="27"/>
  <c r="AP25" i="27" s="1"/>
  <c r="AO6" i="27"/>
  <c r="AO9" i="27" s="1" a="1"/>
  <c r="AO9" i="27" s="1"/>
  <c r="AN6" i="27"/>
  <c r="AN9" i="27" s="1" a="1"/>
  <c r="AN9" i="27" s="1"/>
  <c r="AM6" i="27"/>
  <c r="AL6" i="27"/>
  <c r="AL8" i="27" s="1"/>
  <c r="AK6" i="27"/>
  <c r="AK9" i="27" s="1" a="1"/>
  <c r="AK9" i="27" s="1"/>
  <c r="AJ6" i="27"/>
  <c r="AJ25" i="27" s="1"/>
  <c r="AI6" i="27"/>
  <c r="AH6" i="27"/>
  <c r="AH8" i="27" s="1"/>
  <c r="AG6" i="27"/>
  <c r="AG9" i="27" s="1" a="1"/>
  <c r="AG9" i="27" s="1"/>
  <c r="AF6" i="27" a="1"/>
  <c r="AF6" i="27"/>
  <c r="AF9" i="27" s="1" a="1"/>
  <c r="AF9" i="27" s="1"/>
  <c r="AE6" i="27" a="1"/>
  <c r="AE6" i="27"/>
  <c r="AE9" i="27" s="1" a="1"/>
  <c r="AE9" i="27" s="1"/>
  <c r="AD6" i="27" a="1"/>
  <c r="AD6" i="27"/>
  <c r="AD25" i="27" s="1"/>
  <c r="T132" i="26"/>
  <c r="L128" i="26" a="1"/>
  <c r="L128" i="26" s="1"/>
  <c r="L127" i="26" a="1"/>
  <c r="L127" i="26" s="1"/>
  <c r="L126" i="26" a="1"/>
  <c r="L126" i="26" s="1"/>
  <c r="L125" i="26" a="1"/>
  <c r="L125" i="26"/>
  <c r="L124" i="26" a="1"/>
  <c r="L124" i="26"/>
  <c r="AG123" i="26"/>
  <c r="AF123" i="26"/>
  <c r="L123" i="26" a="1"/>
  <c r="L123" i="26" s="1"/>
  <c r="L122" i="26" a="1"/>
  <c r="L122" i="26" s="1"/>
  <c r="L121" i="26" a="1"/>
  <c r="L121" i="26" s="1"/>
  <c r="L120" i="26" a="1"/>
  <c r="L120" i="26"/>
  <c r="L119" i="26" a="1"/>
  <c r="L119" i="26"/>
  <c r="L118" i="26" a="1"/>
  <c r="L118" i="26"/>
  <c r="AG115" i="26"/>
  <c r="AF115" i="26"/>
  <c r="AF114" i="26" s="1" a="1"/>
  <c r="AF114" i="26" s="1"/>
  <c r="AG114" i="26" a="1"/>
  <c r="AG114" i="26" s="1"/>
  <c r="AG109" i="26"/>
  <c r="AF109" i="26"/>
  <c r="AG102" i="26"/>
  <c r="AF102" i="26"/>
  <c r="AF95"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s="1"/>
  <c r="F78" i="26" a="1"/>
  <c r="F78" i="26"/>
  <c r="F79" i="26" s="1" a="1"/>
  <c r="F79" i="26" s="1"/>
  <c r="F80" i="26" s="1" a="1"/>
  <c r="F80" i="26" s="1"/>
  <c r="F81" i="26" s="1" a="1"/>
  <c r="F81" i="26" s="1"/>
  <c r="F82" i="26" s="1" a="1"/>
  <c r="F82" i="26" s="1"/>
  <c r="F83" i="26" s="1" a="1"/>
  <c r="F83" i="26" s="1"/>
  <c r="F84" i="26" s="1" a="1"/>
  <c r="F84" i="26" s="1"/>
  <c r="L77" i="26" a="1"/>
  <c r="L77" i="26"/>
  <c r="L76" i="26" a="1"/>
  <c r="L76" i="26"/>
  <c r="L75" i="26" a="1"/>
  <c r="L75" i="26"/>
  <c r="L74" i="26" a="1"/>
  <c r="L74" i="26" s="1"/>
  <c r="L73" i="26" a="1"/>
  <c r="L73" i="26"/>
  <c r="AG72" i="26"/>
  <c r="AF72" i="26"/>
  <c r="L72" i="26" a="1"/>
  <c r="L72" i="26"/>
  <c r="L71" i="26" a="1"/>
  <c r="L71" i="26"/>
  <c r="L70" i="26" a="1"/>
  <c r="L70" i="26"/>
  <c r="L69" i="26" a="1"/>
  <c r="L69" i="26"/>
  <c r="L68" i="26" a="1"/>
  <c r="L68" i="26"/>
  <c r="L67" i="26" a="1"/>
  <c r="L67" i="26"/>
  <c r="AG64" i="26"/>
  <c r="AG63" i="26" s="1" a="1"/>
  <c r="AG63" i="26" s="1"/>
  <c r="AF64" i="26"/>
  <c r="AF63" i="26" s="1" a="1"/>
  <c r="AF63" i="26" s="1"/>
  <c r="AG58" i="26"/>
  <c r="AF58" i="26"/>
  <c r="AG51" i="26"/>
  <c r="AF51" i="26"/>
  <c r="AF44" i="26"/>
  <c r="T28" i="26"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T27" i="26"/>
  <c r="S27" i="26" a="1"/>
  <c r="S27" i="26"/>
  <c r="B69" i="26" s="1"/>
  <c r="B70" i="26" s="1" a="1"/>
  <c r="B70" i="26" s="1"/>
  <c r="F27" i="26" a="1"/>
  <c r="F27" i="26"/>
  <c r="F28" i="26" s="1" a="1"/>
  <c r="F28" i="26" s="1"/>
  <c r="F29" i="26" s="1" a="1"/>
  <c r="F29" i="26" s="1"/>
  <c r="F30" i="26" s="1" a="1"/>
  <c r="F30" i="26" s="1"/>
  <c r="F31" i="26" s="1" a="1"/>
  <c r="F31" i="26" s="1"/>
  <c r="F32" i="26" s="1" a="1"/>
  <c r="F32" i="26" s="1"/>
  <c r="F33" i="26" s="1" a="1"/>
  <c r="F33" i="26" s="1"/>
  <c r="AG24" i="26"/>
  <c r="AF24" i="26"/>
  <c r="AH11" i="26" a="1"/>
  <c r="AH11" i="26"/>
  <c r="AG10" i="26" a="1"/>
  <c r="AG10" i="26"/>
  <c r="AF10" i="26" a="1"/>
  <c r="AF10" i="26"/>
  <c r="AF9" i="26" a="1"/>
  <c r="AF9" i="26"/>
  <c r="AG7" i="26" a="1"/>
  <c r="AG7" i="26"/>
  <c r="AF7" i="26" a="1"/>
  <c r="AF7" i="26"/>
  <c r="AG6" i="26"/>
  <c r="AG9" i="26" s="1" a="1"/>
  <c r="AG9" i="26" s="1"/>
  <c r="AF6" i="26"/>
  <c r="T35" i="25"/>
  <c r="AL31" i="25"/>
  <c r="AL30" i="25"/>
  <c r="AL29" i="25" s="1"/>
  <c r="T30" i="25" a="1"/>
  <c r="T30" i="25" s="1"/>
  <c r="T31" i="25" s="1" a="1"/>
  <c r="T31" i="25" s="1"/>
  <c r="AK29" i="25"/>
  <c r="AJ29" i="25"/>
  <c r="AI29" i="25"/>
  <c r="AH29" i="25"/>
  <c r="AG29" i="25"/>
  <c r="AF29" i="25"/>
  <c r="AE29" i="25"/>
  <c r="T29" i="25"/>
  <c r="F29" i="25" a="1"/>
  <c r="F29" i="25"/>
  <c r="F30" i="25" s="1" a="1"/>
  <c r="F30" i="25" s="1"/>
  <c r="F31" i="25" s="1" a="1"/>
  <c r="F31" i="25" s="1"/>
  <c r="AL28" i="25"/>
  <c r="AL27" i="25"/>
  <c r="AL26" i="25" s="1"/>
  <c r="T27" i="25" a="1"/>
  <c r="T27" i="25" s="1"/>
  <c r="T28" i="25" s="1" a="1"/>
  <c r="T28" i="25" s="1"/>
  <c r="AK26" i="25"/>
  <c r="AJ26" i="25"/>
  <c r="AI26" i="25"/>
  <c r="AH26" i="25"/>
  <c r="AG26" i="25"/>
  <c r="AF26" i="25"/>
  <c r="AE26" i="25"/>
  <c r="T26" i="25"/>
  <c r="F26" i="25" a="1"/>
  <c r="F26" i="25" s="1"/>
  <c r="F27" i="25" s="1" a="1"/>
  <c r="F27" i="25" s="1"/>
  <c r="F28" i="25" s="1" a="1"/>
  <c r="F28" i="25" s="1"/>
  <c r="AL9" i="25" a="1"/>
  <c r="AL9" i="25"/>
  <c r="AK9" i="25" a="1"/>
  <c r="AK9" i="25" s="1"/>
  <c r="AJ9" i="25" a="1"/>
  <c r="AJ9" i="25"/>
  <c r="AI9" i="25" a="1"/>
  <c r="AI9" i="25" s="1"/>
  <c r="AH9" i="25" a="1"/>
  <c r="AH9" i="25"/>
  <c r="AG9" i="25" a="1"/>
  <c r="AG9" i="25" s="1"/>
  <c r="AF9" i="25" a="1"/>
  <c r="AF9" i="25"/>
  <c r="AE9" i="25" a="1"/>
  <c r="AE9" i="25" s="1"/>
  <c r="AL6" i="25" a="1"/>
  <c r="AL6" i="25"/>
  <c r="AK6" i="25" a="1"/>
  <c r="AK6" i="25" s="1"/>
  <c r="AJ6" i="25" a="1"/>
  <c r="AJ6" i="25"/>
  <c r="AI6" i="25" a="1"/>
  <c r="AI6" i="25" s="1"/>
  <c r="AH6" i="25" a="1"/>
  <c r="AH6" i="25"/>
  <c r="AG6" i="25" a="1"/>
  <c r="AG6" i="25" s="1"/>
  <c r="AF6" i="25" a="1"/>
  <c r="AF6" i="25"/>
  <c r="AE6" i="25" a="1"/>
  <c r="AE6" i="25" s="1"/>
  <c r="T46" i="24"/>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8" i="24" a="1"/>
  <c r="T28" i="24" s="1"/>
  <c r="T29" i="24" s="1" a="1"/>
  <c r="T29" i="24" s="1"/>
  <c r="T30" i="24" s="1" a="1"/>
  <c r="T30" i="24" s="1"/>
  <c r="T31" i="24" s="1" a="1"/>
  <c r="T31" i="24" s="1"/>
  <c r="T32" i="24" s="1" a="1"/>
  <c r="T32" i="24" s="1"/>
  <c r="T33" i="24" s="1" a="1"/>
  <c r="T33" i="24" s="1"/>
  <c r="T34" i="24" s="1" a="1"/>
  <c r="T34" i="24" s="1"/>
  <c r="T27" i="24"/>
  <c r="F27" i="24" a="1"/>
  <c r="F27" i="24"/>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AW9" i="24" a="1"/>
  <c r="AW9" i="24"/>
  <c r="AS9" i="24" a="1"/>
  <c r="AS9" i="24"/>
  <c r="AM9" i="24" a="1"/>
  <c r="AM9" i="24"/>
  <c r="AI9" i="24" a="1"/>
  <c r="AI9" i="24"/>
  <c r="AX7" i="24" a="1"/>
  <c r="AX7" i="24"/>
  <c r="AW7" i="24" a="1"/>
  <c r="AW7" i="24"/>
  <c r="AV7" i="24" a="1"/>
  <c r="AV7" i="24"/>
  <c r="AU7" i="24" a="1"/>
  <c r="AU7" i="24"/>
  <c r="AT7" i="24" a="1"/>
  <c r="AT7" i="24"/>
  <c r="AS7" i="24" a="1"/>
  <c r="AS7" i="24"/>
  <c r="AR7" i="24" a="1"/>
  <c r="AR7" i="24"/>
  <c r="AQ7" i="24" a="1"/>
  <c r="AQ7" i="24"/>
  <c r="AP7" i="24" a="1"/>
  <c r="AP7" i="24"/>
  <c r="AO7" i="24" a="1"/>
  <c r="AO7" i="24"/>
  <c r="AN7" i="24" a="1"/>
  <c r="AN7" i="24"/>
  <c r="AM7" i="24" a="1"/>
  <c r="AM7" i="24"/>
  <c r="AL7" i="24" a="1"/>
  <c r="AL7" i="24"/>
  <c r="AK7" i="24" a="1"/>
  <c r="AK7" i="24"/>
  <c r="AJ7" i="24" a="1"/>
  <c r="AJ7" i="24" s="1"/>
  <c r="AI7" i="24" a="1"/>
  <c r="AI7" i="24"/>
  <c r="AH7" i="24" a="1"/>
  <c r="AH7" i="24" s="1"/>
  <c r="AG7" i="24" a="1"/>
  <c r="AG7" i="24"/>
  <c r="AF7" i="24" a="1"/>
  <c r="AF7" i="24" s="1"/>
  <c r="AE7" i="24" a="1"/>
  <c r="AE7" i="24"/>
  <c r="AX6" i="24"/>
  <c r="AX9" i="24" s="1" a="1"/>
  <c r="AX9" i="24" s="1"/>
  <c r="AW6" i="24"/>
  <c r="AV6" i="24"/>
  <c r="AV9" i="24" s="1" a="1"/>
  <c r="AV9" i="24" s="1"/>
  <c r="AU6" i="24"/>
  <c r="AT6" i="24"/>
  <c r="AT9" i="24" s="1" a="1"/>
  <c r="AT9" i="24" s="1"/>
  <c r="AS6" i="24"/>
  <c r="AR6" i="24"/>
  <c r="AR9" i="24" s="1" a="1"/>
  <c r="AR9" i="24" s="1"/>
  <c r="AQ6" i="24"/>
  <c r="AP6" i="24"/>
  <c r="AP9" i="24" s="1" a="1"/>
  <c r="AP9" i="24" s="1"/>
  <c r="AO6" i="24" a="1"/>
  <c r="AO6" i="24"/>
  <c r="AO9" i="24" s="1" a="1"/>
  <c r="AO9" i="24" s="1"/>
  <c r="AN6" i="24"/>
  <c r="AN9" i="24" s="1" a="1"/>
  <c r="AN9" i="24" s="1"/>
  <c r="AM6" i="24"/>
  <c r="AL6" i="24"/>
  <c r="AL9" i="24" s="1" a="1"/>
  <c r="AL9" i="24" s="1"/>
  <c r="AK6" i="24"/>
  <c r="AK9" i="24" s="1" a="1"/>
  <c r="AK9" i="24" s="1"/>
  <c r="AJ6" i="24"/>
  <c r="AJ9" i="24" s="1" a="1"/>
  <c r="AJ9" i="24" s="1"/>
  <c r="AI6" i="24"/>
  <c r="AH6" i="24"/>
  <c r="AH9" i="24" s="1" a="1"/>
  <c r="AH9" i="24" s="1"/>
  <c r="AG6" i="24"/>
  <c r="AG9" i="24" s="1" a="1"/>
  <c r="AG9" i="24" s="1"/>
  <c r="AF6" i="24"/>
  <c r="AF9" i="24" s="1" a="1"/>
  <c r="AF9" i="24" s="1"/>
  <c r="AE6" i="24" a="1"/>
  <c r="AE6" i="24" s="1"/>
  <c r="T90" i="23"/>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B65" i="23"/>
  <c r="BB60" i="23" s="1"/>
  <c r="BB59" i="23" s="1"/>
  <c r="BA65" i="23"/>
  <c r="AZ65" i="23"/>
  <c r="AY65" i="23"/>
  <c r="AX65" i="23"/>
  <c r="AX60" i="23" s="1"/>
  <c r="AX59" i="23" s="1"/>
  <c r="AW65" i="23"/>
  <c r="AV65" i="23"/>
  <c r="AU65" i="23"/>
  <c r="AT65" i="23"/>
  <c r="AT60" i="23" s="1"/>
  <c r="AT59" i="23" s="1"/>
  <c r="AS65" i="23"/>
  <c r="AR65" i="23"/>
  <c r="AQ65" i="23"/>
  <c r="AP65" i="23"/>
  <c r="AP60" i="23" s="1"/>
  <c r="AP59" i="23" s="1"/>
  <c r="AO65" i="23"/>
  <c r="AN65" i="23"/>
  <c r="AM65" i="23"/>
  <c r="AL65" i="23"/>
  <c r="AL60" i="23" s="1"/>
  <c r="AL59" i="23" s="1"/>
  <c r="AK65" i="23"/>
  <c r="AJ65" i="23"/>
  <c r="AI65" i="23"/>
  <c r="AH65" i="23"/>
  <c r="AH60" i="23" s="1"/>
  <c r="AH59" i="23" s="1"/>
  <c r="AG65" i="23"/>
  <c r="AF65" i="23"/>
  <c r="AE65" i="23"/>
  <c r="L62" i="23" a="1"/>
  <c r="L62" i="23"/>
  <c r="BD60" i="23"/>
  <c r="BD59" i="23" s="1"/>
  <c r="BC60" i="23"/>
  <c r="BC59" i="23" s="1"/>
  <c r="BA60" i="23"/>
  <c r="AZ60" i="23"/>
  <c r="AZ59" i="23" s="1"/>
  <c r="AY60" i="23"/>
  <c r="AY59" i="23" s="1"/>
  <c r="AW60" i="23"/>
  <c r="AV60" i="23"/>
  <c r="AV59" i="23" s="1"/>
  <c r="AU60" i="23"/>
  <c r="AU59" i="23" s="1"/>
  <c r="AS60" i="23"/>
  <c r="AR60" i="23"/>
  <c r="AR59" i="23" s="1"/>
  <c r="AQ60" i="23"/>
  <c r="AQ59" i="23" s="1"/>
  <c r="AO60" i="23"/>
  <c r="AN60" i="23"/>
  <c r="AN59" i="23" s="1"/>
  <c r="AM60" i="23"/>
  <c r="AM59" i="23" s="1"/>
  <c r="AK60" i="23"/>
  <c r="AJ60" i="23"/>
  <c r="AJ59" i="23" s="1"/>
  <c r="AI60" i="23"/>
  <c r="AI59" i="23" s="1"/>
  <c r="AG60" i="23"/>
  <c r="AF60" i="23"/>
  <c r="AF59" i="23" s="1"/>
  <c r="AE60" i="23"/>
  <c r="AE59" i="23" s="1"/>
  <c r="BA59" i="23"/>
  <c r="AW59" i="23"/>
  <c r="AS59" i="23"/>
  <c r="AO59" i="23"/>
  <c r="AK59" i="23"/>
  <c r="AG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s="1"/>
  <c r="F59" i="23" s="1" a="1"/>
  <c r="F59" i="23" s="1"/>
  <c r="F60" i="23" s="1" a="1"/>
  <c r="F60" i="23" s="1"/>
  <c r="F61" i="23" s="1" a="1"/>
  <c r="F61" i="23" s="1"/>
  <c r="F62" i="23" s="1" a="1"/>
  <c r="F62" i="23" s="1"/>
  <c r="L56" i="23" a="1"/>
  <c r="L56" i="23" s="1"/>
  <c r="L55" i="23" a="1"/>
  <c r="L55"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D31" i="23" s="1"/>
  <c r="BD30" i="23" s="1"/>
  <c r="BC36" i="23"/>
  <c r="BB36" i="23"/>
  <c r="BA36" i="23"/>
  <c r="AZ36" i="23"/>
  <c r="AZ31" i="23" s="1"/>
  <c r="AZ30" i="23" s="1"/>
  <c r="AY36" i="23"/>
  <c r="AX36" i="23"/>
  <c r="AW36" i="23"/>
  <c r="AV36" i="23"/>
  <c r="AV31" i="23" s="1"/>
  <c r="AV30" i="23" s="1"/>
  <c r="AU36" i="23"/>
  <c r="AT36" i="23"/>
  <c r="AS36" i="23"/>
  <c r="AR36" i="23"/>
  <c r="AR31" i="23" s="1"/>
  <c r="AR30" i="23" s="1"/>
  <c r="AQ36" i="23"/>
  <c r="AP36" i="23"/>
  <c r="AO36" i="23"/>
  <c r="AN36" i="23"/>
  <c r="AN31" i="23" s="1"/>
  <c r="AN30" i="23" s="1"/>
  <c r="AM36" i="23"/>
  <c r="AL36" i="23"/>
  <c r="AK36" i="23"/>
  <c r="AJ36" i="23"/>
  <c r="AJ31" i="23" s="1"/>
  <c r="AJ30" i="23" s="1"/>
  <c r="AI36" i="23"/>
  <c r="AH36" i="23"/>
  <c r="AG36" i="23"/>
  <c r="AF36" i="23"/>
  <c r="AF31" i="23" s="1"/>
  <c r="AF30" i="23" s="1"/>
  <c r="AE36" i="23"/>
  <c r="L33" i="23" a="1"/>
  <c r="L33" i="23" s="1"/>
  <c r="BC31" i="23"/>
  <c r="BB31" i="23"/>
  <c r="BB30" i="23" s="1"/>
  <c r="BA31" i="23"/>
  <c r="BA30" i="23" s="1"/>
  <c r="AY31" i="23"/>
  <c r="AX31" i="23"/>
  <c r="AX30" i="23" s="1"/>
  <c r="AW31" i="23"/>
  <c r="AW30" i="23" s="1"/>
  <c r="AU31" i="23"/>
  <c r="AT31" i="23"/>
  <c r="AT30" i="23" s="1"/>
  <c r="AS31" i="23"/>
  <c r="AS30" i="23" s="1"/>
  <c r="AQ31" i="23"/>
  <c r="AP31" i="23"/>
  <c r="AP30" i="23" s="1"/>
  <c r="AO31" i="23"/>
  <c r="AO30" i="23" s="1"/>
  <c r="AM31" i="23"/>
  <c r="AL31" i="23"/>
  <c r="AL30" i="23" s="1"/>
  <c r="AK31" i="23"/>
  <c r="AK30" i="23" s="1"/>
  <c r="AI31" i="23"/>
  <c r="AH31" i="23"/>
  <c r="AH30" i="23" s="1"/>
  <c r="AG31" i="23"/>
  <c r="AG30" i="23" s="1"/>
  <c r="AE31" i="23"/>
  <c r="BC30" i="23"/>
  <c r="AY30" i="23"/>
  <c r="AU30" i="23"/>
  <c r="AQ30" i="23"/>
  <c r="AM30" i="23"/>
  <c r="AI30" i="23"/>
  <c r="AE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s="1"/>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c r="BD10" i="23" a="1"/>
  <c r="BD10" i="23"/>
  <c r="BC10" i="23" a="1"/>
  <c r="BC10" i="23"/>
  <c r="BB10" i="23" a="1"/>
  <c r="BB10" i="23" s="1"/>
  <c r="BA10" i="23" a="1"/>
  <c r="BA10" i="23"/>
  <c r="AZ10" i="23" a="1"/>
  <c r="AZ10" i="23" s="1"/>
  <c r="AY10" i="23" a="1"/>
  <c r="AY10" i="23"/>
  <c r="AX10" i="23" a="1"/>
  <c r="AX10" i="23" s="1"/>
  <c r="AW10" i="23" a="1"/>
  <c r="AW10" i="23"/>
  <c r="AV10" i="23" a="1"/>
  <c r="AV10" i="23" s="1"/>
  <c r="AU10" i="23" a="1"/>
  <c r="AU10" i="23"/>
  <c r="AT10" i="23" a="1"/>
  <c r="AT10" i="23" s="1"/>
  <c r="AS10" i="23" a="1"/>
  <c r="AS10" i="23"/>
  <c r="AR10" i="23" a="1"/>
  <c r="AR10" i="23" s="1"/>
  <c r="AQ10" i="23" a="1"/>
  <c r="AQ10" i="23"/>
  <c r="AP10" i="23" a="1"/>
  <c r="AP10" i="23" s="1"/>
  <c r="AO10" i="23" a="1"/>
  <c r="AO10" i="23"/>
  <c r="AN10" i="23" a="1"/>
  <c r="AN10" i="23" s="1"/>
  <c r="AM10" i="23" a="1"/>
  <c r="AM10" i="23"/>
  <c r="AL10" i="23" a="1"/>
  <c r="AL10" i="23" s="1"/>
  <c r="AK10" i="23" a="1"/>
  <c r="AK10" i="23"/>
  <c r="AJ10" i="23" a="1"/>
  <c r="AJ10" i="23" s="1"/>
  <c r="AI10" i="23" a="1"/>
  <c r="AI10" i="23"/>
  <c r="AH10" i="23" a="1"/>
  <c r="AH10" i="23" s="1"/>
  <c r="AG10" i="23" a="1"/>
  <c r="AG10" i="23"/>
  <c r="AF10" i="23" a="1"/>
  <c r="AF10" i="23" s="1"/>
  <c r="AE10" i="23" a="1"/>
  <c r="AE10" i="23"/>
  <c r="BC9" i="23" a="1"/>
  <c r="BC9" i="23"/>
  <c r="AY9" i="23" a="1"/>
  <c r="AY9" i="23"/>
  <c r="AS9" i="23" a="1"/>
  <c r="AS9" i="23"/>
  <c r="AR9" i="23" a="1"/>
  <c r="AR9" i="23" s="1"/>
  <c r="AO9" i="23" a="1"/>
  <c r="AO9" i="23"/>
  <c r="AN9" i="23" a="1"/>
  <c r="AN9" i="23" s="1"/>
  <c r="AG9" i="23" a="1"/>
  <c r="AG9" i="23"/>
  <c r="BD7" i="23" a="1"/>
  <c r="BD7" i="23" s="1"/>
  <c r="BC7" i="23" a="1"/>
  <c r="BC7" i="23"/>
  <c r="BB7" i="23" a="1"/>
  <c r="BB7" i="23" s="1"/>
  <c r="BA7" i="23" a="1"/>
  <c r="BA7" i="23"/>
  <c r="AZ7" i="23" a="1"/>
  <c r="AZ7" i="23" s="1"/>
  <c r="AY7" i="23" a="1"/>
  <c r="AY7" i="23"/>
  <c r="AX7" i="23" a="1"/>
  <c r="AX7" i="23" s="1"/>
  <c r="AW7" i="23" a="1"/>
  <c r="AW7" i="23"/>
  <c r="AV7" i="23" a="1"/>
  <c r="AV7" i="23" s="1"/>
  <c r="AU7" i="23" a="1"/>
  <c r="AU7" i="23"/>
  <c r="AT7" i="23" a="1"/>
  <c r="AT7" i="23" s="1"/>
  <c r="AS7" i="23" a="1"/>
  <c r="AS7" i="23"/>
  <c r="AR7" i="23" a="1"/>
  <c r="AR7" i="23" s="1"/>
  <c r="AQ7" i="23" a="1"/>
  <c r="AQ7" i="23"/>
  <c r="AP7" i="23" a="1"/>
  <c r="AP7" i="23" s="1"/>
  <c r="AO7" i="23" a="1"/>
  <c r="AO7" i="23"/>
  <c r="AN7" i="23" a="1"/>
  <c r="AN7" i="23" s="1"/>
  <c r="AM7" i="23" a="1"/>
  <c r="AM7" i="23"/>
  <c r="AL7" i="23" a="1"/>
  <c r="AL7" i="23" s="1"/>
  <c r="AK7" i="23" a="1"/>
  <c r="AK7" i="23"/>
  <c r="AJ7" i="23" a="1"/>
  <c r="AJ7" i="23" s="1"/>
  <c r="AI7" i="23" a="1"/>
  <c r="AI7" i="23"/>
  <c r="AH7" i="23" a="1"/>
  <c r="AH7" i="23" s="1"/>
  <c r="AG7" i="23" a="1"/>
  <c r="AG7" i="23"/>
  <c r="AF7" i="23" a="1"/>
  <c r="AF7" i="23" s="1"/>
  <c r="AE7" i="23" a="1"/>
  <c r="AE7" i="23"/>
  <c r="BD6" i="23"/>
  <c r="BD9" i="23" s="1" a="1"/>
  <c r="BD9" i="23" s="1"/>
  <c r="BC6" i="23"/>
  <c r="BB6" i="23"/>
  <c r="BB9" i="23" s="1" a="1"/>
  <c r="BB9" i="23" s="1"/>
  <c r="BA6" i="23"/>
  <c r="BA9" i="23" s="1" a="1"/>
  <c r="BA9" i="23" s="1"/>
  <c r="AZ6" i="23"/>
  <c r="AZ9" i="23" s="1" a="1"/>
  <c r="AZ9" i="23" s="1"/>
  <c r="AY6" i="23"/>
  <c r="AX6" i="23"/>
  <c r="AX9" i="23" s="1" a="1"/>
  <c r="AX9" i="23" s="1"/>
  <c r="AW6" i="23"/>
  <c r="AW9" i="23" s="1" a="1"/>
  <c r="AW9" i="23" s="1"/>
  <c r="AV6" i="23"/>
  <c r="AV9" i="23" s="1" a="1"/>
  <c r="AV9" i="23" s="1"/>
  <c r="AU6" i="23" a="1"/>
  <c r="AU6" i="23"/>
  <c r="AT6" i="23"/>
  <c r="AT9" i="23" s="1" a="1"/>
  <c r="AT9" i="23" s="1"/>
  <c r="AS6" i="23"/>
  <c r="AR6" i="23"/>
  <c r="AQ6" i="23"/>
  <c r="AP6" i="23"/>
  <c r="AP9" i="23" s="1" a="1"/>
  <c r="AP9" i="23" s="1"/>
  <c r="AO6" i="23"/>
  <c r="AN6" i="23"/>
  <c r="AM6" i="23"/>
  <c r="AL6" i="23"/>
  <c r="AL9" i="23" s="1" a="1"/>
  <c r="AL9" i="23" s="1"/>
  <c r="AK6" i="23" a="1"/>
  <c r="AK6" i="23" s="1"/>
  <c r="AJ6" i="23"/>
  <c r="AJ9" i="23" s="1" a="1"/>
  <c r="AJ9" i="23" s="1"/>
  <c r="AI6" i="23"/>
  <c r="AI9" i="23" s="1" a="1"/>
  <c r="AI9" i="23" s="1"/>
  <c r="AH6" i="23"/>
  <c r="AH9" i="23" s="1" a="1"/>
  <c r="AH9" i="23" s="1"/>
  <c r="AG6" i="23"/>
  <c r="AF6" i="23"/>
  <c r="AF9" i="23" s="1" a="1"/>
  <c r="AF9" i="23" s="1"/>
  <c r="AE6" i="23"/>
  <c r="AE9" i="23" s="1" a="1"/>
  <c r="AE9" i="23" s="1"/>
  <c r="T74" i="22"/>
  <c r="T73" i="22"/>
  <c r="T72" i="22"/>
  <c r="T71" i="22"/>
  <c r="T70" i="22"/>
  <c r="T69" i="22"/>
  <c r="T68" i="22"/>
  <c r="T67" i="22"/>
  <c r="T66" i="22"/>
  <c r="T65" i="22"/>
  <c r="T64" i="22"/>
  <c r="T63" i="22"/>
  <c r="T62" i="22"/>
  <c r="T61" i="22"/>
  <c r="T60" i="22"/>
  <c r="T59" i="22"/>
  <c r="T58" i="22"/>
  <c r="I54" i="22"/>
  <c r="BH53" i="22" a="1"/>
  <c r="BH53" i="22"/>
  <c r="AB53" i="22"/>
  <c r="I53" i="22" a="1"/>
  <c r="I53" i="22"/>
  <c r="BB52" i="22"/>
  <c r="BA52" i="22"/>
  <c r="BA42" i="22" s="1"/>
  <c r="AZ52" i="22"/>
  <c r="AZ42" i="22" s="1"/>
  <c r="AY52" i="22"/>
  <c r="AX52" i="22"/>
  <c r="AW52" i="22"/>
  <c r="AW42" i="22" s="1"/>
  <c r="AV52" i="22"/>
  <c r="AV42" i="22" s="1"/>
  <c r="AU52" i="22"/>
  <c r="AT52" i="22"/>
  <c r="AS52" i="22"/>
  <c r="AS42" i="22" s="1"/>
  <c r="AR52" i="22"/>
  <c r="AR42" i="22" s="1"/>
  <c r="AQ52" i="22"/>
  <c r="AP52" i="22"/>
  <c r="AO52" i="22"/>
  <c r="AO42" i="22" s="1"/>
  <c r="AN52" i="22"/>
  <c r="AN42" i="22" s="1"/>
  <c r="AM52" i="22"/>
  <c r="AL52" i="22"/>
  <c r="AK52" i="22"/>
  <c r="AK42" i="22" s="1"/>
  <c r="AJ52" i="22"/>
  <c r="AJ42" i="22" s="1"/>
  <c r="AI52" i="22"/>
  <c r="AH52" i="22"/>
  <c r="AG52" i="22"/>
  <c r="AG42" i="22" s="1"/>
  <c r="AF52" i="22"/>
  <c r="AF42" i="22" s="1"/>
  <c r="AE52" i="22"/>
  <c r="L52" i="22" a="1"/>
  <c r="L52" i="22" s="1"/>
  <c r="L51" i="22" a="1"/>
  <c r="L51" i="22"/>
  <c r="L50" i="22" a="1"/>
  <c r="L50" i="22"/>
  <c r="L49" i="22" a="1"/>
  <c r="L49" i="22" s="1"/>
  <c r="L48" i="22" a="1"/>
  <c r="L48" i="22" s="1"/>
  <c r="L47" i="22" a="1"/>
  <c r="L47" i="22"/>
  <c r="L46" i="22" a="1"/>
  <c r="L46" i="22"/>
  <c r="L45" i="22" a="1"/>
  <c r="L45" i="22" s="1"/>
  <c r="L44" i="22" a="1"/>
  <c r="L44" i="22" s="1"/>
  <c r="L43" i="22" a="1"/>
  <c r="L43" i="22"/>
  <c r="BB42" i="22"/>
  <c r="AY42" i="22"/>
  <c r="AX42" i="22"/>
  <c r="AU42" i="22"/>
  <c r="AT42" i="22"/>
  <c r="AQ42" i="22"/>
  <c r="AP42" i="22"/>
  <c r="AM42" i="22"/>
  <c r="AL42" i="22"/>
  <c r="AI42" i="22"/>
  <c r="AH42" i="22"/>
  <c r="AE42" i="22"/>
  <c r="T42" i="22"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L42" i="22" a="1"/>
  <c r="L42" i="22"/>
  <c r="T41" i="22"/>
  <c r="F41" i="22" a="1"/>
  <c r="F41" i="22" s="1"/>
  <c r="F42" i="22" s="1" a="1"/>
  <c r="F42" i="22" s="1"/>
  <c r="I40" i="22"/>
  <c r="BH39" i="22" a="1"/>
  <c r="BH39" i="22"/>
  <c r="AB39" i="22"/>
  <c r="I39" i="22" a="1"/>
  <c r="I39" i="22"/>
  <c r="BB38" i="22"/>
  <c r="BA38" i="22"/>
  <c r="BA28" i="22" s="1"/>
  <c r="AZ38" i="22"/>
  <c r="AZ28" i="22" s="1"/>
  <c r="AY38" i="22"/>
  <c r="AX38" i="22"/>
  <c r="AW38" i="22"/>
  <c r="AW28" i="22" s="1"/>
  <c r="AV38" i="22"/>
  <c r="AV28" i="22" s="1"/>
  <c r="AU38" i="22"/>
  <c r="AT38" i="22"/>
  <c r="AS38" i="22"/>
  <c r="AS28" i="22" s="1"/>
  <c r="AR38" i="22"/>
  <c r="AR28" i="22" s="1"/>
  <c r="AQ38" i="22"/>
  <c r="AP38" i="22"/>
  <c r="AO38" i="22"/>
  <c r="AO28" i="22" s="1"/>
  <c r="AN38" i="22"/>
  <c r="AN28" i="22" s="1"/>
  <c r="AM38" i="22"/>
  <c r="AL38" i="22"/>
  <c r="AK38" i="22"/>
  <c r="AK28" i="22" s="1"/>
  <c r="AJ38" i="22"/>
  <c r="AJ28" i="22" s="1"/>
  <c r="AI38" i="22"/>
  <c r="AH38" i="22"/>
  <c r="AG38" i="22"/>
  <c r="AG28" i="22" s="1"/>
  <c r="AF38" i="22"/>
  <c r="AF28" i="22" s="1"/>
  <c r="AE38" i="22"/>
  <c r="L38" i="22" a="1"/>
  <c r="L38" i="22" s="1"/>
  <c r="L37" i="22" a="1"/>
  <c r="L37" i="22"/>
  <c r="L36" i="22" a="1"/>
  <c r="L36" i="22"/>
  <c r="L35" i="22" a="1"/>
  <c r="L35" i="22" s="1"/>
  <c r="L34" i="22" a="1"/>
  <c r="L34" i="22" s="1"/>
  <c r="L33" i="22" a="1"/>
  <c r="L33" i="22"/>
  <c r="L32" i="22" a="1"/>
  <c r="L32" i="22"/>
  <c r="L31" i="22" a="1"/>
  <c r="L31" i="22" s="1"/>
  <c r="L30" i="22" a="1"/>
  <c r="L30" i="22" s="1"/>
  <c r="L29" i="22" a="1"/>
  <c r="L29" i="22"/>
  <c r="BB28" i="22"/>
  <c r="AY28" i="22"/>
  <c r="AX28" i="22"/>
  <c r="AU28" i="22"/>
  <c r="AT28" i="22"/>
  <c r="AQ28" i="22"/>
  <c r="AP28" i="22"/>
  <c r="AM28" i="22"/>
  <c r="AL28" i="22"/>
  <c r="AI28" i="22"/>
  <c r="AH28" i="22"/>
  <c r="AE28" i="22"/>
  <c r="T28" i="22"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c r="T27" i="22"/>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s="1"/>
  <c r="BA10" i="22" a="1"/>
  <c r="BA10" i="22"/>
  <c r="AZ10" i="22" a="1"/>
  <c r="AZ10" i="22" s="1"/>
  <c r="AY10" i="22" a="1"/>
  <c r="AY10" i="22"/>
  <c r="AX10" i="22" a="1"/>
  <c r="AX10" i="22" s="1"/>
  <c r="AW10" i="22" a="1"/>
  <c r="AW10" i="22"/>
  <c r="AV10" i="22" a="1"/>
  <c r="AV10" i="22" s="1"/>
  <c r="AU10" i="22" a="1"/>
  <c r="AU10" i="22"/>
  <c r="AT10" i="22" a="1"/>
  <c r="AT10" i="22" s="1"/>
  <c r="AS10" i="22" a="1"/>
  <c r="AS10" i="22"/>
  <c r="AR10" i="22" a="1"/>
  <c r="AR10" i="22" s="1"/>
  <c r="AQ10" i="22" a="1"/>
  <c r="AQ10" i="22"/>
  <c r="AP10" i="22" a="1"/>
  <c r="AP10" i="22" s="1"/>
  <c r="AO10" i="22" a="1"/>
  <c r="AO10" i="22"/>
  <c r="AN10" i="22" a="1"/>
  <c r="AN10" i="22" s="1"/>
  <c r="AM10" i="22" a="1"/>
  <c r="AM10" i="22"/>
  <c r="AL10" i="22" a="1"/>
  <c r="AL10" i="22" s="1"/>
  <c r="AK10" i="22" a="1"/>
  <c r="AK10" i="22"/>
  <c r="AJ10" i="22" a="1"/>
  <c r="AJ10" i="22" s="1"/>
  <c r="AI10" i="22" a="1"/>
  <c r="AI10" i="22"/>
  <c r="AH10" i="22" a="1"/>
  <c r="AH10" i="22" s="1"/>
  <c r="AG10" i="22" a="1"/>
  <c r="AG10" i="22"/>
  <c r="AF10" i="22" a="1"/>
  <c r="AF10" i="22" s="1"/>
  <c r="AE10" i="22" a="1"/>
  <c r="AE10" i="22"/>
  <c r="BA9" i="22" a="1"/>
  <c r="BA9" i="22"/>
  <c r="AZ9" i="22" a="1"/>
  <c r="AZ9" i="22" s="1"/>
  <c r="AW9" i="22" a="1"/>
  <c r="AW9" i="22"/>
  <c r="AV9" i="22" a="1"/>
  <c r="AV9" i="22" s="1"/>
  <c r="AR9" i="22" a="1"/>
  <c r="AR9" i="22" s="1"/>
  <c r="AP9" i="22" a="1"/>
  <c r="AP9" i="22" s="1"/>
  <c r="AN9" i="22" a="1"/>
  <c r="AN9" i="22" s="1"/>
  <c r="AL9" i="22" a="1"/>
  <c r="AL9" i="22" s="1"/>
  <c r="AJ9" i="22" a="1"/>
  <c r="AJ9" i="22" s="1"/>
  <c r="AH9" i="22" a="1"/>
  <c r="AH9" i="22" s="1"/>
  <c r="AE9" i="22" a="1"/>
  <c r="AE9" i="22"/>
  <c r="BB7" i="22" a="1"/>
  <c r="BB7" i="22" s="1"/>
  <c r="BA7" i="22" a="1"/>
  <c r="BA7" i="22"/>
  <c r="AZ7" i="22" a="1"/>
  <c r="AZ7" i="22" s="1"/>
  <c r="AY7" i="22" a="1"/>
  <c r="AY7" i="22"/>
  <c r="AX7" i="22" a="1"/>
  <c r="AX7" i="22" s="1"/>
  <c r="AW7" i="22" a="1"/>
  <c r="AW7" i="22"/>
  <c r="AV7" i="22" a="1"/>
  <c r="AV7" i="22" s="1"/>
  <c r="AU7" i="22" a="1"/>
  <c r="AU7" i="22"/>
  <c r="AT7" i="22" a="1"/>
  <c r="AT7" i="22" s="1"/>
  <c r="AS7" i="22" a="1"/>
  <c r="AS7" i="22"/>
  <c r="AR7" i="22" a="1"/>
  <c r="AR7" i="22" s="1"/>
  <c r="AQ7" i="22" a="1"/>
  <c r="AQ7" i="22"/>
  <c r="AP7" i="22" a="1"/>
  <c r="AP7" i="22" s="1"/>
  <c r="AO7" i="22" a="1"/>
  <c r="AO7" i="22"/>
  <c r="AN7" i="22" a="1"/>
  <c r="AN7" i="22" s="1"/>
  <c r="AM7" i="22" a="1"/>
  <c r="AM7" i="22"/>
  <c r="AL7" i="22" a="1"/>
  <c r="AL7" i="22" s="1"/>
  <c r="AK7" i="22" a="1"/>
  <c r="AK7" i="22"/>
  <c r="AJ7" i="22" a="1"/>
  <c r="AJ7" i="22" s="1"/>
  <c r="AI7" i="22" a="1"/>
  <c r="AI7" i="22"/>
  <c r="AH7" i="22" a="1"/>
  <c r="AH7" i="22" s="1"/>
  <c r="AG7" i="22" a="1"/>
  <c r="AG7" i="22"/>
  <c r="AF7" i="22" a="1"/>
  <c r="AF7" i="22" s="1"/>
  <c r="AE7" i="22" a="1"/>
  <c r="AE7" i="22"/>
  <c r="BB6" i="22"/>
  <c r="BB9" i="22" s="1" a="1"/>
  <c r="BB9" i="22" s="1"/>
  <c r="BA6" i="22"/>
  <c r="AZ6" i="22"/>
  <c r="AY6" i="22"/>
  <c r="AX6" i="22"/>
  <c r="AX9" i="22" s="1" a="1"/>
  <c r="AX9" i="22" s="1"/>
  <c r="AW6" i="22"/>
  <c r="AV6" i="22"/>
  <c r="AU6" i="22"/>
  <c r="AT6" i="22"/>
  <c r="AT9" i="22" s="1" a="1"/>
  <c r="AT9" i="22" s="1"/>
  <c r="AS6" i="22" a="1"/>
  <c r="AS6" i="22"/>
  <c r="AS9" i="22" s="1" a="1"/>
  <c r="AS9" i="22" s="1"/>
  <c r="AR6" i="22"/>
  <c r="AQ6" i="22"/>
  <c r="AP6" i="22"/>
  <c r="AO6" i="22"/>
  <c r="AO9" i="22" s="1" a="1"/>
  <c r="AO9" i="22" s="1"/>
  <c r="AN6" i="22"/>
  <c r="AM6" i="22"/>
  <c r="AL6" i="22"/>
  <c r="AK6" i="22"/>
  <c r="AK9" i="22" s="1" a="1"/>
  <c r="AK9" i="22" s="1"/>
  <c r="AJ6" i="22"/>
  <c r="AI6" i="22" a="1"/>
  <c r="AI6" i="22" s="1"/>
  <c r="AH6" i="22"/>
  <c r="AG6" i="22"/>
  <c r="AG9" i="22" s="1" a="1"/>
  <c r="AG9" i="22" s="1"/>
  <c r="AF6" i="22"/>
  <c r="AF9" i="22" s="1" a="1"/>
  <c r="AF9" i="22" s="1"/>
  <c r="AE6" i="22"/>
  <c r="T57" i="21"/>
  <c r="T56" i="21"/>
  <c r="T55" i="21"/>
  <c r="T54" i="21"/>
  <c r="H50" i="21"/>
  <c r="AP49" i="21" a="1"/>
  <c r="AP49" i="21"/>
  <c r="AB49" i="21"/>
  <c r="H49" i="21" a="1"/>
  <c r="H49" i="21"/>
  <c r="AJ48" i="21"/>
  <c r="AI48" i="21"/>
  <c r="AH48" i="21"/>
  <c r="AG48" i="21"/>
  <c r="AF48" i="21"/>
  <c r="AE48" i="21"/>
  <c r="L40" i="21" a="1"/>
  <c r="L40" i="21" s="1"/>
  <c r="T39" i="21"/>
  <c r="T40" i="21" s="1" a="1"/>
  <c r="T40" i="21" s="1"/>
  <c r="T41" i="21" s="1" a="1"/>
  <c r="T41" i="21" s="1"/>
  <c r="T42" i="21" s="1" a="1"/>
  <c r="T42" i="21" s="1"/>
  <c r="T43" i="21" s="1" a="1"/>
  <c r="T43" i="21" s="1"/>
  <c r="T44" i="21" s="1" a="1"/>
  <c r="T44" i="21" s="1"/>
  <c r="T45" i="21" s="1" a="1"/>
  <c r="T45" i="21" s="1"/>
  <c r="T46" i="21" s="1" a="1"/>
  <c r="T46" i="21" s="1"/>
  <c r="T47" i="21" s="1" a="1"/>
  <c r="T47" i="21" s="1"/>
  <c r="T48" i="21" s="1" a="1"/>
  <c r="T48" i="21" s="1"/>
  <c r="F39" i="21" a="1"/>
  <c r="F39" i="21" s="1"/>
  <c r="F40" i="21" s="1" a="1"/>
  <c r="F40" i="21" s="1"/>
  <c r="H38" i="21"/>
  <c r="AP37" i="21" a="1"/>
  <c r="AP37" i="21"/>
  <c r="AB37" i="21"/>
  <c r="H37" i="21" a="1"/>
  <c r="H37" i="21"/>
  <c r="AJ36" i="21"/>
  <c r="AI36" i="21"/>
  <c r="AH36" i="21"/>
  <c r="AG36" i="21"/>
  <c r="AF36" i="21"/>
  <c r="AE36" i="21"/>
  <c r="T28" i="21" a="1"/>
  <c r="T28" i="21"/>
  <c r="T29" i="21" s="1" a="1"/>
  <c r="T29" i="21" s="1"/>
  <c r="T30" i="21" s="1" a="1"/>
  <c r="T30" i="21" s="1"/>
  <c r="T31" i="21" s="1" a="1"/>
  <c r="T31" i="21" s="1"/>
  <c r="T32" i="21" s="1" a="1"/>
  <c r="T32" i="21" s="1"/>
  <c r="T33" i="21" s="1" a="1"/>
  <c r="T33" i="21" s="1"/>
  <c r="T34" i="21" s="1" a="1"/>
  <c r="T34" i="21" s="1"/>
  <c r="T35" i="21" s="1" a="1"/>
  <c r="T35" i="21" s="1"/>
  <c r="T36" i="21" s="1" a="1"/>
  <c r="T36" i="21" s="1"/>
  <c r="L28" i="21" a="1"/>
  <c r="L28" i="21" s="1"/>
  <c r="T27" i="21"/>
  <c r="F27" i="21" a="1"/>
  <c r="F27" i="21"/>
  <c r="F28" i="21" s="1" a="1"/>
  <c r="F28" i="21" s="1"/>
  <c r="AJ24" i="21"/>
  <c r="AI24" i="21"/>
  <c r="AH24" i="21"/>
  <c r="AG24" i="21"/>
  <c r="AF24" i="21"/>
  <c r="AE24" i="21"/>
  <c r="AK11" i="21" a="1"/>
  <c r="AK11" i="21" s="1"/>
  <c r="AJ10" i="21" a="1"/>
  <c r="AJ10" i="21"/>
  <c r="AI10" i="21" a="1"/>
  <c r="AI10" i="21" s="1"/>
  <c r="AH10" i="21" a="1"/>
  <c r="AH10" i="21"/>
  <c r="AG10" i="21" a="1"/>
  <c r="AG10" i="21" s="1"/>
  <c r="AF10" i="21" a="1"/>
  <c r="AF10" i="21"/>
  <c r="AE10" i="21" a="1"/>
  <c r="AE10" i="21" s="1"/>
  <c r="AG9" i="21" a="1"/>
  <c r="AG9" i="21" s="1"/>
  <c r="AE9" i="21" a="1"/>
  <c r="AE9" i="21" s="1"/>
  <c r="AJ7" i="21" a="1"/>
  <c r="AJ7" i="21"/>
  <c r="AI7" i="21" a="1"/>
  <c r="AI7" i="21" s="1"/>
  <c r="AH7" i="21" a="1"/>
  <c r="AH7" i="21"/>
  <c r="AG7" i="21" a="1"/>
  <c r="AG7" i="21" s="1"/>
  <c r="AF7" i="21" a="1"/>
  <c r="AF7" i="21"/>
  <c r="AE7" i="21" a="1"/>
  <c r="AE7" i="21" s="1"/>
  <c r="AJ6" i="21" a="1"/>
  <c r="AJ6" i="21"/>
  <c r="AJ9" i="21" s="1" a="1"/>
  <c r="AJ9" i="21" s="1"/>
  <c r="AI6" i="21" a="1"/>
  <c r="AI6" i="21" s="1"/>
  <c r="AH6" i="21"/>
  <c r="AH9" i="21" s="1" a="1"/>
  <c r="AH9" i="21" s="1"/>
  <c r="AG6" i="21"/>
  <c r="AF6" i="21"/>
  <c r="AF9" i="21" s="1" a="1"/>
  <c r="AF9" i="21" s="1"/>
  <c r="AE6" i="21"/>
  <c r="T81" i="20"/>
  <c r="T80" i="20"/>
  <c r="T79" i="20"/>
  <c r="T78" i="20"/>
  <c r="T77" i="20"/>
  <c r="T76" i="20"/>
  <c r="T75" i="20"/>
  <c r="T74" i="20"/>
  <c r="T73" i="20"/>
  <c r="T72" i="20"/>
  <c r="T71" i="20"/>
  <c r="T70" i="20"/>
  <c r="T69" i="20"/>
  <c r="T68" i="20"/>
  <c r="AJ64" i="20"/>
  <c r="AI64" i="20"/>
  <c r="AF64" i="20"/>
  <c r="AF61" i="20" s="1"/>
  <c r="AE64" i="20"/>
  <c r="L64" i="20" a="1"/>
  <c r="L64" i="20" s="1"/>
  <c r="L63" i="20" a="1"/>
  <c r="L63" i="20"/>
  <c r="L62" i="20" a="1"/>
  <c r="L62" i="20"/>
  <c r="AJ61" i="20"/>
  <c r="AI61" i="20"/>
  <c r="AH61" i="20"/>
  <c r="AG61" i="20"/>
  <c r="AE61" i="20"/>
  <c r="L61" i="20" a="1"/>
  <c r="L61" i="20"/>
  <c r="L60" i="20" a="1"/>
  <c r="L60" i="20"/>
  <c r="L59" i="20" a="1"/>
  <c r="L59" i="20"/>
  <c r="L58" i="20" a="1"/>
  <c r="L58" i="20" s="1"/>
  <c r="AJ57" i="20"/>
  <c r="AI57" i="20"/>
  <c r="L57" i="20" a="1"/>
  <c r="L57" i="20"/>
  <c r="L56" i="20" a="1"/>
  <c r="L56" i="20" s="1"/>
  <c r="L55" i="20" a="1"/>
  <c r="L55" i="20"/>
  <c r="L54" i="20" a="1"/>
  <c r="L54" i="20"/>
  <c r="L53" i="20" a="1"/>
  <c r="L53" i="20"/>
  <c r="L52" i="20" a="1"/>
  <c r="L52" i="20" s="1"/>
  <c r="L51" i="20" a="1"/>
  <c r="L51" i="20"/>
  <c r="L50" i="20" a="1"/>
  <c r="L50" i="20"/>
  <c r="AJ49" i="20"/>
  <c r="AI49" i="20"/>
  <c r="AH49" i="20"/>
  <c r="AG49" i="20"/>
  <c r="AF49" i="20"/>
  <c r="AE49" i="20"/>
  <c r="L49" i="20" a="1"/>
  <c r="L49" i="20"/>
  <c r="T47" i="20"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T46" i="20"/>
  <c r="F46" i="20" a="1"/>
  <c r="F46" i="20"/>
  <c r="F47" i="20" s="1" a="1"/>
  <c r="F47" i="20" s="1"/>
  <c r="L45" i="20" a="1"/>
  <c r="L45" i="20"/>
  <c r="L44" i="20" a="1"/>
  <c r="L44" i="20"/>
  <c r="L43" i="20" a="1"/>
  <c r="L43" i="20"/>
  <c r="AJ42" i="20"/>
  <c r="AI42" i="20"/>
  <c r="AH42" i="20"/>
  <c r="AG42" i="20"/>
  <c r="AF42" i="20"/>
  <c r="AE42" i="20"/>
  <c r="L42" i="20" a="1"/>
  <c r="L42" i="20"/>
  <c r="L41" i="20" a="1"/>
  <c r="L41" i="20"/>
  <c r="L40" i="20" a="1"/>
  <c r="L40" i="20" s="1"/>
  <c r="L39" i="20" a="1"/>
  <c r="L39" i="20"/>
  <c r="L38" i="20" a="1"/>
  <c r="L38" i="20"/>
  <c r="L37" i="20" a="1"/>
  <c r="L37" i="20"/>
  <c r="L36" i="20" a="1"/>
  <c r="L36" i="20" s="1"/>
  <c r="L35" i="20" a="1"/>
  <c r="L35" i="20"/>
  <c r="L34" i="20" a="1"/>
  <c r="L34" i="20"/>
  <c r="L33" i="20" a="1"/>
  <c r="L33" i="20"/>
  <c r="L32" i="20" a="1"/>
  <c r="L32" i="20" s="1"/>
  <c r="L31" i="20" a="1"/>
  <c r="L31" i="20"/>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F28" i="20" s="1" a="1"/>
  <c r="F28" i="20" s="1"/>
  <c r="AJ24" i="20"/>
  <c r="AI24" i="20"/>
  <c r="AH24" i="20"/>
  <c r="AG24" i="20"/>
  <c r="AF24" i="20"/>
  <c r="AE24" i="20"/>
  <c r="AK11" i="20" a="1"/>
  <c r="AK11" i="20" s="1"/>
  <c r="AJ10" i="20" a="1"/>
  <c r="AJ10" i="20"/>
  <c r="AI10" i="20" a="1"/>
  <c r="AI10" i="20" s="1"/>
  <c r="AH10" i="20" a="1"/>
  <c r="AH10" i="20"/>
  <c r="AG10" i="20" a="1"/>
  <c r="AG10" i="20" s="1"/>
  <c r="AF10" i="20" a="1"/>
  <c r="AF10" i="20"/>
  <c r="AE10" i="20" a="1"/>
  <c r="AE10" i="20" s="1"/>
  <c r="AG9" i="20" a="1"/>
  <c r="AG9" i="20" s="1"/>
  <c r="AE9" i="20" a="1"/>
  <c r="AE9" i="20" s="1"/>
  <c r="AJ7" i="20" a="1"/>
  <c r="AJ7" i="20"/>
  <c r="AI7" i="20" a="1"/>
  <c r="AI7" i="20" s="1"/>
  <c r="AH7" i="20" a="1"/>
  <c r="AH7" i="20"/>
  <c r="AG7" i="20" a="1"/>
  <c r="AG7" i="20" s="1"/>
  <c r="AF7" i="20" a="1"/>
  <c r="AF7" i="20"/>
  <c r="AE7" i="20" a="1"/>
  <c r="AE7" i="20" s="1"/>
  <c r="AJ6" i="20" a="1"/>
  <c r="AJ6" i="20"/>
  <c r="AJ9" i="20" s="1" a="1"/>
  <c r="AJ9" i="20" s="1"/>
  <c r="AI6" i="20" a="1"/>
  <c r="AI6" i="20" s="1"/>
  <c r="AH6" i="20"/>
  <c r="AH9" i="20" s="1" a="1"/>
  <c r="AH9" i="20" s="1"/>
  <c r="AG6" i="20"/>
  <c r="AF6" i="20"/>
  <c r="AF9" i="20" s="1" a="1"/>
  <c r="AF9" i="20" s="1"/>
  <c r="AE6" i="20"/>
  <c r="T103" i="19"/>
  <c r="T102" i="19"/>
  <c r="T101" i="19"/>
  <c r="T100" i="19"/>
  <c r="T99" i="19"/>
  <c r="T98" i="19"/>
  <c r="T97" i="19"/>
  <c r="T96" i="19"/>
  <c r="T95" i="19"/>
  <c r="T94" i="19"/>
  <c r="T93" i="19"/>
  <c r="T92" i="19"/>
  <c r="L88" i="19" a="1"/>
  <c r="L88" i="19" s="1"/>
  <c r="I87" i="19"/>
  <c r="AB86" i="19"/>
  <c r="H86" i="19"/>
  <c r="AP85" i="19" a="1"/>
  <c r="AP85" i="19"/>
  <c r="AP86" i="19" s="1" a="1"/>
  <c r="AP86" i="19" s="1"/>
  <c r="H85" i="19"/>
  <c r="AP84" i="19" a="1"/>
  <c r="AP84" i="19"/>
  <c r="AJ84" i="19"/>
  <c r="AI84" i="19"/>
  <c r="AB84" i="19"/>
  <c r="AB85" i="19" s="1"/>
  <c r="I84" i="19" a="1"/>
  <c r="I84" i="19"/>
  <c r="I85" i="19" s="1" a="1"/>
  <c r="I85" i="19" s="1"/>
  <c r="I86" i="19" s="1" a="1"/>
  <c r="I86" i="19" s="1"/>
  <c r="AJ83" i="19"/>
  <c r="AI83" i="19"/>
  <c r="L83" i="19" a="1"/>
  <c r="L83" i="19"/>
  <c r="L82" i="19" a="1"/>
  <c r="L82" i="19" s="1"/>
  <c r="I81" i="19"/>
  <c r="AB80" i="19"/>
  <c r="H80" i="19"/>
  <c r="AP79" i="19" a="1"/>
  <c r="AP79" i="19"/>
  <c r="AP80" i="19" s="1" a="1"/>
  <c r="AP80" i="19" s="1"/>
  <c r="H79" i="19"/>
  <c r="AP78" i="19" a="1"/>
  <c r="AP78" i="19"/>
  <c r="AJ78" i="19"/>
  <c r="AJ74" i="19" s="1"/>
  <c r="AI78" i="19"/>
  <c r="AI74" i="19" s="1"/>
  <c r="AB78" i="19"/>
  <c r="AB79" i="19" s="1"/>
  <c r="I78" i="19" a="1"/>
  <c r="I78" i="19"/>
  <c r="I79" i="19" s="1" a="1"/>
  <c r="I79" i="19" s="1"/>
  <c r="I80" i="19" s="1" a="1"/>
  <c r="I80" i="19" s="1"/>
  <c r="H77" i="19"/>
  <c r="H76" i="19"/>
  <c r="AP75" i="19" a="1"/>
  <c r="AP75" i="19"/>
  <c r="AP76" i="19" s="1" a="1"/>
  <c r="AP76" i="19" s="1"/>
  <c r="AP77" i="19" s="1" a="1"/>
  <c r="AP77" i="19" s="1"/>
  <c r="AJ75" i="19"/>
  <c r="AI75" i="19"/>
  <c r="AB75" i="19"/>
  <c r="AB77" i="19" s="1"/>
  <c r="I75" i="19" a="1"/>
  <c r="I75" i="19"/>
  <c r="I76" i="19" s="1" a="1"/>
  <c r="I76" i="19" s="1"/>
  <c r="I77" i="19" s="1" a="1"/>
  <c r="I77" i="19" s="1"/>
  <c r="L74" i="19" a="1"/>
  <c r="L74" i="19" s="1"/>
  <c r="L73" i="19" a="1"/>
  <c r="L73" i="19" s="1"/>
  <c r="I72" i="19"/>
  <c r="AJ71" i="19"/>
  <c r="AJ69" i="19" s="1"/>
  <c r="AJ65" i="19" s="1"/>
  <c r="AI71" i="19"/>
  <c r="AI69" i="19" s="1"/>
  <c r="AI65" i="19" s="1"/>
  <c r="H71" i="19"/>
  <c r="H70" i="19"/>
  <c r="AP69" i="19" a="1"/>
  <c r="AP69" i="19"/>
  <c r="AP70" i="19" s="1" a="1"/>
  <c r="AP70" i="19" s="1"/>
  <c r="AP71" i="19" s="1" a="1"/>
  <c r="AP71" i="19" s="1"/>
  <c r="AB69" i="19"/>
  <c r="AB71" i="19" s="1"/>
  <c r="I69" i="19" a="1"/>
  <c r="I69" i="19" s="1"/>
  <c r="I70" i="19" s="1" a="1"/>
  <c r="I70" i="19" s="1"/>
  <c r="I71" i="19" s="1" a="1"/>
  <c r="I71" i="19" s="1"/>
  <c r="AB68" i="19"/>
  <c r="H68" i="19"/>
  <c r="H67" i="19"/>
  <c r="AP66" i="19" a="1"/>
  <c r="AP66" i="19" s="1"/>
  <c r="AP67" i="19" s="1" a="1"/>
  <c r="AP67" i="19" s="1"/>
  <c r="AP68" i="19" s="1" a="1"/>
  <c r="AP68" i="19" s="1"/>
  <c r="AJ66" i="19"/>
  <c r="AI66" i="19"/>
  <c r="AB66" i="19"/>
  <c r="AB67" i="19" s="1"/>
  <c r="I66" i="19" a="1"/>
  <c r="I66" i="19"/>
  <c r="I67" i="19" s="1" a="1"/>
  <c r="I67" i="19" s="1"/>
  <c r="I68" i="19" s="1" a="1"/>
  <c r="I68" i="19" s="1"/>
  <c r="L65" i="19" a="1"/>
  <c r="L65" i="19"/>
  <c r="AF64" i="19"/>
  <c r="AE64" i="19"/>
  <c r="L64" i="19" a="1"/>
  <c r="L64" i="19"/>
  <c r="I63" i="19"/>
  <c r="AJ62" i="19"/>
  <c r="AI62" i="19"/>
  <c r="AI60" i="19" s="1"/>
  <c r="AB62" i="19"/>
  <c r="H62" i="19"/>
  <c r="AP61" i="19" a="1"/>
  <c r="AP61" i="19" s="1"/>
  <c r="AP62" i="19" s="1" a="1"/>
  <c r="AP62" i="19" s="1"/>
  <c r="H61" i="19"/>
  <c r="AP60" i="19" a="1"/>
  <c r="AP60" i="19"/>
  <c r="AJ60" i="19"/>
  <c r="AB60" i="19"/>
  <c r="AB61" i="19" s="1"/>
  <c r="I60" i="19" a="1"/>
  <c r="I60" i="19" s="1"/>
  <c r="I61" i="19" s="1" a="1"/>
  <c r="I61" i="19" s="1"/>
  <c r="I62" i="19" s="1" a="1"/>
  <c r="I62" i="19" s="1"/>
  <c r="AJ59" i="19"/>
  <c r="AI59" i="19"/>
  <c r="AI57" i="19" s="1"/>
  <c r="AI53" i="19" s="1"/>
  <c r="AB59" i="19"/>
  <c r="H59" i="19"/>
  <c r="AP58" i="19" a="1"/>
  <c r="AP58" i="19" s="1"/>
  <c r="AP59" i="19" s="1" a="1"/>
  <c r="AP59" i="19" s="1"/>
  <c r="H58" i="19"/>
  <c r="AP57" i="19" a="1"/>
  <c r="AP57" i="19"/>
  <c r="AJ57" i="19"/>
  <c r="AJ53" i="19" s="1"/>
  <c r="AB57" i="19"/>
  <c r="AB58" i="19" s="1"/>
  <c r="I57" i="19" a="1"/>
  <c r="I57" i="19" s="1"/>
  <c r="I58" i="19" s="1" a="1"/>
  <c r="I58" i="19" s="1"/>
  <c r="I59" i="19" s="1" a="1"/>
  <c r="I59" i="19" s="1"/>
  <c r="H56" i="19"/>
  <c r="H55" i="19"/>
  <c r="AP54" i="19" a="1"/>
  <c r="AP54" i="19" s="1"/>
  <c r="AP55" i="19" s="1" a="1"/>
  <c r="AP55" i="19" s="1"/>
  <c r="AP56" i="19" s="1" a="1"/>
  <c r="AP56" i="19" s="1"/>
  <c r="AJ54" i="19"/>
  <c r="AI54" i="19"/>
  <c r="AB54" i="19"/>
  <c r="AB55" i="19" s="1"/>
  <c r="I54" i="19" a="1"/>
  <c r="I54" i="19"/>
  <c r="I55" i="19" s="1" a="1"/>
  <c r="I55" i="19" s="1"/>
  <c r="I56" i="19" s="1" a="1"/>
  <c r="I56" i="19" s="1"/>
  <c r="AG53" i="19" a="1"/>
  <c r="AG53" i="19" s="1"/>
  <c r="AF53" i="19"/>
  <c r="AE53" i="19"/>
  <c r="T53" i="19" a="1"/>
  <c r="T53" i="19" s="1"/>
  <c r="L53" i="19" a="1"/>
  <c r="L53" i="19"/>
  <c r="T52" i="19"/>
  <c r="F52" i="19" a="1"/>
  <c r="F52" i="19"/>
  <c r="F53" i="19" s="1" a="1"/>
  <c r="F53" i="19" s="1"/>
  <c r="L51" i="19" a="1"/>
  <c r="L51" i="19" s="1"/>
  <c r="I50" i="19"/>
  <c r="AB49" i="19"/>
  <c r="H49" i="19"/>
  <c r="AP48" i="19" a="1"/>
  <c r="AP48" i="19"/>
  <c r="AP49" i="19" s="1" a="1"/>
  <c r="AP49" i="19" s="1"/>
  <c r="H48" i="19"/>
  <c r="AP47" i="19" a="1"/>
  <c r="AP47" i="19"/>
  <c r="AJ47" i="19"/>
  <c r="AI47" i="19"/>
  <c r="AB47" i="19"/>
  <c r="AB48" i="19" s="1"/>
  <c r="I47" i="19" a="1"/>
  <c r="I47" i="19"/>
  <c r="I48" i="19" s="1" a="1"/>
  <c r="I48" i="19" s="1"/>
  <c r="I49" i="19" s="1" a="1"/>
  <c r="I49" i="19" s="1"/>
  <c r="AJ46" i="19"/>
  <c r="AI46" i="19"/>
  <c r="L46" i="19" a="1"/>
  <c r="L46" i="19"/>
  <c r="L45" i="19" a="1"/>
  <c r="L45" i="19" s="1"/>
  <c r="I44" i="19"/>
  <c r="AB43" i="19"/>
  <c r="H43" i="19"/>
  <c r="AP42" i="19" a="1"/>
  <c r="AP42" i="19"/>
  <c r="AP43" i="19" s="1" a="1"/>
  <c r="AP43" i="19" s="1"/>
  <c r="H42" i="19"/>
  <c r="AP41" i="19" a="1"/>
  <c r="AP41" i="19"/>
  <c r="AJ41" i="19"/>
  <c r="AI41" i="19"/>
  <c r="AB41" i="19"/>
  <c r="AB42" i="19" s="1"/>
  <c r="I41" i="19" a="1"/>
  <c r="I41" i="19"/>
  <c r="I42" i="19" s="1" a="1"/>
  <c r="I42" i="19" s="1"/>
  <c r="I43" i="19" s="1" a="1"/>
  <c r="I43" i="19" s="1"/>
  <c r="AJ40" i="19"/>
  <c r="AI40" i="19"/>
  <c r="L40" i="19" a="1"/>
  <c r="L40" i="19"/>
  <c r="L39" i="19" a="1"/>
  <c r="L39" i="19" s="1"/>
  <c r="I38" i="19"/>
  <c r="AB37" i="19"/>
  <c r="H37" i="19"/>
  <c r="H36" i="19"/>
  <c r="AP35" i="19" a="1"/>
  <c r="AP35" i="19"/>
  <c r="AP36" i="19" s="1" a="1"/>
  <c r="AP36" i="19" s="1"/>
  <c r="AP37" i="19" s="1" a="1"/>
  <c r="AP37" i="19" s="1"/>
  <c r="AJ35" i="19"/>
  <c r="AI35" i="19"/>
  <c r="AB35" i="19"/>
  <c r="AB36" i="19" s="1"/>
  <c r="I35" i="19" a="1"/>
  <c r="I35" i="19"/>
  <c r="I36" i="19" s="1" a="1"/>
  <c r="I36" i="19" s="1"/>
  <c r="I37" i="19" s="1" a="1"/>
  <c r="I37" i="19" s="1"/>
  <c r="AJ34" i="19"/>
  <c r="AI34" i="19"/>
  <c r="L34" i="19" a="1"/>
  <c r="L34" i="19"/>
  <c r="L33" i="19" a="1"/>
  <c r="L33" i="19" s="1"/>
  <c r="I32" i="19"/>
  <c r="AB31" i="19"/>
  <c r="H31" i="19"/>
  <c r="H30" i="19"/>
  <c r="AP29" i="19" a="1"/>
  <c r="AP29" i="19"/>
  <c r="AP30" i="19" s="1" a="1"/>
  <c r="AP30" i="19" s="1"/>
  <c r="AP31" i="19" s="1" a="1"/>
  <c r="AP31" i="19" s="1"/>
  <c r="AJ29" i="19"/>
  <c r="AI29" i="19"/>
  <c r="AB29" i="19"/>
  <c r="AB30" i="19" s="1"/>
  <c r="I29" i="19" a="1"/>
  <c r="I29" i="19"/>
  <c r="I30" i="19" s="1" a="1"/>
  <c r="I30" i="19" s="1"/>
  <c r="I31" i="19" s="1" a="1"/>
  <c r="I31" i="19" s="1"/>
  <c r="AJ28" i="19"/>
  <c r="AI28" i="19"/>
  <c r="L28" i="19" a="1"/>
  <c r="L28" i="19"/>
  <c r="T27" i="19"/>
  <c r="T28" i="19" s="1" a="1"/>
  <c r="T28" i="19" s="1"/>
  <c r="F27" i="19" a="1"/>
  <c r="F27" i="19"/>
  <c r="F28" i="19" s="1" a="1"/>
  <c r="F28" i="19" s="1"/>
  <c r="AJ24" i="19"/>
  <c r="AI24" i="19"/>
  <c r="AH24" i="19"/>
  <c r="AG24" i="19"/>
  <c r="AF24" i="19"/>
  <c r="AE24" i="19"/>
  <c r="AJ12" i="19" a="1"/>
  <c r="AJ12" i="19"/>
  <c r="AI12" i="19" a="1"/>
  <c r="AI12" i="19"/>
  <c r="AH12" i="19" a="1"/>
  <c r="AH12" i="19"/>
  <c r="AG12" i="19" a="1"/>
  <c r="AG12" i="19"/>
  <c r="AF12" i="19" a="1"/>
  <c r="AF12" i="19"/>
  <c r="AE12" i="19" a="1"/>
  <c r="AE12" i="19"/>
  <c r="AJ11" i="19" a="1"/>
  <c r="AJ11" i="19"/>
  <c r="AJ13" i="19" s="1"/>
  <c r="AI11" i="19" a="1"/>
  <c r="AI11" i="19"/>
  <c r="AI13" i="19" s="1"/>
  <c r="AH11" i="19"/>
  <c r="AH13" i="19" s="1"/>
  <c r="AG11" i="19"/>
  <c r="AG7" i="19" s="1" a="1"/>
  <c r="AG7" i="19" s="1"/>
  <c r="AF11" i="19"/>
  <c r="AF13" i="19" s="1"/>
  <c r="AE11" i="19"/>
  <c r="AE13" i="19" s="1"/>
  <c r="AK9" i="19" a="1"/>
  <c r="AK9" i="19"/>
  <c r="AJ8" i="19" a="1"/>
  <c r="AJ8" i="19"/>
  <c r="AI8" i="19" a="1"/>
  <c r="AI8" i="19"/>
  <c r="AH8" i="19" a="1"/>
  <c r="AH8" i="19"/>
  <c r="AG8" i="19" a="1"/>
  <c r="AG8" i="19"/>
  <c r="AF8" i="19" a="1"/>
  <c r="AF8" i="19"/>
  <c r="AE8" i="19" a="1"/>
  <c r="AE8" i="19"/>
  <c r="AH7" i="19" a="1"/>
  <c r="AH7" i="19"/>
  <c r="AF7" i="19" a="1"/>
  <c r="AF7" i="19"/>
  <c r="T99" i="18"/>
  <c r="T98" i="18"/>
  <c r="T97" i="18"/>
  <c r="T96" i="18"/>
  <c r="T95" i="18"/>
  <c r="T94" i="18"/>
  <c r="T93" i="18"/>
  <c r="T92" i="18"/>
  <c r="T91" i="18"/>
  <c r="T90" i="18"/>
  <c r="AT86" i="18"/>
  <c r="AU86" i="18" s="1"/>
  <c r="AU57" i="18" s="1"/>
  <c r="L86" i="18" a="1"/>
  <c r="L86" i="18"/>
  <c r="L85" i="18" a="1"/>
  <c r="L85" i="18" s="1"/>
  <c r="L84" i="18" a="1"/>
  <c r="L84" i="18"/>
  <c r="AU83" i="18"/>
  <c r="AT83" i="18"/>
  <c r="L83" i="18" a="1"/>
  <c r="L83" i="18" s="1"/>
  <c r="H82" i="18"/>
  <c r="BH80" i="18" a="1"/>
  <c r="BH80" i="18" s="1"/>
  <c r="BH81" i="18" s="1" a="1"/>
  <c r="BH81" i="18" s="1"/>
  <c r="AB80" i="18"/>
  <c r="AB81" i="18" s="1"/>
  <c r="H80" i="18" a="1"/>
  <c r="H80" i="18" s="1"/>
  <c r="H81" i="18" s="1" a="1"/>
  <c r="H81" i="18" s="1"/>
  <c r="BB79" i="18"/>
  <c r="BA79" i="18"/>
  <c r="AZ79" i="18"/>
  <c r="AY79" i="18"/>
  <c r="AX79" i="18"/>
  <c r="AW79" i="18"/>
  <c r="AV79" i="18"/>
  <c r="AU79" i="18"/>
  <c r="AT79" i="18"/>
  <c r="AS79" i="18"/>
  <c r="AR79" i="18"/>
  <c r="AQ79" i="18"/>
  <c r="AP79" i="18"/>
  <c r="AO79" i="18"/>
  <c r="AN79" i="18"/>
  <c r="AM79" i="18"/>
  <c r="AL79" i="18"/>
  <c r="AK79" i="18"/>
  <c r="AJ79" i="18"/>
  <c r="AI79" i="18"/>
  <c r="AH79" i="18"/>
  <c r="AG79" i="18"/>
  <c r="AF79" i="18"/>
  <c r="AE79" i="18"/>
  <c r="BB78" i="18"/>
  <c r="BA78" i="18"/>
  <c r="AZ78" i="18"/>
  <c r="AY78" i="18"/>
  <c r="AX78" i="18"/>
  <c r="AW78" i="18"/>
  <c r="AV78" i="18"/>
  <c r="AU78" i="18"/>
  <c r="AT78" i="18"/>
  <c r="AS78" i="18"/>
  <c r="AR78" i="18"/>
  <c r="AQ78" i="18"/>
  <c r="AP78" i="18"/>
  <c r="AO78" i="18"/>
  <c r="AN78" i="18"/>
  <c r="AM78" i="18"/>
  <c r="AL78" i="18"/>
  <c r="AK78" i="18"/>
  <c r="AJ78" i="18"/>
  <c r="AI78" i="18"/>
  <c r="AH78" i="18"/>
  <c r="AG78" i="18"/>
  <c r="AF78" i="18"/>
  <c r="AE78" i="18"/>
  <c r="L78" i="18" a="1"/>
  <c r="L78" i="18" s="1"/>
  <c r="H77" i="18"/>
  <c r="BH75" i="18" a="1"/>
  <c r="BH75" i="18" s="1"/>
  <c r="BH76" i="18" s="1" a="1"/>
  <c r="BH76" i="18" s="1"/>
  <c r="AB75" i="18"/>
  <c r="AB76" i="18" s="1"/>
  <c r="H75" i="18" a="1"/>
  <c r="H75" i="18" s="1"/>
  <c r="H76" i="18" s="1" a="1"/>
  <c r="H76" i="18" s="1"/>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BB73" i="18"/>
  <c r="BA73" i="18"/>
  <c r="AZ73" i="18"/>
  <c r="AY73" i="18"/>
  <c r="AX73" i="18"/>
  <c r="AW73" i="18"/>
  <c r="AV73" i="18"/>
  <c r="AU73" i="18"/>
  <c r="AT73" i="18"/>
  <c r="AS73" i="18"/>
  <c r="AR73" i="18"/>
  <c r="AQ73" i="18"/>
  <c r="AP73" i="18"/>
  <c r="AO73" i="18"/>
  <c r="AN73" i="18"/>
  <c r="AM73" i="18"/>
  <c r="AL73" i="18"/>
  <c r="AK73" i="18"/>
  <c r="AJ73" i="18"/>
  <c r="AI73" i="18"/>
  <c r="AH73" i="18"/>
  <c r="AG73" i="18"/>
  <c r="AF73" i="18"/>
  <c r="AE73" i="18"/>
  <c r="L73" i="18" a="1"/>
  <c r="L73" i="18" s="1"/>
  <c r="H72" i="18"/>
  <c r="BH70" i="18" a="1"/>
  <c r="BH70" i="18" s="1"/>
  <c r="BH71" i="18" s="1" a="1"/>
  <c r="BH71" i="18" s="1"/>
  <c r="AB70" i="18"/>
  <c r="AB71" i="18" s="1"/>
  <c r="H70" i="18" a="1"/>
  <c r="H70" i="18" s="1"/>
  <c r="H71" i="18" s="1" a="1"/>
  <c r="H71" i="18" s="1"/>
  <c r="BB69" i="18"/>
  <c r="BA69" i="18"/>
  <c r="AZ69" i="18"/>
  <c r="AY69" i="18"/>
  <c r="AX69" i="18"/>
  <c r="AW69" i="18"/>
  <c r="AV69" i="18"/>
  <c r="AU69" i="18"/>
  <c r="AT69" i="18"/>
  <c r="AS69" i="18"/>
  <c r="AR69" i="18"/>
  <c r="AQ69" i="18"/>
  <c r="AP69" i="18"/>
  <c r="AO69" i="18"/>
  <c r="AN69" i="18"/>
  <c r="AM69" i="18"/>
  <c r="AL69" i="18"/>
  <c r="AK69" i="18"/>
  <c r="AJ69" i="18"/>
  <c r="AI69" i="18"/>
  <c r="AH69" i="18"/>
  <c r="AG69" i="18"/>
  <c r="AF69" i="18"/>
  <c r="AE69" i="18"/>
  <c r="BB68" i="18"/>
  <c r="BA68" i="18"/>
  <c r="AZ68" i="18"/>
  <c r="AY68" i="18"/>
  <c r="AX68" i="18"/>
  <c r="AW68" i="18"/>
  <c r="AV68" i="18"/>
  <c r="AU68" i="18"/>
  <c r="AT68" i="18"/>
  <c r="AS68" i="18"/>
  <c r="AR68" i="18"/>
  <c r="AQ68" i="18"/>
  <c r="AP68" i="18"/>
  <c r="AO68" i="18"/>
  <c r="AN68" i="18"/>
  <c r="AM68" i="18"/>
  <c r="AL68" i="18"/>
  <c r="AK68" i="18"/>
  <c r="AJ68" i="18"/>
  <c r="AI68" i="18"/>
  <c r="AH68" i="18"/>
  <c r="AG68" i="18"/>
  <c r="AF68" i="18"/>
  <c r="AE68" i="18"/>
  <c r="L68" i="18" a="1"/>
  <c r="L68" i="18" s="1"/>
  <c r="H67" i="18"/>
  <c r="BH65" i="18" a="1"/>
  <c r="BH65" i="18" s="1"/>
  <c r="BH66" i="18" s="1" a="1"/>
  <c r="BH66" i="18" s="1"/>
  <c r="AB65" i="18"/>
  <c r="AB66" i="18" s="1"/>
  <c r="H65" i="18" a="1"/>
  <c r="H65" i="18" s="1"/>
  <c r="H66" i="18" s="1" a="1"/>
  <c r="H66" i="18" s="1"/>
  <c r="BB64" i="18"/>
  <c r="BA64" i="18"/>
  <c r="AZ64" i="18"/>
  <c r="AY64" i="18"/>
  <c r="AX64" i="18"/>
  <c r="AW64" i="18"/>
  <c r="AV64" i="18"/>
  <c r="AU64" i="18"/>
  <c r="AT64" i="18"/>
  <c r="AS64" i="18"/>
  <c r="AR64" i="18"/>
  <c r="AQ64" i="18"/>
  <c r="AP64" i="18"/>
  <c r="AO64" i="18"/>
  <c r="AN64" i="18"/>
  <c r="AM64" i="18"/>
  <c r="AL64" i="18"/>
  <c r="AK64" i="18"/>
  <c r="AJ64" i="18"/>
  <c r="AI64" i="18"/>
  <c r="AH64" i="18"/>
  <c r="AG64" i="18"/>
  <c r="AF64" i="18"/>
  <c r="AE64" i="18"/>
  <c r="BB63" i="18"/>
  <c r="BB57" i="18" s="1"/>
  <c r="BA63" i="18"/>
  <c r="AZ63" i="18"/>
  <c r="AZ57" i="18" s="1"/>
  <c r="AY63" i="18"/>
  <c r="AX63" i="18"/>
  <c r="AX57" i="18" s="1"/>
  <c r="AW63" i="18"/>
  <c r="AV63" i="18"/>
  <c r="AV57" i="18" s="1"/>
  <c r="AU63" i="18"/>
  <c r="AT63" i="18"/>
  <c r="AT57" i="18" s="1"/>
  <c r="AS63" i="18"/>
  <c r="AR63" i="18"/>
  <c r="AR57" i="18" s="1"/>
  <c r="AQ63" i="18"/>
  <c r="AP63" i="18"/>
  <c r="AP57" i="18" s="1"/>
  <c r="AO63" i="18"/>
  <c r="AN63" i="18"/>
  <c r="AN57" i="18" s="1"/>
  <c r="AM63" i="18"/>
  <c r="AL63" i="18"/>
  <c r="AL57" i="18" s="1"/>
  <c r="AK63" i="18"/>
  <c r="AJ63" i="18"/>
  <c r="AJ57" i="18" s="1"/>
  <c r="AI63" i="18"/>
  <c r="AH63" i="18"/>
  <c r="AH57" i="18" s="1"/>
  <c r="AG63" i="18"/>
  <c r="AF63" i="18"/>
  <c r="AF57" i="18" s="1"/>
  <c r="AE63" i="18"/>
  <c r="L63" i="18" a="1"/>
  <c r="L63" i="18" s="1"/>
  <c r="H62" i="18"/>
  <c r="BH60" i="18" a="1"/>
  <c r="BH60" i="18" s="1"/>
  <c r="BH61" i="18" s="1" a="1"/>
  <c r="BH61" i="18" s="1"/>
  <c r="AB60" i="18"/>
  <c r="AB61" i="18" s="1"/>
  <c r="H60" i="18" a="1"/>
  <c r="H60" i="18" s="1"/>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T58" i="18" a="1"/>
  <c r="T58" i="18" s="1"/>
  <c r="L58" i="18" a="1"/>
  <c r="L58" i="18" s="1"/>
  <c r="BA57" i="18"/>
  <c r="AY57" i="18"/>
  <c r="AW57" i="18"/>
  <c r="AS57" i="18"/>
  <c r="AQ57" i="18"/>
  <c r="AO57" i="18"/>
  <c r="AM57" i="18"/>
  <c r="AK57" i="18"/>
  <c r="AI57" i="18"/>
  <c r="AG57" i="18"/>
  <c r="AE57" i="18"/>
  <c r="T57" i="18"/>
  <c r="F57" i="18" a="1"/>
  <c r="F57" i="18" s="1"/>
  <c r="F58" i="18" s="1" a="1"/>
  <c r="F58" i="18" s="1"/>
  <c r="L56" i="18" a="1"/>
  <c r="L56" i="18" s="1"/>
  <c r="L55" i="18" a="1"/>
  <c r="L55" i="18"/>
  <c r="L54" i="18" a="1"/>
  <c r="L54" i="18" s="1"/>
  <c r="L53" i="18" a="1"/>
  <c r="L53" i="18"/>
  <c r="H52" i="18"/>
  <c r="AB51" i="18"/>
  <c r="BH50" i="18" a="1"/>
  <c r="BH50" i="18"/>
  <c r="BH51" i="18" s="1" a="1"/>
  <c r="BH51" i="18" s="1"/>
  <c r="AB50" i="18"/>
  <c r="H50" i="18" a="1"/>
  <c r="H50" i="18"/>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c r="H47" i="18"/>
  <c r="BH46" i="18" a="1"/>
  <c r="BH46" i="18" s="1"/>
  <c r="AB46" i="18"/>
  <c r="BH45" i="18" a="1"/>
  <c r="BH45" i="18"/>
  <c r="AB45" i="18"/>
  <c r="H45" i="18" a="1"/>
  <c r="H45" i="18"/>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c r="H42" i="18"/>
  <c r="AB41" i="18"/>
  <c r="BH40" i="18" a="1"/>
  <c r="BH40" i="18"/>
  <c r="BH41" i="18" s="1" a="1"/>
  <c r="BH41" i="18" s="1"/>
  <c r="AB40" i="18"/>
  <c r="H40" i="18" a="1"/>
  <c r="H40" i="18"/>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c r="H37" i="18"/>
  <c r="BH36" i="18" a="1"/>
  <c r="BH36" i="18" s="1"/>
  <c r="AB36" i="18"/>
  <c r="BH35" i="18" a="1"/>
  <c r="BH35" i="18"/>
  <c r="AB35" i="18"/>
  <c r="H35" i="18" a="1"/>
  <c r="H35" i="18"/>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BA27" i="18" s="1"/>
  <c r="AZ33" i="18"/>
  <c r="AY33" i="18"/>
  <c r="AX33" i="18"/>
  <c r="AW33" i="18"/>
  <c r="AW27" i="18" s="1"/>
  <c r="AV33" i="18"/>
  <c r="AU33" i="18"/>
  <c r="AT33" i="18"/>
  <c r="AS33" i="18"/>
  <c r="AS27" i="18" s="1"/>
  <c r="AR33" i="18"/>
  <c r="AQ33" i="18"/>
  <c r="AP33" i="18"/>
  <c r="AO33" i="18"/>
  <c r="AO27" i="18" s="1"/>
  <c r="AN33" i="18"/>
  <c r="AM33" i="18"/>
  <c r="AL33" i="18"/>
  <c r="AK33" i="18"/>
  <c r="AK27" i="18" s="1"/>
  <c r="AJ33" i="18"/>
  <c r="AI33" i="18"/>
  <c r="AH33" i="18"/>
  <c r="AG33" i="18"/>
  <c r="AG27" i="18" s="1"/>
  <c r="AF33" i="18"/>
  <c r="AE33" i="18"/>
  <c r="L33" i="18" a="1"/>
  <c r="L33" i="18"/>
  <c r="H32" i="18"/>
  <c r="AB31" i="18"/>
  <c r="H31" i="18"/>
  <c r="BH30" i="18" a="1"/>
  <c r="BH30" i="18"/>
  <c r="BH31" i="18" s="1" a="1"/>
  <c r="BH31" i="18" s="1"/>
  <c r="AB30" i="18"/>
  <c r="H30" i="18" a="1"/>
  <c r="H30" i="18"/>
  <c r="H31" i="18" s="1" a="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L28" i="18" a="1"/>
  <c r="L28" i="18"/>
  <c r="BB27" i="18"/>
  <c r="AZ27" i="18"/>
  <c r="AX27" i="18"/>
  <c r="AV27" i="18"/>
  <c r="AT27" i="18"/>
  <c r="AR27" i="18"/>
  <c r="AP27" i="18"/>
  <c r="AN27" i="18"/>
  <c r="AL27" i="18"/>
  <c r="AJ27" i="18"/>
  <c r="AH27" i="18"/>
  <c r="AF27" i="18"/>
  <c r="T27" i="18"/>
  <c r="T28" i="18" s="1" a="1"/>
  <c r="T28" i="18" s="1"/>
  <c r="F27" i="18" a="1"/>
  <c r="F27" i="18"/>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c r="BB10" i="18" a="1"/>
  <c r="BB10" i="18"/>
  <c r="BA10" i="18" a="1"/>
  <c r="BA10" i="18"/>
  <c r="AZ10" i="18" a="1"/>
  <c r="AZ10" i="18"/>
  <c r="AY10" i="18" a="1"/>
  <c r="AY10" i="18"/>
  <c r="AX10" i="18" a="1"/>
  <c r="AX10" i="18"/>
  <c r="AW10" i="18" a="1"/>
  <c r="AW10" i="18"/>
  <c r="AV10" i="18" a="1"/>
  <c r="AV10" i="18"/>
  <c r="AU10" i="18" a="1"/>
  <c r="AU10" i="18"/>
  <c r="AT10" i="18" a="1"/>
  <c r="AT10" i="18"/>
  <c r="AS10" i="18" a="1"/>
  <c r="AS10" i="18"/>
  <c r="AR10" i="18" a="1"/>
  <c r="AR10" i="18"/>
  <c r="AQ10" i="18" a="1"/>
  <c r="AQ10" i="18"/>
  <c r="AP10" i="18" a="1"/>
  <c r="AP10" i="18"/>
  <c r="AO10" i="18" a="1"/>
  <c r="AO10" i="18"/>
  <c r="AN10" i="18" a="1"/>
  <c r="AN10" i="18"/>
  <c r="AM10" i="18" a="1"/>
  <c r="AM10" i="18"/>
  <c r="AL10" i="18" a="1"/>
  <c r="AL10" i="18"/>
  <c r="AK10" i="18" a="1"/>
  <c r="AK10" i="18"/>
  <c r="AJ10" i="18" a="1"/>
  <c r="AJ10" i="18"/>
  <c r="AI10" i="18" a="1"/>
  <c r="AI10" i="18"/>
  <c r="AH10" i="18" a="1"/>
  <c r="AH10" i="18"/>
  <c r="AG10" i="18" a="1"/>
  <c r="AG10" i="18"/>
  <c r="AF10" i="18" a="1"/>
  <c r="AF10" i="18"/>
  <c r="AE10" i="18" a="1"/>
  <c r="AE10" i="18"/>
  <c r="BA9" i="18"/>
  <c r="AS9" i="18"/>
  <c r="AK9" i="18"/>
  <c r="AE9" i="18"/>
  <c r="BB7" i="18" a="1"/>
  <c r="BB7" i="18"/>
  <c r="BA7" i="18" a="1"/>
  <c r="BA7" i="18"/>
  <c r="AZ7" i="18" a="1"/>
  <c r="AZ7" i="18"/>
  <c r="AY7" i="18" a="1"/>
  <c r="AY7" i="18"/>
  <c r="AX7" i="18" a="1"/>
  <c r="AX7" i="18"/>
  <c r="AW7" i="18" a="1"/>
  <c r="AW7" i="18"/>
  <c r="AV7" i="18" a="1"/>
  <c r="AV7" i="18"/>
  <c r="AU7" i="18" a="1"/>
  <c r="AU7" i="18"/>
  <c r="AT7" i="18" a="1"/>
  <c r="AT7" i="18"/>
  <c r="AS7" i="18" a="1"/>
  <c r="AS7" i="18"/>
  <c r="AR7" i="18" a="1"/>
  <c r="AR7" i="18"/>
  <c r="AQ7" i="18" a="1"/>
  <c r="AQ7" i="18"/>
  <c r="AP7" i="18" a="1"/>
  <c r="AP7" i="18"/>
  <c r="AO7" i="18" a="1"/>
  <c r="AO7" i="18"/>
  <c r="AN7" i="18" a="1"/>
  <c r="AN7" i="18"/>
  <c r="AM7" i="18" a="1"/>
  <c r="AM7" i="18"/>
  <c r="AL7" i="18" a="1"/>
  <c r="AL7" i="18"/>
  <c r="AK7" i="18" a="1"/>
  <c r="AK7" i="18"/>
  <c r="AJ7" i="18" a="1"/>
  <c r="AJ7" i="18"/>
  <c r="AI7" i="18" a="1"/>
  <c r="AI7" i="18"/>
  <c r="AH7" i="18" a="1"/>
  <c r="AH7" i="18"/>
  <c r="AG7" i="18" a="1"/>
  <c r="AG7" i="18"/>
  <c r="AF7" i="18" a="1"/>
  <c r="AF7" i="18"/>
  <c r="AE7" i="18" a="1"/>
  <c r="AE7" i="18"/>
  <c r="BB6" i="18"/>
  <c r="BB9" i="18" s="1" a="1"/>
  <c r="BB9" i="18" s="1"/>
  <c r="BA6" i="18"/>
  <c r="BA9" i="18" s="1" a="1"/>
  <c r="AZ6" i="18"/>
  <c r="AZ9" i="18" s="1" a="1"/>
  <c r="AZ9" i="18" s="1"/>
  <c r="AY6" i="18"/>
  <c r="AX6" i="18"/>
  <c r="AX9" i="18" s="1" a="1"/>
  <c r="AX9" i="18" s="1"/>
  <c r="AW6" i="18"/>
  <c r="AW9" i="18" s="1" a="1"/>
  <c r="AW9" i="18" s="1"/>
  <c r="AV6" i="18"/>
  <c r="AV9" i="18" s="1" a="1"/>
  <c r="AV9" i="18" s="1"/>
  <c r="AU6" i="18"/>
  <c r="AT6" i="18"/>
  <c r="AT9" i="18" s="1" a="1"/>
  <c r="AT9" i="18" s="1"/>
  <c r="AS6" i="18" a="1"/>
  <c r="AS6" i="18" s="1"/>
  <c r="AS9" i="18" s="1" a="1"/>
  <c r="AR6" i="18"/>
  <c r="AQ6" i="18"/>
  <c r="AQ9" i="18" s="1" a="1"/>
  <c r="AQ9" i="18" s="1"/>
  <c r="AP6" i="18"/>
  <c r="AO6" i="18"/>
  <c r="AO9" i="18" s="1" a="1"/>
  <c r="AO9" i="18" s="1"/>
  <c r="AN6" i="18"/>
  <c r="AM6" i="18"/>
  <c r="AM9" i="18" s="1" a="1"/>
  <c r="AM9" i="18" s="1"/>
  <c r="AL6" i="18"/>
  <c r="AK6" i="18"/>
  <c r="AK9" i="18" s="1" a="1"/>
  <c r="AJ6" i="18"/>
  <c r="AI6" i="18" a="1"/>
  <c r="AI6" i="18"/>
  <c r="AI9" i="18" s="1" a="1"/>
  <c r="AI9" i="18" s="1"/>
  <c r="AH6" i="18"/>
  <c r="AH9" i="18" s="1" a="1"/>
  <c r="AH9" i="18" s="1"/>
  <c r="AG6" i="18"/>
  <c r="AG9" i="18" s="1" a="1"/>
  <c r="AG9" i="18" s="1"/>
  <c r="AF6" i="18"/>
  <c r="AF9" i="18" s="1" a="1"/>
  <c r="AF9" i="18" s="1"/>
  <c r="AE6" i="18"/>
  <c r="AE9" i="18" s="1" a="1"/>
  <c r="T44" i="17"/>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s="1"/>
  <c r="F28" i="17" s="1" a="1"/>
  <c r="F28" i="17" s="1"/>
  <c r="F29" i="17" s="1" a="1"/>
  <c r="F29" i="17" s="1"/>
  <c r="F30" i="17" s="1" a="1"/>
  <c r="F30" i="17" s="1"/>
  <c r="AE24" i="17"/>
  <c r="AF14" i="17" a="1"/>
  <c r="AF14" i="17"/>
  <c r="AE14" i="17" a="1"/>
  <c r="AE14" i="17"/>
  <c r="AF13" i="17" a="1"/>
  <c r="AF13" i="17"/>
  <c r="AE13" i="17" a="1"/>
  <c r="AE13" i="17"/>
  <c r="AE10" i="17" s="1" a="1"/>
  <c r="AF11" i="17" a="1"/>
  <c r="AF11" i="17"/>
  <c r="AE11" i="17" a="1"/>
  <c r="AE11" i="17"/>
  <c r="AE10" i="17"/>
  <c r="T50" i="16"/>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Z38" i="16" s="1"/>
  <c r="AY39" i="16"/>
  <c r="AX39" i="16"/>
  <c r="AW39" i="16"/>
  <c r="AV39" i="16"/>
  <c r="AV38" i="16" s="1"/>
  <c r="AU39" i="16"/>
  <c r="AT39" i="16"/>
  <c r="AS39" i="16"/>
  <c r="AR39" i="16"/>
  <c r="AR38" i="16" s="1"/>
  <c r="AQ39" i="16"/>
  <c r="AP39" i="16"/>
  <c r="AO39" i="16"/>
  <c r="AN39" i="16"/>
  <c r="AN38" i="16" s="1"/>
  <c r="AM39" i="16"/>
  <c r="AL39" i="16"/>
  <c r="AK39" i="16"/>
  <c r="AJ39" i="16"/>
  <c r="AJ38" i="16" s="1"/>
  <c r="AI39" i="16"/>
  <c r="AH39" i="16"/>
  <c r="AG39" i="16"/>
  <c r="AF39" i="16"/>
  <c r="AF38" i="16" s="1"/>
  <c r="AE39" i="16"/>
  <c r="BB38" i="16"/>
  <c r="BA38" i="16"/>
  <c r="AY38" i="16"/>
  <c r="AX38" i="16"/>
  <c r="AW38" i="16"/>
  <c r="AU38" i="16"/>
  <c r="AT38" i="16"/>
  <c r="AS38" i="16"/>
  <c r="AQ38" i="16"/>
  <c r="AP38" i="16"/>
  <c r="AO38" i="16"/>
  <c r="AM38" i="16"/>
  <c r="AL38" i="16"/>
  <c r="AK38" i="16"/>
  <c r="AI38" i="16"/>
  <c r="AH38" i="16"/>
  <c r="AG38" i="16"/>
  <c r="AE38" i="16"/>
  <c r="T38" i="16" a="1"/>
  <c r="T38" i="16" s="1"/>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T37" i="16"/>
  <c r="F37" i="16" a="1"/>
  <c r="F37" i="16" s="1"/>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Z28" i="16" s="1"/>
  <c r="AY29" i="16"/>
  <c r="AX29" i="16"/>
  <c r="AW29" i="16"/>
  <c r="AV29" i="16"/>
  <c r="AV28" i="16" s="1"/>
  <c r="AU29" i="16"/>
  <c r="AT29" i="16"/>
  <c r="AS29" i="16"/>
  <c r="AR29" i="16"/>
  <c r="AR28" i="16" s="1"/>
  <c r="AQ29" i="16"/>
  <c r="AP29" i="16"/>
  <c r="AO29" i="16"/>
  <c r="AN29" i="16"/>
  <c r="AN28" i="16" s="1"/>
  <c r="AM29" i="16"/>
  <c r="AL29" i="16"/>
  <c r="AK29" i="16"/>
  <c r="AJ29" i="16"/>
  <c r="AJ28" i="16" s="1"/>
  <c r="AI29" i="16"/>
  <c r="AH29" i="16"/>
  <c r="AG29" i="16"/>
  <c r="AF29" i="16"/>
  <c r="AF28" i="16" s="1"/>
  <c r="AE29" i="16"/>
  <c r="BB28" i="16"/>
  <c r="BA28" i="16"/>
  <c r="AY28" i="16"/>
  <c r="AX28" i="16"/>
  <c r="AW28" i="16"/>
  <c r="AU28" i="16"/>
  <c r="AT28" i="16"/>
  <c r="AS28" i="16"/>
  <c r="AQ28" i="16"/>
  <c r="AP28" i="16"/>
  <c r="AO28" i="16"/>
  <c r="AM28" i="16"/>
  <c r="AL28" i="16"/>
  <c r="AK28" i="16"/>
  <c r="AI28" i="16"/>
  <c r="AH28" i="16"/>
  <c r="AG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A9" i="16" a="1"/>
  <c r="BA9" i="16" s="1"/>
  <c r="AY9" i="16" a="1"/>
  <c r="AY9" i="16" s="1"/>
  <c r="AW9" i="16" a="1"/>
  <c r="AW9" i="16" s="1"/>
  <c r="AU9" i="16" a="1"/>
  <c r="AU9" i="16" s="1"/>
  <c r="AS9" i="16" a="1"/>
  <c r="AS9" i="16" s="1"/>
  <c r="AR9" i="16" a="1"/>
  <c r="AR9" i="16" s="1"/>
  <c r="AQ9" i="16" a="1"/>
  <c r="AQ9" i="16" s="1"/>
  <c r="AP9" i="16" a="1"/>
  <c r="AP9" i="16" s="1"/>
  <c r="AO9" i="16" a="1"/>
  <c r="AO9" i="16" s="1"/>
  <c r="AN9" i="16" a="1"/>
  <c r="AN9" i="16" s="1"/>
  <c r="AM9" i="16" a="1"/>
  <c r="AM9" i="16" s="1"/>
  <c r="AL9" i="16" a="1"/>
  <c r="AL9" i="16" s="1"/>
  <c r="AK9" i="16" a="1"/>
  <c r="AK9" i="16" s="1"/>
  <c r="AJ9" i="16" a="1"/>
  <c r="AJ9" i="16" s="1"/>
  <c r="AI9" i="16" a="1"/>
  <c r="AI9" i="16" s="1"/>
  <c r="AG9" i="16" a="1"/>
  <c r="AG9" i="16" s="1"/>
  <c r="AE9" i="16" a="1"/>
  <c r="AE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B9" i="16" s="1" a="1"/>
  <c r="BB9" i="16" s="1"/>
  <c r="BA6" i="16"/>
  <c r="AZ6" i="16"/>
  <c r="AZ9" i="16" s="1" a="1"/>
  <c r="AZ9" i="16" s="1"/>
  <c r="AY6" i="16"/>
  <c r="AX6" i="16"/>
  <c r="AX9" i="16" s="1" a="1"/>
  <c r="AX9" i="16" s="1"/>
  <c r="AW6" i="16"/>
  <c r="AV6" i="16"/>
  <c r="AV9" i="16" s="1" a="1"/>
  <c r="AV9" i="16" s="1"/>
  <c r="AU6" i="16"/>
  <c r="AT6" i="16"/>
  <c r="AT9" i="16" s="1" a="1"/>
  <c r="AT9" i="16" s="1"/>
  <c r="AS6" i="16" a="1"/>
  <c r="AS6" i="16"/>
  <c r="AR6" i="16"/>
  <c r="AQ6" i="16"/>
  <c r="AP6" i="16"/>
  <c r="AO6" i="16"/>
  <c r="AN6" i="16"/>
  <c r="AM6" i="16"/>
  <c r="AL6" i="16"/>
  <c r="AK6" i="16"/>
  <c r="AJ6" i="16"/>
  <c r="AI6" i="16" a="1"/>
  <c r="AI6" i="16" s="1"/>
  <c r="AH6" i="16"/>
  <c r="AH9" i="16" s="1" a="1"/>
  <c r="AH9" i="16" s="1"/>
  <c r="AG6" i="16"/>
  <c r="AF6" i="16"/>
  <c r="AF9" i="16" s="1" a="1"/>
  <c r="AF9" i="16" s="1"/>
  <c r="AE6" i="16"/>
  <c r="T128"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L113" i="15" a="1"/>
  <c r="L113" i="15"/>
  <c r="AZ106" i="15"/>
  <c r="AZ112" i="15" s="1"/>
  <c r="AX106" i="15"/>
  <c r="AX112" i="15" s="1"/>
  <c r="AR106" i="15"/>
  <c r="AR112" i="15" s="1"/>
  <c r="AP106" i="15"/>
  <c r="AP112" i="15" s="1"/>
  <c r="AJ106" i="15"/>
  <c r="AJ112" i="15" s="1"/>
  <c r="AH106" i="15"/>
  <c r="AH112" i="15" s="1"/>
  <c r="AZ105" i="15"/>
  <c r="AZ111" i="15" s="1"/>
  <c r="AV105" i="15"/>
  <c r="AV111" i="15" s="1"/>
  <c r="AR105" i="15"/>
  <c r="AR111" i="15" s="1"/>
  <c r="AN105" i="15"/>
  <c r="AN111" i="15" s="1"/>
  <c r="AJ105" i="15"/>
  <c r="AJ111" i="15" s="1"/>
  <c r="AF105" i="15"/>
  <c r="AF111" i="15" s="1"/>
  <c r="AZ104" i="15"/>
  <c r="AZ110" i="15" s="1"/>
  <c r="AR104" i="15"/>
  <c r="AR110" i="15" s="1"/>
  <c r="AJ104" i="15"/>
  <c r="AJ110" i="15" s="1"/>
  <c r="AV103" i="15"/>
  <c r="AV109" i="15" s="1"/>
  <c r="AN103" i="15"/>
  <c r="AN109" i="15" s="1"/>
  <c r="AF103" i="15"/>
  <c r="AF109" i="15" s="1"/>
  <c r="AZ102" i="15"/>
  <c r="AZ108" i="15" s="1"/>
  <c r="AR102" i="15"/>
  <c r="AR108" i="15" s="1"/>
  <c r="AJ102" i="15"/>
  <c r="AJ108" i="15" s="1"/>
  <c r="BB100" i="15"/>
  <c r="BB106" i="15" s="1"/>
  <c r="BB112" i="15" s="1"/>
  <c r="BA100" i="15"/>
  <c r="BA106" i="15" s="1"/>
  <c r="BA112" i="15" s="1"/>
  <c r="AZ100" i="15"/>
  <c r="AY100" i="15"/>
  <c r="AY106" i="15" s="1"/>
  <c r="AY112" i="15" s="1"/>
  <c r="AX100" i="15"/>
  <c r="AW100" i="15"/>
  <c r="AW106" i="15" s="1"/>
  <c r="AW112" i="15" s="1"/>
  <c r="AV100" i="15"/>
  <c r="AV106" i="15" s="1"/>
  <c r="AV112" i="15" s="1"/>
  <c r="AU100" i="15"/>
  <c r="AU106" i="15" s="1"/>
  <c r="AU112" i="15" s="1"/>
  <c r="AT100" i="15"/>
  <c r="AT106" i="15" s="1"/>
  <c r="AT112" i="15" s="1"/>
  <c r="AS100" i="15"/>
  <c r="AS106" i="15" s="1"/>
  <c r="AS112" i="15" s="1"/>
  <c r="AR100" i="15"/>
  <c r="AQ100" i="15"/>
  <c r="AQ106" i="15" s="1"/>
  <c r="AQ112" i="15" s="1"/>
  <c r="AP100" i="15"/>
  <c r="AO100" i="15"/>
  <c r="AO106" i="15" s="1"/>
  <c r="AO112" i="15" s="1"/>
  <c r="AN100" i="15"/>
  <c r="AN106" i="15" s="1"/>
  <c r="AN112" i="15" s="1"/>
  <c r="AM100" i="15"/>
  <c r="AM106" i="15" s="1"/>
  <c r="AM112" i="15" s="1"/>
  <c r="AL100" i="15"/>
  <c r="AL106" i="15" s="1"/>
  <c r="AL112" i="15" s="1"/>
  <c r="AK100" i="15"/>
  <c r="AK106" i="15" s="1"/>
  <c r="AK112" i="15" s="1"/>
  <c r="AJ100" i="15"/>
  <c r="AI100" i="15"/>
  <c r="AI106" i="15" s="1"/>
  <c r="AI112" i="15" s="1"/>
  <c r="AH100" i="15"/>
  <c r="AG100" i="15"/>
  <c r="AG106" i="15" s="1"/>
  <c r="AG112" i="15" s="1"/>
  <c r="AF100" i="15"/>
  <c r="AF106" i="15" s="1"/>
  <c r="AF112" i="15" s="1"/>
  <c r="AE100" i="15"/>
  <c r="AE106" i="15" s="1"/>
  <c r="AE112" i="15" s="1"/>
  <c r="BB99" i="15"/>
  <c r="BB105" i="15" s="1"/>
  <c r="BB111" i="15" s="1"/>
  <c r="BA99" i="15"/>
  <c r="BA105" i="15" s="1"/>
  <c r="BA111" i="15" s="1"/>
  <c r="AZ99" i="15"/>
  <c r="AY99" i="15"/>
  <c r="AY105" i="15" s="1"/>
  <c r="AY111" i="15" s="1"/>
  <c r="AX99" i="15"/>
  <c r="AX105" i="15" s="1"/>
  <c r="AX111" i="15" s="1"/>
  <c r="AW99" i="15"/>
  <c r="AW105" i="15" s="1"/>
  <c r="AW111" i="15" s="1"/>
  <c r="AV99" i="15"/>
  <c r="AU99" i="15"/>
  <c r="AU105" i="15" s="1"/>
  <c r="AU111" i="15" s="1"/>
  <c r="AT99" i="15"/>
  <c r="AT105" i="15" s="1"/>
  <c r="AT111" i="15" s="1"/>
  <c r="AS99" i="15"/>
  <c r="AS105" i="15" s="1"/>
  <c r="AS111" i="15" s="1"/>
  <c r="AR99" i="15"/>
  <c r="AQ99" i="15"/>
  <c r="AQ105" i="15" s="1"/>
  <c r="AQ111" i="15" s="1"/>
  <c r="AP99" i="15"/>
  <c r="AP105" i="15" s="1"/>
  <c r="AP111" i="15" s="1"/>
  <c r="AO99" i="15"/>
  <c r="AO105" i="15" s="1"/>
  <c r="AO111" i="15" s="1"/>
  <c r="AN99" i="15"/>
  <c r="AM99" i="15"/>
  <c r="AM105" i="15" s="1"/>
  <c r="AM111" i="15" s="1"/>
  <c r="AL99" i="15"/>
  <c r="AL105" i="15" s="1"/>
  <c r="AL111" i="15" s="1"/>
  <c r="AK99" i="15"/>
  <c r="AK105" i="15" s="1"/>
  <c r="AK111" i="15" s="1"/>
  <c r="AJ99" i="15"/>
  <c r="AI99" i="15"/>
  <c r="AI105" i="15" s="1"/>
  <c r="AI111" i="15" s="1"/>
  <c r="AH99" i="15"/>
  <c r="AH105" i="15" s="1"/>
  <c r="AH111" i="15" s="1"/>
  <c r="AG99" i="15"/>
  <c r="AG105" i="15" s="1"/>
  <c r="AG111" i="15" s="1"/>
  <c r="AF99" i="15"/>
  <c r="AE99" i="15"/>
  <c r="AE105" i="15" s="1"/>
  <c r="AE111" i="15" s="1"/>
  <c r="BB98" i="15"/>
  <c r="BB104" i="15" s="1"/>
  <c r="BB110" i="15" s="1"/>
  <c r="BA98" i="15"/>
  <c r="BA104" i="15" s="1"/>
  <c r="BA110" i="15" s="1"/>
  <c r="AZ98" i="15"/>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E97" i="15"/>
  <c r="AE103" i="15" s="1"/>
  <c r="AE109" i="15" s="1"/>
  <c r="BB96" i="15"/>
  <c r="BB102" i="15" s="1"/>
  <c r="BA96" i="15"/>
  <c r="BA102" i="15" s="1"/>
  <c r="AZ96" i="15"/>
  <c r="AZ95" i="15" s="1"/>
  <c r="AY96" i="15"/>
  <c r="AY102" i="15" s="1"/>
  <c r="AX96" i="15"/>
  <c r="AX102" i="15" s="1"/>
  <c r="AW96" i="15"/>
  <c r="AW102" i="15" s="1"/>
  <c r="AV96" i="15"/>
  <c r="AV102" i="15" s="1"/>
  <c r="AU96" i="15"/>
  <c r="AU102" i="15" s="1"/>
  <c r="AT96" i="15"/>
  <c r="AT102" i="15" s="1"/>
  <c r="AS96" i="15"/>
  <c r="AS102" i="15" s="1"/>
  <c r="AR96" i="15"/>
  <c r="AR95" i="15" s="1"/>
  <c r="AQ96" i="15"/>
  <c r="AQ102" i="15" s="1"/>
  <c r="AP96" i="15"/>
  <c r="AP102" i="15" s="1"/>
  <c r="AO96" i="15"/>
  <c r="AO102" i="15" s="1"/>
  <c r="AN96" i="15"/>
  <c r="AN102" i="15" s="1"/>
  <c r="AM96" i="15"/>
  <c r="AM102" i="15" s="1"/>
  <c r="AL96" i="15"/>
  <c r="AL102" i="15" s="1"/>
  <c r="AK96" i="15"/>
  <c r="AK102" i="15" s="1"/>
  <c r="AJ96" i="15"/>
  <c r="AJ95" i="15" s="1"/>
  <c r="AI96" i="15"/>
  <c r="AI102" i="15" s="1"/>
  <c r="AH96" i="15"/>
  <c r="AH102" i="15" s="1"/>
  <c r="AG96" i="15"/>
  <c r="AG102" i="15" s="1"/>
  <c r="AF96" i="15"/>
  <c r="AF102" i="15" s="1"/>
  <c r="AE96" i="15"/>
  <c r="AE102" i="15" s="1"/>
  <c r="BB95" i="15"/>
  <c r="BA95" i="15"/>
  <c r="AY95" i="15"/>
  <c r="AX95" i="15"/>
  <c r="AW95" i="15"/>
  <c r="AU95" i="15"/>
  <c r="AT95" i="15"/>
  <c r="AS95" i="15"/>
  <c r="AQ95" i="15"/>
  <c r="AP95" i="15"/>
  <c r="AO95" i="15"/>
  <c r="AM95" i="15"/>
  <c r="AL95" i="15"/>
  <c r="AK95" i="15"/>
  <c r="AI95" i="15"/>
  <c r="AH95" i="15"/>
  <c r="AG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F77" i="15"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s="1"/>
  <c r="AR10" i="15" a="1"/>
  <c r="AR10" i="15"/>
  <c r="AQ10" i="15" a="1"/>
  <c r="AQ10" i="15" s="1"/>
  <c r="AP10" i="15" a="1"/>
  <c r="AP10" i="15"/>
  <c r="AO10" i="15" a="1"/>
  <c r="AO10" i="15" s="1"/>
  <c r="AN10" i="15" a="1"/>
  <c r="AN10" i="15"/>
  <c r="AM10" i="15" a="1"/>
  <c r="AM10" i="15" s="1"/>
  <c r="AL10" i="15" a="1"/>
  <c r="AL10" i="15"/>
  <c r="AK10" i="15" a="1"/>
  <c r="AK10" i="15" s="1"/>
  <c r="AJ10" i="15" a="1"/>
  <c r="AJ10" i="15"/>
  <c r="AI10" i="15" a="1"/>
  <c r="AI10" i="15" s="1"/>
  <c r="AH10" i="15" a="1"/>
  <c r="AH10" i="15"/>
  <c r="AG10" i="15" a="1"/>
  <c r="AG10" i="15" s="1"/>
  <c r="AF10" i="15" a="1"/>
  <c r="AF10" i="15"/>
  <c r="AE10" i="15" a="1"/>
  <c r="AE10" i="15" s="1"/>
  <c r="AY9" i="15" a="1"/>
  <c r="AY9" i="15" s="1"/>
  <c r="AU9" i="15" a="1"/>
  <c r="AU9" i="15" s="1"/>
  <c r="AJ9" i="15" a="1"/>
  <c r="AJ9" i="15"/>
  <c r="AG9" i="15" a="1"/>
  <c r="AG9" i="15" s="1"/>
  <c r="BB7" i="15" a="1"/>
  <c r="BB7" i="15"/>
  <c r="BA7" i="15" a="1"/>
  <c r="BA7" i="15" s="1"/>
  <c r="AZ7" i="15" a="1"/>
  <c r="AZ7" i="15"/>
  <c r="AY7" i="15" a="1"/>
  <c r="AY7" i="15" s="1"/>
  <c r="AX7" i="15" a="1"/>
  <c r="AX7" i="15"/>
  <c r="AW7" i="15" a="1"/>
  <c r="AW7" i="15" s="1"/>
  <c r="AV7" i="15" a="1"/>
  <c r="AV7" i="15"/>
  <c r="AU7" i="15" a="1"/>
  <c r="AU7" i="15" s="1"/>
  <c r="AT7" i="15" a="1"/>
  <c r="AT7" i="15"/>
  <c r="AS7" i="15" a="1"/>
  <c r="AS7" i="15" s="1"/>
  <c r="AR7" i="15" a="1"/>
  <c r="AR7" i="15"/>
  <c r="AQ7" i="15" a="1"/>
  <c r="AQ7" i="15" s="1"/>
  <c r="AP7" i="15" a="1"/>
  <c r="AP7" i="15"/>
  <c r="AO7" i="15" a="1"/>
  <c r="AO7" i="15" s="1"/>
  <c r="AN7" i="15" a="1"/>
  <c r="AN7" i="15"/>
  <c r="AM7" i="15" a="1"/>
  <c r="AM7" i="15" s="1"/>
  <c r="AL7" i="15" a="1"/>
  <c r="AL7" i="15"/>
  <c r="AK7" i="15" a="1"/>
  <c r="AK7" i="15" s="1"/>
  <c r="AJ7" i="15" a="1"/>
  <c r="AJ7" i="15"/>
  <c r="AI7" i="15" a="1"/>
  <c r="AI7" i="15" s="1"/>
  <c r="AH7" i="15" a="1"/>
  <c r="AH7" i="15"/>
  <c r="AG7" i="15" a="1"/>
  <c r="AG7" i="15" s="1"/>
  <c r="AF7" i="15" a="1"/>
  <c r="AF7" i="15"/>
  <c r="AE7" i="15" a="1"/>
  <c r="AE7" i="15" s="1"/>
  <c r="BB6" i="15"/>
  <c r="BB9" i="15" s="1" a="1"/>
  <c r="BB9" i="15" s="1"/>
  <c r="BA6" i="15"/>
  <c r="BA9" i="15" s="1" a="1"/>
  <c r="BA9" i="15" s="1"/>
  <c r="AZ6" i="15"/>
  <c r="AZ9" i="15" s="1" a="1"/>
  <c r="AZ9" i="15" s="1"/>
  <c r="AY6" i="15"/>
  <c r="AX6" i="15"/>
  <c r="AX9" i="15" s="1" a="1"/>
  <c r="AX9" i="15" s="1"/>
  <c r="AW6" i="15"/>
  <c r="AW9" i="15" s="1" a="1"/>
  <c r="AW9" i="15" s="1"/>
  <c r="AV6" i="15"/>
  <c r="AV9" i="15" s="1" a="1"/>
  <c r="AV9" i="15" s="1"/>
  <c r="AU6" i="15"/>
  <c r="AT6" i="15"/>
  <c r="AT9" i="15" s="1" a="1"/>
  <c r="AT9" i="15" s="1"/>
  <c r="AS6" i="15" a="1"/>
  <c r="AS6" i="15" s="1"/>
  <c r="AR6" i="15"/>
  <c r="AR9" i="15" s="1" a="1"/>
  <c r="AR9" i="15" s="1"/>
  <c r="AQ6" i="15"/>
  <c r="AQ9" i="15" s="1" a="1"/>
  <c r="AQ9" i="15" s="1"/>
  <c r="AP6" i="15"/>
  <c r="AO6" i="15"/>
  <c r="AO9" i="15" s="1" a="1"/>
  <c r="AO9" i="15" s="1"/>
  <c r="AN6" i="15"/>
  <c r="AN9" i="15" s="1" a="1"/>
  <c r="AN9" i="15" s="1"/>
  <c r="AM6" i="15"/>
  <c r="AM9" i="15" s="1" a="1"/>
  <c r="AM9" i="15" s="1"/>
  <c r="AL6" i="15"/>
  <c r="AK6" i="15"/>
  <c r="AK9" i="15" s="1" a="1"/>
  <c r="AK9" i="15" s="1"/>
  <c r="AJ6" i="15"/>
  <c r="AI6" i="15" a="1"/>
  <c r="AI6" i="15"/>
  <c r="AI9" i="15" s="1" a="1"/>
  <c r="AI9" i="15" s="1"/>
  <c r="AH6" i="15"/>
  <c r="AH9" i="15" s="1" a="1"/>
  <c r="AH9" i="15" s="1"/>
  <c r="AG6" i="15"/>
  <c r="AF6" i="15"/>
  <c r="AF9" i="15" s="1" a="1"/>
  <c r="AF9" i="15" s="1"/>
  <c r="AE6" i="15"/>
  <c r="AE9" i="15" s="1" a="1"/>
  <c r="AE9" i="15" s="1"/>
  <c r="T84" i="14"/>
  <c r="T83" i="14"/>
  <c r="T82" i="14"/>
  <c r="T81" i="14"/>
  <c r="T80" i="14"/>
  <c r="T79" i="14"/>
  <c r="T78" i="14"/>
  <c r="T77" i="14"/>
  <c r="AU72" i="14"/>
  <c r="AT72" i="14"/>
  <c r="AS72" i="14"/>
  <c r="AS71" i="14" s="1"/>
  <c r="AS48" i="14" s="1"/>
  <c r="AS51" i="14" s="1"/>
  <c r="AK72" i="14"/>
  <c r="AK71" i="14" s="1"/>
  <c r="AK48" i="14" s="1"/>
  <c r="AJ72" i="14"/>
  <c r="AI72" i="14"/>
  <c r="AG72" i="14" a="1"/>
  <c r="AG72" i="14" s="1"/>
  <c r="AG71" i="14" s="1"/>
  <c r="AG48" i="14" s="1"/>
  <c r="AF72" i="14"/>
  <c r="AE72" i="14"/>
  <c r="AB72" i="14"/>
  <c r="BB71" i="14"/>
  <c r="BA71" i="14"/>
  <c r="AZ71" i="14"/>
  <c r="AY71" i="14"/>
  <c r="AX71" i="14"/>
  <c r="AW71" i="14"/>
  <c r="AV71" i="14"/>
  <c r="AU71" i="14"/>
  <c r="AT71" i="14"/>
  <c r="AR71" i="14"/>
  <c r="AQ71" i="14"/>
  <c r="AP71" i="14"/>
  <c r="AO71" i="14"/>
  <c r="AN71" i="14"/>
  <c r="AM71" i="14"/>
  <c r="AL71" i="14"/>
  <c r="AJ71" i="14"/>
  <c r="AI71" i="14"/>
  <c r="AH71" i="14"/>
  <c r="AF71" i="14"/>
  <c r="AE71" i="14"/>
  <c r="AB69" i="14"/>
  <c r="BB68" i="14"/>
  <c r="BA68" i="14"/>
  <c r="AZ68" i="14"/>
  <c r="AY68" i="14"/>
  <c r="AX68" i="14"/>
  <c r="AW68" i="14"/>
  <c r="AV68" i="14"/>
  <c r="AU68" i="14"/>
  <c r="AT68" i="14"/>
  <c r="AS68" i="14"/>
  <c r="AR68" i="14"/>
  <c r="AQ68" i="14"/>
  <c r="AP68" i="14"/>
  <c r="AO68" i="14"/>
  <c r="AN68" i="14"/>
  <c r="AM68" i="14"/>
  <c r="AL68" i="14"/>
  <c r="AK68" i="14"/>
  <c r="AJ68" i="14"/>
  <c r="AI68" i="14"/>
  <c r="AH68" i="14"/>
  <c r="AG68" i="14"/>
  <c r="AF68" i="14"/>
  <c r="AE68" i="14"/>
  <c r="AB68" i="14"/>
  <c r="AB67" i="14"/>
  <c r="BH66" i="14" a="1"/>
  <c r="BH66" i="14" s="1"/>
  <c r="BH67" i="14" s="1" a="1"/>
  <c r="BH67" i="14" s="1"/>
  <c r="BH68" i="14" s="1" a="1"/>
  <c r="BH68" i="14" s="1"/>
  <c r="BH69" i="14" s="1" a="1"/>
  <c r="BH69" i="14" s="1"/>
  <c r="BH70" i="14" s="1" a="1"/>
  <c r="BH70" i="14" s="1"/>
  <c r="BH71" i="14" s="1" a="1"/>
  <c r="BH71" i="14" s="1"/>
  <c r="BH72" i="14" s="1" a="1"/>
  <c r="BH72" i="14" s="1"/>
  <c r="BB66" i="14"/>
  <c r="BA66" i="14"/>
  <c r="AZ66" i="14"/>
  <c r="AY66" i="14"/>
  <c r="AX66" i="14"/>
  <c r="AW66" i="14"/>
  <c r="AV66" i="14"/>
  <c r="AU66" i="14"/>
  <c r="AT66" i="14"/>
  <c r="AS66" i="14"/>
  <c r="AR66" i="14"/>
  <c r="AQ66" i="14"/>
  <c r="AP66" i="14"/>
  <c r="AO66" i="14"/>
  <c r="AN66" i="14"/>
  <c r="AM66" i="14"/>
  <c r="AL66" i="14"/>
  <c r="AK66" i="14"/>
  <c r="AJ66" i="14"/>
  <c r="AI66" i="14"/>
  <c r="AH66" i="14"/>
  <c r="AG66" i="14"/>
  <c r="AF66" i="14"/>
  <c r="AE66" i="14"/>
  <c r="AB66" i="14"/>
  <c r="AB71" i="14" s="1"/>
  <c r="H66" i="14" a="1"/>
  <c r="H66" i="14" s="1"/>
  <c r="H67" i="14" s="1" a="1"/>
  <c r="H67" i="14" s="1"/>
  <c r="H68" i="14" s="1" a="1"/>
  <c r="H68" i="14" s="1"/>
  <c r="H69" i="14" s="1" a="1"/>
  <c r="H69" i="14" s="1"/>
  <c r="H70" i="14" s="1" a="1"/>
  <c r="H70" i="14" s="1"/>
  <c r="H71" i="14" s="1" a="1"/>
  <c r="H71" i="14" s="1"/>
  <c r="H72" i="14" s="1" a="1"/>
  <c r="H72" i="14" s="1"/>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BH59" i="14" a="1"/>
  <c r="BH59" i="14"/>
  <c r="BH60" i="14" s="1" a="1"/>
  <c r="BH60" i="14" s="1"/>
  <c r="BH61" i="14" s="1" a="1"/>
  <c r="BH61" i="14" s="1"/>
  <c r="BH62" i="14" s="1" a="1"/>
  <c r="BH62" i="14" s="1"/>
  <c r="BH63" i="14" s="1" a="1"/>
  <c r="BH63" i="14" s="1"/>
  <c r="BH64" i="14" s="1" a="1"/>
  <c r="BH64" i="14" s="1"/>
  <c r="BH65" i="14" s="1" a="1"/>
  <c r="BH65" i="14" s="1"/>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AB63" i="14" s="1"/>
  <c r="H59" i="14" a="1"/>
  <c r="H59" i="14"/>
  <c r="H60" i="14" s="1" a="1"/>
  <c r="H60" i="14" s="1"/>
  <c r="H61" i="14" s="1" a="1"/>
  <c r="H61" i="14" s="1"/>
  <c r="H62" i="14" s="1" a="1"/>
  <c r="H62" i="14" s="1"/>
  <c r="H63" i="14" s="1" a="1"/>
  <c r="H63" i="14" s="1"/>
  <c r="H64" i="14" s="1" a="1"/>
  <c r="H64" i="14" s="1"/>
  <c r="H65" i="14" s="1" a="1"/>
  <c r="H65" i="14" s="1"/>
  <c r="BB55" i="14"/>
  <c r="BA55" i="14"/>
  <c r="AZ55" i="14"/>
  <c r="AY55" i="14"/>
  <c r="AX55" i="14"/>
  <c r="AW55" i="14"/>
  <c r="AV55" i="14"/>
  <c r="AU55" i="14"/>
  <c r="AT55" i="14"/>
  <c r="AS55" i="14"/>
  <c r="AR55" i="14"/>
  <c r="AQ55" i="14"/>
  <c r="AP55" i="14"/>
  <c r="AO55" i="14"/>
  <c r="AN55" i="14"/>
  <c r="AM55" i="14"/>
  <c r="AL55" i="14"/>
  <c r="AK55" i="14"/>
  <c r="AJ55" i="14"/>
  <c r="AI55" i="14"/>
  <c r="AH55" i="14"/>
  <c r="AG55" i="14"/>
  <c r="AF55" i="14"/>
  <c r="AE55" i="14"/>
  <c r="AB55" i="14"/>
  <c r="BH54" i="14" a="1"/>
  <c r="BH54" i="14"/>
  <c r="BH55" i="14" s="1" a="1"/>
  <c r="BH55" i="14" s="1"/>
  <c r="BH56" i="14" s="1" a="1"/>
  <c r="BH56" i="14" s="1"/>
  <c r="AB54" i="14"/>
  <c r="AB56" i="14" s="1"/>
  <c r="H54" i="14" a="1"/>
  <c r="H54" i="14"/>
  <c r="H55" i="14" s="1" a="1"/>
  <c r="H55" i="14" s="1"/>
  <c r="H56" i="14" s="1" a="1"/>
  <c r="H56" i="14" s="1"/>
  <c r="BB52" i="14"/>
  <c r="BA52" i="14"/>
  <c r="AZ52" i="14"/>
  <c r="AY52" i="14"/>
  <c r="AX52" i="14"/>
  <c r="AW52" i="14"/>
  <c r="AV52" i="14"/>
  <c r="AR52" i="14"/>
  <c r="AQ52" i="14"/>
  <c r="AP52" i="14"/>
  <c r="AO52" i="14"/>
  <c r="AN52" i="14"/>
  <c r="AM52" i="14"/>
  <c r="AL52" i="14"/>
  <c r="BA51" i="14"/>
  <c r="AW51" i="14"/>
  <c r="AO51" i="14"/>
  <c r="BB49" i="14"/>
  <c r="BB51" i="14" s="1"/>
  <c r="BA49" i="14"/>
  <c r="AZ49" i="14"/>
  <c r="AZ51" i="14" s="1"/>
  <c r="AY49" i="14"/>
  <c r="AY51" i="14" s="1"/>
  <c r="AX49" i="14"/>
  <c r="AX51" i="14" s="1"/>
  <c r="AW49" i="14"/>
  <c r="AV49" i="14"/>
  <c r="AV51" i="14" s="1"/>
  <c r="AU49" i="14"/>
  <c r="AU51" i="14" s="1"/>
  <c r="AT49" i="14"/>
  <c r="AT51" i="14" s="1"/>
  <c r="AS49" i="14"/>
  <c r="AR49" i="14"/>
  <c r="AR51" i="14" s="1"/>
  <c r="AQ49" i="14"/>
  <c r="AQ51" i="14" s="1"/>
  <c r="AP49" i="14"/>
  <c r="AP51" i="14" s="1"/>
  <c r="AO49" i="14"/>
  <c r="AN49" i="14"/>
  <c r="AN51" i="14" s="1"/>
  <c r="AM49" i="14"/>
  <c r="AM51" i="14" s="1"/>
  <c r="AL49" i="14"/>
  <c r="AL51" i="14" s="1"/>
  <c r="AK49" i="14"/>
  <c r="AJ49" i="14"/>
  <c r="AJ51" i="14" s="1"/>
  <c r="AI49" i="14"/>
  <c r="AI51" i="14" s="1"/>
  <c r="AH49" i="14"/>
  <c r="AH52" i="14" s="1"/>
  <c r="AG49" i="14"/>
  <c r="AG51" i="14" s="1"/>
  <c r="AF49" i="14"/>
  <c r="AF51" i="14" s="1"/>
  <c r="AE49" i="14"/>
  <c r="AE51" i="14" s="1"/>
  <c r="BB48" i="14"/>
  <c r="BA48" i="14"/>
  <c r="AZ48" i="14"/>
  <c r="AY48" i="14"/>
  <c r="AX48" i="14"/>
  <c r="AW48" i="14"/>
  <c r="AV48" i="14"/>
  <c r="AU48" i="14"/>
  <c r="AT48" i="14"/>
  <c r="AR48" i="14"/>
  <c r="AQ48" i="14"/>
  <c r="AP48" i="14"/>
  <c r="AO48" i="14"/>
  <c r="AN48" i="14"/>
  <c r="AM48" i="14"/>
  <c r="AL48" i="14"/>
  <c r="AJ48" i="14"/>
  <c r="AI48" i="14"/>
  <c r="AH48" i="14"/>
  <c r="AF48" i="14"/>
  <c r="AE48" i="14"/>
  <c r="L48" i="14" a="1"/>
  <c r="L48" i="14"/>
  <c r="T47" i="14"/>
  <c r="T48" i="14" s="1" a="1"/>
  <c r="T48" i="14" s="1"/>
  <c r="T49" i="14" s="1" a="1"/>
  <c r="T49" i="14" s="1"/>
  <c r="T50" i="14" s="1" a="1"/>
  <c r="T50" i="14" s="1"/>
  <c r="T51" i="14" s="1" a="1"/>
  <c r="T51" i="14" s="1"/>
  <c r="T52" i="14" s="1" a="1"/>
  <c r="T52" i="14" s="1"/>
  <c r="T53" i="14" s="1" a="1"/>
  <c r="T53" i="14" s="1"/>
  <c r="F47" i="14" a="1"/>
  <c r="F47" i="14" s="1"/>
  <c r="F48" i="14" s="1" a="1"/>
  <c r="F48" i="14" s="1"/>
  <c r="AB45" i="14"/>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AB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AB41" i="14"/>
  <c r="AB40"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4" i="14" s="1"/>
  <c r="H39" i="14" a="1"/>
  <c r="H39" i="14" s="1"/>
  <c r="H40" i="14" s="1" a="1"/>
  <c r="H40" i="14" s="1"/>
  <c r="H41" i="14" s="1" a="1"/>
  <c r="H41" i="14" s="1"/>
  <c r="H42" i="14" s="1" a="1"/>
  <c r="H42" i="14" s="1"/>
  <c r="H43" i="14" s="1" a="1"/>
  <c r="H43" i="14" s="1"/>
  <c r="H44" i="14" s="1" a="1"/>
  <c r="H44" i="14" s="1"/>
  <c r="H45" i="14" s="1" a="1"/>
  <c r="H45" i="14" s="1"/>
  <c r="BB35" i="14"/>
  <c r="BA35" i="14"/>
  <c r="AZ35" i="14"/>
  <c r="AY35" i="14"/>
  <c r="AX35" i="14"/>
  <c r="AW35" i="14"/>
  <c r="AV35" i="14"/>
  <c r="AU35" i="14"/>
  <c r="AT35" i="14"/>
  <c r="AS35" i="14"/>
  <c r="AR35" i="14"/>
  <c r="AQ35" i="14"/>
  <c r="AP35" i="14"/>
  <c r="AO35" i="14"/>
  <c r="AN35" i="14"/>
  <c r="AM35" i="14"/>
  <c r="AL35" i="14"/>
  <c r="AK35" i="14"/>
  <c r="AJ35" i="14"/>
  <c r="AI35" i="14"/>
  <c r="AH35" i="14"/>
  <c r="AG35" i="14"/>
  <c r="AF35" i="14"/>
  <c r="AE35" i="14"/>
  <c r="BH34" i="14" a="1"/>
  <c r="BH34" i="14" s="1"/>
  <c r="BH35" i="14" s="1" a="1"/>
  <c r="BH35" i="14" s="1"/>
  <c r="BH36" i="14" s="1" a="1"/>
  <c r="BH36" i="14" s="1"/>
  <c r="AB34" i="14"/>
  <c r="AB36" i="14" s="1"/>
  <c r="H34" i="14" a="1"/>
  <c r="H34" i="14" s="1"/>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L28" i="14" a="1"/>
  <c r="L28" i="14"/>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s="1"/>
  <c r="BA10" i="14" a="1"/>
  <c r="BA10" i="14"/>
  <c r="AZ10" i="14" a="1"/>
  <c r="AZ10" i="14" s="1"/>
  <c r="AY10" i="14" a="1"/>
  <c r="AY10" i="14"/>
  <c r="AX10" i="14" a="1"/>
  <c r="AX10" i="14" s="1"/>
  <c r="AW10" i="14" a="1"/>
  <c r="AW10" i="14"/>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A9" i="14" a="1"/>
  <c r="BA9" i="14" s="1"/>
  <c r="AY9" i="14" a="1"/>
  <c r="AY9" i="14" s="1"/>
  <c r="AW9" i="14" a="1"/>
  <c r="AW9" i="14" s="1"/>
  <c r="AU9" i="14" a="1"/>
  <c r="AU9" i="14" s="1"/>
  <c r="AQ9" i="14" a="1"/>
  <c r="AQ9" i="14" s="1"/>
  <c r="AP9" i="14" a="1"/>
  <c r="AP9" i="14" s="1"/>
  <c r="AM9" i="14" a="1"/>
  <c r="AM9" i="14" s="1"/>
  <c r="AL9" i="14" a="1"/>
  <c r="AL9" i="14" s="1"/>
  <c r="AG9" i="14" a="1"/>
  <c r="AG9" i="14" s="1"/>
  <c r="AE9" i="14" a="1"/>
  <c r="AE9" i="14" s="1"/>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R8" i="14" s="1"/>
  <c r="AQ7" i="14" a="1"/>
  <c r="AQ7" i="14" s="1"/>
  <c r="AQ8" i="14" s="1"/>
  <c r="AP7" i="14" a="1"/>
  <c r="AP7" i="14" s="1"/>
  <c r="AP8" i="14" s="1"/>
  <c r="AO7" i="14" a="1"/>
  <c r="AO7" i="14" s="1"/>
  <c r="AN7" i="14" a="1"/>
  <c r="AN7" i="14" s="1"/>
  <c r="AN8" i="14" s="1"/>
  <c r="AM7" i="14" a="1"/>
  <c r="AM7" i="14" s="1"/>
  <c r="AM8" i="14" s="1"/>
  <c r="AL7" i="14" a="1"/>
  <c r="AL7" i="14" s="1"/>
  <c r="AL8" i="14" s="1"/>
  <c r="AK7" i="14" a="1"/>
  <c r="AK7" i="14" s="1"/>
  <c r="AJ7" i="14" a="1"/>
  <c r="AJ7" i="14" s="1"/>
  <c r="AJ8" i="14" s="1"/>
  <c r="AI7" i="14" a="1"/>
  <c r="AI7" i="14" s="1"/>
  <c r="AH7" i="14" a="1"/>
  <c r="AH7" i="14" s="1"/>
  <c r="AG7" i="14" a="1"/>
  <c r="AG7" i="14" s="1"/>
  <c r="AF7" i="14" a="1"/>
  <c r="AF7" i="14" s="1"/>
  <c r="AF8" i="14" s="1"/>
  <c r="AE7" i="14" a="1"/>
  <c r="AE7" i="14" s="1"/>
  <c r="AE8" i="14" s="1"/>
  <c r="BB6" i="14"/>
  <c r="BB9" i="14" s="1" a="1"/>
  <c r="BB9" i="14" s="1"/>
  <c r="BA6" i="14"/>
  <c r="BA8" i="14" s="1"/>
  <c r="AZ6" i="14"/>
  <c r="AZ9" i="14" s="1" a="1"/>
  <c r="AZ9" i="14" s="1"/>
  <c r="AY6" i="14"/>
  <c r="AY8" i="14" s="1"/>
  <c r="AX6" i="14"/>
  <c r="AX9" i="14" s="1" a="1"/>
  <c r="AX9" i="14" s="1"/>
  <c r="AW6" i="14"/>
  <c r="AW8" i="14" s="1"/>
  <c r="AV6" i="14"/>
  <c r="AV9" i="14" s="1" a="1"/>
  <c r="AV9" i="14" s="1"/>
  <c r="AU6" i="14"/>
  <c r="AU8" i="14" s="1"/>
  <c r="AT6" i="14"/>
  <c r="AT9" i="14" s="1" a="1"/>
  <c r="AT9" i="14" s="1"/>
  <c r="AS6" i="14" a="1"/>
  <c r="AS6" i="14"/>
  <c r="AR6" i="14"/>
  <c r="AR9" i="14" s="1" a="1"/>
  <c r="AR9" i="14" s="1"/>
  <c r="AQ6" i="14"/>
  <c r="AP6" i="14"/>
  <c r="AO6" i="14"/>
  <c r="AN6" i="14"/>
  <c r="AN9" i="14" s="1" a="1"/>
  <c r="AN9" i="14" s="1"/>
  <c r="AM6" i="14"/>
  <c r="AL6" i="14"/>
  <c r="AK6" i="14"/>
  <c r="AJ6" i="14"/>
  <c r="AJ9" i="14" s="1" a="1"/>
  <c r="AJ9" i="14" s="1"/>
  <c r="AI6" i="14" a="1"/>
  <c r="AI6" i="14" s="1"/>
  <c r="AH6" i="14"/>
  <c r="AH9" i="14" s="1" a="1"/>
  <c r="AH9" i="14" s="1"/>
  <c r="AG6" i="14"/>
  <c r="AF6" i="14"/>
  <c r="AF9" i="14" s="1" a="1"/>
  <c r="AF9" i="14" s="1"/>
  <c r="AE6" i="14"/>
  <c r="T47" i="13"/>
  <c r="T46" i="13"/>
  <c r="T45" i="13"/>
  <c r="T44" i="13"/>
  <c r="T43" i="13"/>
  <c r="T42" i="13"/>
  <c r="T41" i="13"/>
  <c r="T40" i="13"/>
  <c r="H35" i="13"/>
  <c r="BH34" i="13" a="1"/>
  <c r="BH34" i="13" s="1"/>
  <c r="H34" i="13" a="1"/>
  <c r="H34" i="13" s="1"/>
  <c r="BH33" i="13" a="1"/>
  <c r="BH33" i="13" s="1"/>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L32" i="13" a="1"/>
  <c r="L32" i="13" s="1"/>
  <c r="H32" i="13" a="1"/>
  <c r="H32" i="13" s="1"/>
  <c r="T31" i="13"/>
  <c r="T32" i="13" s="1" a="1"/>
  <c r="T32" i="13" s="1"/>
  <c r="F31" i="13" a="1"/>
  <c r="F31" i="13" s="1"/>
  <c r="F32" i="13" s="1" a="1"/>
  <c r="F32" i="13" s="1"/>
  <c r="H30" i="13"/>
  <c r="BH29" i="13" a="1"/>
  <c r="BH29" i="13" s="1"/>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s="1"/>
  <c r="H28" i="13" a="1"/>
  <c r="H28" i="13" s="1"/>
  <c r="T27" i="13"/>
  <c r="T30" i="13" s="1" a="1"/>
  <c r="T30" i="13" s="1"/>
  <c r="F27" i="13" a="1"/>
  <c r="F27" i="13"/>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c r="AZ10" i="13" a="1"/>
  <c r="AZ10" i="13" s="1"/>
  <c r="AY10" i="13" a="1"/>
  <c r="AY10" i="13"/>
  <c r="AX10" i="13" a="1"/>
  <c r="AX10" i="13" s="1"/>
  <c r="AW10" i="13" a="1"/>
  <c r="AW10" i="13"/>
  <c r="AV10" i="13" a="1"/>
  <c r="AV10" i="13" s="1"/>
  <c r="AU10" i="13" a="1"/>
  <c r="AU10" i="13"/>
  <c r="AT10" i="13" a="1"/>
  <c r="AT10" i="13" s="1"/>
  <c r="AS10" i="13" a="1"/>
  <c r="AS10" i="13"/>
  <c r="AR10" i="13" a="1"/>
  <c r="AR10" i="13" s="1"/>
  <c r="AQ10" i="13" a="1"/>
  <c r="AQ10" i="13"/>
  <c r="AP10" i="13" a="1"/>
  <c r="AP10" i="13" s="1"/>
  <c r="AO10" i="13" a="1"/>
  <c r="AO10" i="13"/>
  <c r="AN10" i="13" a="1"/>
  <c r="AN10" i="13" s="1"/>
  <c r="AM10" i="13" a="1"/>
  <c r="AM10" i="13"/>
  <c r="AL10" i="13" a="1"/>
  <c r="AL10" i="13" s="1"/>
  <c r="AK10" i="13" a="1"/>
  <c r="AK10" i="13"/>
  <c r="AJ10" i="13" a="1"/>
  <c r="AJ10" i="13" s="1"/>
  <c r="AI10" i="13" a="1"/>
  <c r="AI10" i="13"/>
  <c r="AH10" i="13" a="1"/>
  <c r="AH10" i="13" s="1"/>
  <c r="AG10" i="13" a="1"/>
  <c r="AG10" i="13"/>
  <c r="AF10" i="13" a="1"/>
  <c r="AF10" i="13" s="1"/>
  <c r="AE10" i="13" a="1"/>
  <c r="AE10" i="13"/>
  <c r="AZ9" i="13" a="1"/>
  <c r="AZ9" i="13" s="1"/>
  <c r="AV9" i="13" a="1"/>
  <c r="AV9" i="13" s="1"/>
  <c r="AP9" i="13" a="1"/>
  <c r="AP9" i="13" s="1"/>
  <c r="AL9" i="13" a="1"/>
  <c r="AL9" i="13" s="1"/>
  <c r="AH9" i="13" a="1"/>
  <c r="AH9" i="13" s="1"/>
  <c r="BB7" i="13" a="1"/>
  <c r="BB7" i="13" s="1"/>
  <c r="BA7" i="13" a="1"/>
  <c r="BA7" i="13"/>
  <c r="AZ7" i="13" a="1"/>
  <c r="AZ7" i="13" s="1"/>
  <c r="AY7" i="13" a="1"/>
  <c r="AY7" i="13"/>
  <c r="AX7" i="13" a="1"/>
  <c r="AX7" i="13" s="1"/>
  <c r="AW7" i="13" a="1"/>
  <c r="AW7" i="13"/>
  <c r="AV7" i="13" a="1"/>
  <c r="AV7" i="13" s="1"/>
  <c r="AU7" i="13" a="1"/>
  <c r="AU7" i="13"/>
  <c r="AT7" i="13" a="1"/>
  <c r="AT7" i="13" s="1"/>
  <c r="AS7" i="13" a="1"/>
  <c r="AS7" i="13"/>
  <c r="AR7" i="13" a="1"/>
  <c r="AR7" i="13" s="1"/>
  <c r="AQ7" i="13" a="1"/>
  <c r="AQ7" i="13"/>
  <c r="AP7" i="13" a="1"/>
  <c r="AP7" i="13" s="1"/>
  <c r="AO7" i="13" a="1"/>
  <c r="AO7" i="13"/>
  <c r="AN7" i="13" a="1"/>
  <c r="AN7" i="13" s="1"/>
  <c r="AM7" i="13" a="1"/>
  <c r="AM7" i="13"/>
  <c r="AL7" i="13" a="1"/>
  <c r="AL7" i="13" s="1"/>
  <c r="AK7" i="13" a="1"/>
  <c r="AK7" i="13"/>
  <c r="AJ7" i="13" a="1"/>
  <c r="AJ7" i="13" s="1"/>
  <c r="AI7" i="13" a="1"/>
  <c r="AI7" i="13"/>
  <c r="AH7" i="13" a="1"/>
  <c r="AH7" i="13" s="1"/>
  <c r="AG7" i="13" a="1"/>
  <c r="AG7" i="13"/>
  <c r="AF7" i="13" a="1"/>
  <c r="AF7" i="13" s="1"/>
  <c r="AE7" i="13" a="1"/>
  <c r="AE7" i="13"/>
  <c r="BB6" i="13"/>
  <c r="BB9" i="13" s="1" a="1"/>
  <c r="BB9" i="13" s="1"/>
  <c r="BA6" i="13"/>
  <c r="BA9" i="13" s="1" a="1"/>
  <c r="BA9" i="13" s="1"/>
  <c r="AZ6" i="13"/>
  <c r="AY6" i="13"/>
  <c r="AX6" i="13"/>
  <c r="AX9" i="13" s="1" a="1"/>
  <c r="AX9" i="13" s="1"/>
  <c r="AW6" i="13"/>
  <c r="AW9" i="13" s="1" a="1"/>
  <c r="AW9" i="13" s="1"/>
  <c r="AV6" i="13"/>
  <c r="AU6" i="13"/>
  <c r="AT6" i="13"/>
  <c r="AT9" i="13" s="1" a="1"/>
  <c r="AT9" i="13" s="1"/>
  <c r="AS6" i="13" a="1"/>
  <c r="AS6" i="13"/>
  <c r="AS9" i="13" s="1" a="1"/>
  <c r="AS9" i="13" s="1"/>
  <c r="AR6" i="13"/>
  <c r="AR9" i="13" s="1" a="1"/>
  <c r="AR9" i="13" s="1"/>
  <c r="AQ6" i="13"/>
  <c r="AP6" i="13"/>
  <c r="AO6" i="13"/>
  <c r="AO9" i="13" s="1" a="1"/>
  <c r="AO9" i="13" s="1"/>
  <c r="AN6" i="13"/>
  <c r="AN9" i="13" s="1" a="1"/>
  <c r="AN9" i="13" s="1"/>
  <c r="AM6" i="13"/>
  <c r="AL6" i="13"/>
  <c r="AK6" i="13"/>
  <c r="AK9" i="13" s="1" a="1"/>
  <c r="AK9" i="13" s="1"/>
  <c r="AJ6" i="13"/>
  <c r="AJ9" i="13" s="1" a="1"/>
  <c r="AJ9" i="13" s="1"/>
  <c r="AI6" i="13" a="1"/>
  <c r="AI6" i="13" s="1"/>
  <c r="AH6" i="13"/>
  <c r="AG6" i="13"/>
  <c r="AG9" i="13" s="1" a="1"/>
  <c r="AG9" i="13" s="1"/>
  <c r="AF6" i="13"/>
  <c r="AF9" i="13" s="1" a="1"/>
  <c r="AF9" i="13" s="1"/>
  <c r="AE6" i="13"/>
  <c r="AE9" i="13" s="1" a="1"/>
  <c r="AE9" i="13" s="1"/>
  <c r="T38" i="12"/>
  <c r="T34" i="12" a="1"/>
  <c r="T34" i="12"/>
  <c r="H34" i="12"/>
  <c r="AU33" i="12" a="1"/>
  <c r="AU33" i="12" s="1"/>
  <c r="AJ33" i="12"/>
  <c r="AN33" i="12" s="1"/>
  <c r="AN32" i="12" s="1"/>
  <c r="H33" i="12" a="1"/>
  <c r="H33" i="12"/>
  <c r="AM32" i="12"/>
  <c r="AK32" i="12"/>
  <c r="T32" i="12"/>
  <c r="F32" i="12" a="1"/>
  <c r="F32" i="12"/>
  <c r="F33" i="12" s="1" a="1"/>
  <c r="F33" i="12" s="1"/>
  <c r="H31" i="12"/>
  <c r="AU30" i="12" a="1"/>
  <c r="AU30" i="12"/>
  <c r="AN30" i="12"/>
  <c r="AJ30" i="12"/>
  <c r="AL30" i="12" s="1"/>
  <c r="AL29" i="12" s="1"/>
  <c r="H30" i="12" a="1"/>
  <c r="H30" i="12" s="1"/>
  <c r="AN29" i="12"/>
  <c r="AM29" i="12"/>
  <c r="AK29" i="12"/>
  <c r="T29" i="12"/>
  <c r="T31" i="12" s="1" a="1"/>
  <c r="T31" i="12" s="1"/>
  <c r="F29" i="12" a="1"/>
  <c r="F29" i="12"/>
  <c r="F30" i="12" s="1" a="1"/>
  <c r="F30" i="12" s="1"/>
  <c r="AK25" i="12"/>
  <c r="AP11" i="12" a="1"/>
  <c r="AP11" i="12" s="1"/>
  <c r="AO11" i="12" a="1"/>
  <c r="AO11" i="12"/>
  <c r="AN10" i="12" a="1"/>
  <c r="AN10" i="12" s="1"/>
  <c r="AM10" i="12" a="1"/>
  <c r="AM10" i="12"/>
  <c r="AL10" i="12" a="1"/>
  <c r="AL10" i="12" s="1"/>
  <c r="AK10" i="12" a="1"/>
  <c r="AK10" i="12"/>
  <c r="AN9" i="12" a="1"/>
  <c r="AN9" i="12" s="1"/>
  <c r="AM9" i="12" a="1"/>
  <c r="AM9" i="12"/>
  <c r="AL9" i="12" a="1"/>
  <c r="AL9" i="12" s="1"/>
  <c r="AK9" i="12" a="1"/>
  <c r="AK9" i="12"/>
  <c r="AJ9" i="12" a="1"/>
  <c r="AJ9" i="12" s="1"/>
  <c r="AI9" i="12" a="1"/>
  <c r="AI9" i="12"/>
  <c r="AH9" i="12" a="1"/>
  <c r="AH9" i="12" s="1"/>
  <c r="AG9" i="12" a="1"/>
  <c r="AG9" i="12"/>
  <c r="AF9" i="12" a="1"/>
  <c r="AF9" i="12" s="1"/>
  <c r="AE9" i="12" a="1"/>
  <c r="AE9" i="12"/>
  <c r="AD9" i="12" a="1"/>
  <c r="AD9" i="12" s="1"/>
  <c r="AM3" i="12" a="1"/>
  <c r="AM3" i="12"/>
  <c r="AK3" i="12" a="1"/>
  <c r="AK3" i="12" s="1"/>
  <c r="T220" i="11"/>
  <c r="T219" i="11"/>
  <c r="T218" i="11"/>
  <c r="T217" i="11"/>
  <c r="T216" i="11"/>
  <c r="T215" i="11"/>
  <c r="T214" i="11"/>
  <c r="T213" i="11"/>
  <c r="T212" i="1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A175" i="11"/>
  <c r="AZ175" i="11"/>
  <c r="AZ173" i="11" s="1"/>
  <c r="AY175" i="11"/>
  <c r="AY173" i="11" s="1"/>
  <c r="AX175" i="11"/>
  <c r="AW175" i="11"/>
  <c r="AV175" i="11"/>
  <c r="AV173" i="11" s="1"/>
  <c r="AU175" i="11"/>
  <c r="AU173" i="11" s="1"/>
  <c r="AT175" i="11"/>
  <c r="AS175" i="11"/>
  <c r="AR175" i="11"/>
  <c r="AR173" i="11" s="1"/>
  <c r="AQ175" i="11"/>
  <c r="AQ173" i="11" s="1"/>
  <c r="AP175" i="11"/>
  <c r="AO175" i="11"/>
  <c r="AN175" i="11"/>
  <c r="AN173" i="11" s="1"/>
  <c r="AM175" i="11"/>
  <c r="AM173" i="11" s="1"/>
  <c r="AL175" i="11"/>
  <c r="AK175" i="11"/>
  <c r="AJ175" i="11"/>
  <c r="AJ173" i="11" s="1"/>
  <c r="AI175" i="11"/>
  <c r="AI173" i="11" s="1"/>
  <c r="AH175" i="11"/>
  <c r="AG175" i="11"/>
  <c r="AF175" i="11"/>
  <c r="AF173" i="11" s="1"/>
  <c r="AE175" i="11"/>
  <c r="AE173" i="11" s="1"/>
  <c r="G174" i="11"/>
  <c r="BB173" i="11"/>
  <c r="BA173" i="11"/>
  <c r="AX173" i="11"/>
  <c r="AW173" i="11"/>
  <c r="AT173" i="11"/>
  <c r="AS173" i="11"/>
  <c r="AP173" i="11"/>
  <c r="AO173" i="11"/>
  <c r="AL173" i="11"/>
  <c r="AK173" i="11"/>
  <c r="AH173" i="11"/>
  <c r="AG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B157" i="11" s="1"/>
  <c r="BB162" i="11" s="1"/>
  <c r="BA163" i="11"/>
  <c r="AZ163" i="11"/>
  <c r="AY163" i="11"/>
  <c r="AX163" i="11"/>
  <c r="AX157" i="11" s="1"/>
  <c r="AX162" i="11" s="1"/>
  <c r="AW163" i="11"/>
  <c r="AV163" i="11"/>
  <c r="AU163" i="11"/>
  <c r="AT163" i="11"/>
  <c r="AT157" i="11" s="1"/>
  <c r="AT162" i="11" s="1"/>
  <c r="AS163" i="11"/>
  <c r="AR163" i="11"/>
  <c r="AQ163" i="11"/>
  <c r="AP163" i="11"/>
  <c r="AP157" i="11" s="1"/>
  <c r="AP162" i="11" s="1"/>
  <c r="AO163" i="11"/>
  <c r="AN163" i="11"/>
  <c r="AM163" i="11"/>
  <c r="AL163" i="11"/>
  <c r="AL157" i="11" s="1"/>
  <c r="AL162" i="11" s="1"/>
  <c r="AK163" i="11"/>
  <c r="AJ163" i="11"/>
  <c r="AI163" i="11"/>
  <c r="AH163" i="11"/>
  <c r="AH157" i="11" s="1"/>
  <c r="AH162" i="11" s="1"/>
  <c r="AG163" i="11"/>
  <c r="AF163" i="11"/>
  <c r="AE163" i="11"/>
  <c r="G163" i="11"/>
  <c r="BA157" i="11"/>
  <c r="BA162" i="11" s="1"/>
  <c r="AZ157" i="11"/>
  <c r="AZ162" i="11" s="1"/>
  <c r="AY157" i="11"/>
  <c r="AY162" i="11" s="1"/>
  <c r="AW157" i="11"/>
  <c r="AW162" i="11" s="1"/>
  <c r="AV157" i="11"/>
  <c r="AV162" i="11" s="1"/>
  <c r="AU157" i="11"/>
  <c r="AU162" i="11" s="1"/>
  <c r="AS157" i="11"/>
  <c r="AS162" i="11" s="1"/>
  <c r="AR157" i="11"/>
  <c r="AR162" i="11" s="1"/>
  <c r="AQ157" i="11"/>
  <c r="AQ162" i="11" s="1"/>
  <c r="AO157" i="11"/>
  <c r="AO162" i="11" s="1"/>
  <c r="AN157" i="11"/>
  <c r="AN162" i="11" s="1"/>
  <c r="AM157" i="11"/>
  <c r="AM162" i="11" s="1"/>
  <c r="AK157" i="11"/>
  <c r="AK162" i="11" s="1"/>
  <c r="AJ157" i="11"/>
  <c r="AJ162" i="11" s="1"/>
  <c r="AI157" i="11"/>
  <c r="AI162" i="11" s="1"/>
  <c r="AG157" i="11"/>
  <c r="AG162" i="11" s="1"/>
  <c r="AF157" i="11"/>
  <c r="AF162" i="11" s="1"/>
  <c r="AE157" i="11"/>
  <c r="AE162" i="11" s="1"/>
  <c r="AG151" i="11" a="1"/>
  <c r="AG151" i="11" s="1"/>
  <c r="AG150"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F150" i="11"/>
  <c r="AE150" i="11"/>
  <c r="AG148" i="11" a="1"/>
  <c r="AG148" i="11" s="1"/>
  <c r="AG147" i="11" s="1"/>
  <c r="BB147" i="11"/>
  <c r="BB143" i="11" s="1"/>
  <c r="BA147" i="11"/>
  <c r="BA143" i="11" s="1"/>
  <c r="BA135" i="11" s="1"/>
  <c r="BA129" i="11" s="1"/>
  <c r="AZ147" i="11"/>
  <c r="AY147" i="11"/>
  <c r="AX147" i="11"/>
  <c r="AX143" i="11" s="1"/>
  <c r="AW147" i="11"/>
  <c r="AW143" i="11" s="1"/>
  <c r="AW135" i="11" s="1"/>
  <c r="AW129" i="11" s="1"/>
  <c r="AV147" i="11"/>
  <c r="AU147" i="11"/>
  <c r="AT147" i="11"/>
  <c r="AT143" i="11" s="1"/>
  <c r="AS147" i="11"/>
  <c r="AS143" i="11" s="1"/>
  <c r="AS135" i="11" s="1"/>
  <c r="AS129" i="11" s="1"/>
  <c r="AR147" i="11"/>
  <c r="AQ147" i="11"/>
  <c r="AP147" i="11"/>
  <c r="AP143" i="11" s="1"/>
  <c r="AO147" i="11"/>
  <c r="AO143" i="11" s="1"/>
  <c r="AO135" i="11" s="1"/>
  <c r="AO129" i="11" s="1"/>
  <c r="AN147" i="11"/>
  <c r="AM147" i="11"/>
  <c r="AL147" i="11"/>
  <c r="AL143" i="11" s="1"/>
  <c r="AK147" i="11"/>
  <c r="AK143" i="11" s="1"/>
  <c r="AK135" i="11" s="1"/>
  <c r="AK129" i="11" s="1"/>
  <c r="AJ147" i="11"/>
  <c r="AI147" i="11"/>
  <c r="AH147" i="11"/>
  <c r="AH143" i="11" s="1"/>
  <c r="AF147" i="11"/>
  <c r="AE147" i="11"/>
  <c r="AG145" i="11" a="1"/>
  <c r="AG145" i="11" s="1"/>
  <c r="AG144" i="11" s="1"/>
  <c r="AG143" i="11" s="1"/>
  <c r="AG135" i="11" s="1"/>
  <c r="AG129" i="11" s="1"/>
  <c r="BB144" i="11"/>
  <c r="BA144" i="11"/>
  <c r="AZ144" i="11"/>
  <c r="AY144" i="11"/>
  <c r="AX144" i="11"/>
  <c r="AW144" i="11"/>
  <c r="AV144" i="11"/>
  <c r="AU144" i="11"/>
  <c r="AT144" i="11"/>
  <c r="AS144" i="11"/>
  <c r="AR144" i="11"/>
  <c r="AQ144" i="11"/>
  <c r="AP144" i="11"/>
  <c r="AO144" i="11"/>
  <c r="AN144" i="11"/>
  <c r="AM144" i="11"/>
  <c r="AL144" i="11"/>
  <c r="AK144" i="11"/>
  <c r="AJ144" i="11"/>
  <c r="AI144" i="11"/>
  <c r="AH144" i="11"/>
  <c r="AF144" i="11"/>
  <c r="AE144" i="11"/>
  <c r="AZ143" i="11"/>
  <c r="AY143" i="11"/>
  <c r="AV143" i="11"/>
  <c r="AU143" i="11"/>
  <c r="AR143" i="11"/>
  <c r="AQ143" i="11"/>
  <c r="AN143" i="11"/>
  <c r="AM143" i="11"/>
  <c r="AJ143" i="11"/>
  <c r="AI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AZ136" i="11"/>
  <c r="AZ135" i="11" s="1"/>
  <c r="AZ129" i="11" s="1"/>
  <c r="AY136" i="11"/>
  <c r="AY135" i="11" s="1"/>
  <c r="AY129" i="11" s="1"/>
  <c r="AX136" i="11"/>
  <c r="AX135" i="11" s="1"/>
  <c r="AX129" i="11" s="1"/>
  <c r="AW136" i="11"/>
  <c r="AV136" i="11"/>
  <c r="AV135" i="11" s="1"/>
  <c r="AV129" i="11" s="1"/>
  <c r="AU136" i="11"/>
  <c r="AU135" i="11" s="1"/>
  <c r="AU129" i="11" s="1"/>
  <c r="AT136" i="11"/>
  <c r="AT135" i="11" s="1"/>
  <c r="AT129" i="11" s="1"/>
  <c r="AS136" i="11"/>
  <c r="AR136" i="11"/>
  <c r="AR135" i="11" s="1"/>
  <c r="AR129" i="11" s="1"/>
  <c r="AQ136" i="11"/>
  <c r="AQ135" i="11" s="1"/>
  <c r="AQ129" i="11" s="1"/>
  <c r="AP136" i="11"/>
  <c r="AP135" i="11" s="1"/>
  <c r="AP129" i="11" s="1"/>
  <c r="AO136" i="11"/>
  <c r="AN136" i="11"/>
  <c r="AN135" i="11" s="1"/>
  <c r="AN129" i="11" s="1"/>
  <c r="AM136" i="11"/>
  <c r="AM135" i="11" s="1"/>
  <c r="AM129" i="11" s="1"/>
  <c r="AL136" i="11"/>
  <c r="AL135" i="11" s="1"/>
  <c r="AL129" i="11" s="1"/>
  <c r="AK136" i="11"/>
  <c r="AJ136" i="11"/>
  <c r="AJ135" i="11" s="1"/>
  <c r="AJ129" i="11" s="1"/>
  <c r="AI136" i="11"/>
  <c r="AI135" i="11" s="1"/>
  <c r="AI129" i="11" s="1"/>
  <c r="AH136" i="11"/>
  <c r="AH135" i="11" s="1"/>
  <c r="AH129" i="11" s="1"/>
  <c r="AH120" i="11" s="1"/>
  <c r="AG136" i="11"/>
  <c r="AF136" i="11"/>
  <c r="AF135" i="11" s="1"/>
  <c r="AF129" i="11" s="1"/>
  <c r="AE136" i="11"/>
  <c r="AE135" i="11" s="1"/>
  <c r="AE129" i="11" s="1"/>
  <c r="G136" i="11"/>
  <c r="AG133" i="11" a="1"/>
  <c r="AG133" i="11" s="1"/>
  <c r="AE126" i="11"/>
  <c r="AE124" i="11" s="1"/>
  <c r="AE125" i="1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B82" i="11" s="1"/>
  <c r="BA84" i="11"/>
  <c r="AZ84" i="11"/>
  <c r="AY84" i="11"/>
  <c r="AX84" i="11"/>
  <c r="AX82" i="11" s="1"/>
  <c r="AW84" i="11"/>
  <c r="AV84" i="11"/>
  <c r="AU84" i="11"/>
  <c r="AT84" i="11"/>
  <c r="AT82" i="11" s="1"/>
  <c r="AS84" i="11"/>
  <c r="AR84" i="11"/>
  <c r="AQ84" i="11"/>
  <c r="AP84" i="11"/>
  <c r="AP82" i="11" s="1"/>
  <c r="AO84" i="11"/>
  <c r="AN84" i="11"/>
  <c r="AM84" i="11"/>
  <c r="AL84" i="11"/>
  <c r="AL82" i="11" s="1"/>
  <c r="AK84" i="11"/>
  <c r="AJ84" i="11"/>
  <c r="AI84" i="11"/>
  <c r="AH84" i="11"/>
  <c r="AH82" i="11" s="1"/>
  <c r="AG84" i="11"/>
  <c r="AF84" i="11"/>
  <c r="AE84" i="11"/>
  <c r="G83" i="11"/>
  <c r="BA82" i="11"/>
  <c r="AZ82" i="11"/>
  <c r="AY82" i="11"/>
  <c r="AW82" i="11"/>
  <c r="AV82" i="11"/>
  <c r="AU82" i="11"/>
  <c r="AS82" i="11"/>
  <c r="AR82" i="11"/>
  <c r="AQ82" i="11"/>
  <c r="AO82" i="11"/>
  <c r="AN82" i="11"/>
  <c r="AM82" i="11"/>
  <c r="AK82" i="11"/>
  <c r="AJ82" i="11"/>
  <c r="AI82" i="11"/>
  <c r="AG82" i="11"/>
  <c r="AF82" i="11"/>
  <c r="AE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BA66" i="11" s="1"/>
  <c r="BA71" i="11" s="1"/>
  <c r="AZ72" i="11"/>
  <c r="AY72" i="11"/>
  <c r="AX72" i="11"/>
  <c r="AW72" i="11"/>
  <c r="AW66" i="11" s="1"/>
  <c r="AW71" i="11" s="1"/>
  <c r="AV72" i="11"/>
  <c r="AU72" i="11"/>
  <c r="AT72" i="11"/>
  <c r="AS72" i="11"/>
  <c r="AS66" i="11" s="1"/>
  <c r="AS71" i="11" s="1"/>
  <c r="AR72" i="11"/>
  <c r="AQ72" i="11"/>
  <c r="AP72" i="11"/>
  <c r="AO72" i="11"/>
  <c r="AO66" i="11" s="1"/>
  <c r="AO71" i="11" s="1"/>
  <c r="AN72" i="11"/>
  <c r="AM72" i="11"/>
  <c r="AL72" i="11"/>
  <c r="AK72" i="11"/>
  <c r="AK66" i="11" s="1"/>
  <c r="AK71" i="11" s="1"/>
  <c r="AJ72" i="11"/>
  <c r="AI72" i="11"/>
  <c r="AH72" i="11"/>
  <c r="AG72" i="11"/>
  <c r="AG66" i="11" s="1"/>
  <c r="AG71" i="11" s="1"/>
  <c r="AF72" i="11"/>
  <c r="AE72" i="11"/>
  <c r="G72" i="11"/>
  <c r="BB66" i="11"/>
  <c r="BB71" i="11" s="1"/>
  <c r="AZ66" i="11"/>
  <c r="AZ71" i="11" s="1"/>
  <c r="AY66" i="11"/>
  <c r="AY71" i="11" s="1"/>
  <c r="AX66" i="11"/>
  <c r="AX71" i="11" s="1"/>
  <c r="AV66" i="11"/>
  <c r="AV71" i="11" s="1"/>
  <c r="AU66" i="11"/>
  <c r="AU71" i="11" s="1"/>
  <c r="AT66" i="11"/>
  <c r="AT71" i="11" s="1"/>
  <c r="AR66" i="11"/>
  <c r="AR71" i="11" s="1"/>
  <c r="AQ66" i="11"/>
  <c r="AQ71" i="11" s="1"/>
  <c r="AP66" i="11"/>
  <c r="AP71" i="11" s="1"/>
  <c r="AN66" i="11"/>
  <c r="AN71" i="11" s="1"/>
  <c r="AM66" i="11"/>
  <c r="AM71" i="11" s="1"/>
  <c r="AL66" i="11"/>
  <c r="AL71" i="11" s="1"/>
  <c r="AJ66" i="11"/>
  <c r="AJ71" i="11" s="1"/>
  <c r="AI66" i="11"/>
  <c r="AI71" i="11" s="1"/>
  <c r="AH66" i="11"/>
  <c r="AH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AZ45" i="11"/>
  <c r="AZ44" i="11" s="1"/>
  <c r="AZ38" i="11" s="1"/>
  <c r="AY45" i="11"/>
  <c r="AX45" i="11"/>
  <c r="AW45" i="11"/>
  <c r="AV45" i="11"/>
  <c r="AV44" i="11" s="1"/>
  <c r="AV38" i="11" s="1"/>
  <c r="AU45" i="11"/>
  <c r="AT45" i="11"/>
  <c r="AS45" i="11"/>
  <c r="AR45" i="11"/>
  <c r="AR44" i="11" s="1"/>
  <c r="AR38" i="11" s="1"/>
  <c r="AQ45" i="11"/>
  <c r="AP45" i="11"/>
  <c r="AO45" i="11"/>
  <c r="AN45" i="11"/>
  <c r="AN44" i="11" s="1"/>
  <c r="AN38" i="11" s="1"/>
  <c r="AM45" i="11"/>
  <c r="AL45" i="11"/>
  <c r="AK45" i="11"/>
  <c r="AJ45" i="11"/>
  <c r="AJ44" i="11" s="1"/>
  <c r="AJ38" i="11" s="1"/>
  <c r="AI45" i="11"/>
  <c r="AH45" i="11"/>
  <c r="AG45" i="11"/>
  <c r="AF45" i="11"/>
  <c r="AF44" i="11" s="1"/>
  <c r="AF38" i="11" s="1"/>
  <c r="AE45" i="11"/>
  <c r="G45" i="11"/>
  <c r="BB44" i="11"/>
  <c r="BA44" i="11"/>
  <c r="AY44" i="11"/>
  <c r="AX44" i="11"/>
  <c r="AW44" i="11"/>
  <c r="AU44" i="11"/>
  <c r="AT44" i="11"/>
  <c r="AS44" i="11"/>
  <c r="AQ44" i="11"/>
  <c r="AP44" i="11"/>
  <c r="AO44" i="11"/>
  <c r="AM44" i="11"/>
  <c r="AL44" i="11"/>
  <c r="AK44" i="11"/>
  <c r="AI44" i="11"/>
  <c r="AH44" i="11"/>
  <c r="AG44" i="11"/>
  <c r="AE44" i="11"/>
  <c r="BB38" i="11"/>
  <c r="BB43" i="11" s="1"/>
  <c r="BA38" i="11"/>
  <c r="BA43" i="11" s="1"/>
  <c r="AY38" i="11"/>
  <c r="AY43" i="11" s="1"/>
  <c r="AX38" i="11"/>
  <c r="AX43" i="11" s="1"/>
  <c r="AW38" i="11"/>
  <c r="AW43" i="11" s="1"/>
  <c r="AU38" i="11"/>
  <c r="AU43" i="11" s="1"/>
  <c r="AT38" i="11"/>
  <c r="AT43" i="11" s="1"/>
  <c r="AS38" i="11"/>
  <c r="AS43" i="11" s="1"/>
  <c r="AQ38" i="11"/>
  <c r="AQ43" i="11" s="1"/>
  <c r="AP38" i="11"/>
  <c r="AP43" i="11" s="1"/>
  <c r="AO38" i="11"/>
  <c r="AO43" i="11" s="1"/>
  <c r="AM38" i="11"/>
  <c r="AM43" i="11" s="1"/>
  <c r="AL38" i="11"/>
  <c r="AL43" i="11" s="1"/>
  <c r="AK38" i="11"/>
  <c r="AK43" i="11" s="1"/>
  <c r="AI38" i="11"/>
  <c r="AI43" i="11" s="1"/>
  <c r="AH38" i="11"/>
  <c r="AH43" i="11" s="1"/>
  <c r="AG38" i="11"/>
  <c r="AG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B29" i="11"/>
  <c r="BA29" i="11"/>
  <c r="AY29" i="11"/>
  <c r="AX29" i="11"/>
  <c r="AW29" i="11"/>
  <c r="AU29" i="11"/>
  <c r="AT29" i="11"/>
  <c r="AS29" i="11"/>
  <c r="AQ29" i="11"/>
  <c r="AP29" i="11"/>
  <c r="AO29" i="11"/>
  <c r="AM29" i="11"/>
  <c r="AL29" i="11"/>
  <c r="AK29" i="11"/>
  <c r="AI29" i="11"/>
  <c r="AH29" i="11"/>
  <c r="AG29" i="11"/>
  <c r="AE29" i="11"/>
  <c r="T27" i="11"/>
  <c r="F27" i="11" a="1"/>
  <c r="F27" i="1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c r="BB10" i="11" a="1"/>
  <c r="BB10" i="11" s="1"/>
  <c r="BA10" i="11" a="1"/>
  <c r="BA10" i="11"/>
  <c r="AZ10" i="11" a="1"/>
  <c r="AZ10" i="11" s="1"/>
  <c r="AY10" i="11" a="1"/>
  <c r="AY10" i="11"/>
  <c r="AX10" i="11" a="1"/>
  <c r="AX10" i="11" s="1"/>
  <c r="AW10" i="11" a="1"/>
  <c r="AW10" i="11"/>
  <c r="AV10" i="11" a="1"/>
  <c r="AV10" i="11" s="1"/>
  <c r="AU10" i="11" a="1"/>
  <c r="AU10" i="11"/>
  <c r="AT10" i="11" a="1"/>
  <c r="AT10" i="11" s="1"/>
  <c r="AS10" i="11" a="1"/>
  <c r="AS10" i="11"/>
  <c r="AR10" i="11" a="1"/>
  <c r="AR10" i="11" s="1"/>
  <c r="AQ10" i="11" a="1"/>
  <c r="AQ10" i="11"/>
  <c r="AP10" i="11" a="1"/>
  <c r="AP10" i="11" s="1"/>
  <c r="AO10" i="11" a="1"/>
  <c r="AO10" i="11"/>
  <c r="AN10" i="11" a="1"/>
  <c r="AN10" i="11" s="1"/>
  <c r="AM10" i="11" a="1"/>
  <c r="AM10" i="11"/>
  <c r="AL10" i="11" a="1"/>
  <c r="AL10" i="11" s="1"/>
  <c r="AK10" i="11" a="1"/>
  <c r="AK10" i="11"/>
  <c r="AJ10" i="11" a="1"/>
  <c r="AJ10" i="11" s="1"/>
  <c r="AI10" i="11" a="1"/>
  <c r="AI10" i="11"/>
  <c r="AH10" i="11" a="1"/>
  <c r="AH10" i="11" s="1"/>
  <c r="AG10" i="11" a="1"/>
  <c r="AG10" i="11"/>
  <c r="AF10" i="11" a="1"/>
  <c r="AF10" i="11" s="1"/>
  <c r="AE10" i="11" a="1"/>
  <c r="AE10" i="11"/>
  <c r="BA9" i="11" a="1"/>
  <c r="BA9" i="11"/>
  <c r="AW9" i="11" a="1"/>
  <c r="AW9" i="11"/>
  <c r="AR9" i="11" a="1"/>
  <c r="AR9" i="11" s="1"/>
  <c r="AP9" i="11" a="1"/>
  <c r="AP9" i="11" s="1"/>
  <c r="AN9" i="11" a="1"/>
  <c r="AN9" i="11" s="1"/>
  <c r="AL9" i="11" a="1"/>
  <c r="AL9" i="11" s="1"/>
  <c r="AJ9" i="11" a="1"/>
  <c r="AJ9" i="11" s="1"/>
  <c r="AE9" i="11" a="1"/>
  <c r="AE9" i="11" s="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Q7" i="11" a="1"/>
  <c r="AQ7" i="11" s="1"/>
  <c r="AP7" i="11" a="1"/>
  <c r="AP7" i="11" s="1"/>
  <c r="AP8" i="11" s="1"/>
  <c r="AO7" i="11" a="1"/>
  <c r="AO7" i="11" s="1"/>
  <c r="AN7" i="11" a="1"/>
  <c r="AN7" i="11" s="1"/>
  <c r="AM7" i="11" a="1"/>
  <c r="AM7" i="11" s="1"/>
  <c r="AL7" i="11" a="1"/>
  <c r="AL7" i="11" s="1"/>
  <c r="AL8" i="11" s="1"/>
  <c r="AK7" i="11" a="1"/>
  <c r="AK7" i="11" s="1"/>
  <c r="AJ7" i="11" a="1"/>
  <c r="AJ7" i="11" s="1"/>
  <c r="AI7" i="11" a="1"/>
  <c r="AI7" i="11" s="1"/>
  <c r="AH7" i="11" a="1"/>
  <c r="AH7" i="11" s="1"/>
  <c r="AH8" i="11" s="1"/>
  <c r="AG7" i="11" a="1"/>
  <c r="AG7" i="11" s="1"/>
  <c r="AF7" i="11" a="1"/>
  <c r="AF7" i="11" s="1"/>
  <c r="AE7" i="11" a="1"/>
  <c r="AE7" i="11" s="1"/>
  <c r="AE8" i="11" s="1"/>
  <c r="BB6" i="11"/>
  <c r="BB9" i="11" s="1" a="1"/>
  <c r="BB9" i="11" s="1"/>
  <c r="BA6" i="11"/>
  <c r="BA8" i="11" s="1"/>
  <c r="AZ6" i="11"/>
  <c r="AZ9" i="11" s="1" a="1"/>
  <c r="AZ9" i="11" s="1"/>
  <c r="AY6" i="11"/>
  <c r="AY2" i="11" s="1"/>
  <c r="AX6" i="11"/>
  <c r="AX9" i="11" s="1" a="1"/>
  <c r="AX9" i="11" s="1"/>
  <c r="AW6" i="11"/>
  <c r="AW8" i="11" s="1"/>
  <c r="AV6" i="11"/>
  <c r="AV9" i="11" s="1" a="1"/>
  <c r="AV9" i="11" s="1"/>
  <c r="AU6" i="11"/>
  <c r="AU2" i="11" s="1"/>
  <c r="AT6" i="11"/>
  <c r="AT9" i="11" s="1" a="1"/>
  <c r="AT9" i="11" s="1"/>
  <c r="AS6" i="11" a="1"/>
  <c r="AS6" i="11"/>
  <c r="AR6" i="11"/>
  <c r="AR8" i="11" s="1"/>
  <c r="AQ6" i="11"/>
  <c r="AP6" i="11"/>
  <c r="AO6" i="11"/>
  <c r="AN6" i="11"/>
  <c r="AN8" i="11" s="1"/>
  <c r="AM6" i="11"/>
  <c r="AL6" i="11"/>
  <c r="AK6" i="11"/>
  <c r="AJ6" i="11"/>
  <c r="AJ8" i="11" s="1"/>
  <c r="AI6" i="11" a="1"/>
  <c r="AI6" i="11" s="1"/>
  <c r="AH6" i="11"/>
  <c r="AH9" i="11" s="1" a="1"/>
  <c r="AH9" i="11" s="1"/>
  <c r="AG6" i="11"/>
  <c r="AF6" i="11"/>
  <c r="AF9" i="11" s="1" a="1"/>
  <c r="AF9" i="11" s="1"/>
  <c r="AE6" i="11"/>
  <c r="V32" i="10"/>
  <c r="V33" i="10" s="1" a="1"/>
  <c r="V33" i="10" s="1"/>
  <c r="V34" i="10" s="1" a="1"/>
  <c r="V34" i="10" s="1"/>
  <c r="V35" i="10" s="1" a="1"/>
  <c r="V35" i="10" s="1"/>
  <c r="V36" i="10" s="1" a="1"/>
  <c r="V36" i="10" s="1"/>
  <c r="F32" i="10" a="1"/>
  <c r="F32" i="10"/>
  <c r="F33" i="10" s="1" a="1"/>
  <c r="F33" i="10" s="1"/>
  <c r="F34" i="10" s="1" a="1"/>
  <c r="F34" i="10" s="1"/>
  <c r="F35" i="10" s="1" a="1"/>
  <c r="F35" i="10" s="1"/>
  <c r="F36" i="10" s="1" a="1"/>
  <c r="F36" i="10" s="1"/>
  <c r="F37" i="10" s="1" a="1"/>
  <c r="F37" i="10" s="1"/>
  <c r="V28" i="10" a="1"/>
  <c r="V28" i="10"/>
  <c r="V29" i="10" s="1" a="1"/>
  <c r="V29" i="10" s="1"/>
  <c r="V30" i="10" s="1" a="1"/>
  <c r="V30" i="10" s="1"/>
  <c r="V31" i="10" s="1" a="1"/>
  <c r="V31" i="10" s="1"/>
  <c r="V27" i="10"/>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AQ9" i="10" a="1"/>
  <c r="AQ9" i="10"/>
  <c r="AM9" i="10" a="1"/>
  <c r="AM9" i="10"/>
  <c r="AI9" i="10" a="1"/>
  <c r="AI9" i="10"/>
  <c r="AX8" i="10"/>
  <c r="AT8" i="10"/>
  <c r="AP8" i="10"/>
  <c r="BA7" i="10" a="1"/>
  <c r="BA7" i="10" s="1"/>
  <c r="AZ7" i="10" a="1"/>
  <c r="AZ7" i="10"/>
  <c r="AY7" i="10" a="1"/>
  <c r="AY7" i="10" s="1"/>
  <c r="AX7" i="10" a="1"/>
  <c r="AX7" i="10"/>
  <c r="AW7" i="10" a="1"/>
  <c r="AW7" i="10" s="1"/>
  <c r="AV7" i="10" a="1"/>
  <c r="AV7" i="10"/>
  <c r="AU7" i="10" a="1"/>
  <c r="AU7" i="10" s="1"/>
  <c r="AT7" i="10" a="1"/>
  <c r="AT7" i="10"/>
  <c r="AS7" i="10" a="1"/>
  <c r="AS7" i="10" s="1"/>
  <c r="AR7" i="10" a="1"/>
  <c r="AR7" i="10"/>
  <c r="AQ7" i="10" a="1"/>
  <c r="AQ7" i="10" s="1"/>
  <c r="AQ8" i="10" s="1"/>
  <c r="AP7" i="10" a="1"/>
  <c r="AP7" i="10"/>
  <c r="AO7" i="10" a="1"/>
  <c r="AO7" i="10" s="1"/>
  <c r="AN7" i="10" a="1"/>
  <c r="AN7" i="10" s="1"/>
  <c r="AM7" i="10" a="1"/>
  <c r="AM7" i="10" s="1"/>
  <c r="AM8" i="10" s="1"/>
  <c r="AL7" i="10" a="1"/>
  <c r="AL7" i="10" s="1"/>
  <c r="AL8" i="10" s="1"/>
  <c r="AK7" i="10" a="1"/>
  <c r="AK7" i="10" s="1"/>
  <c r="AJ7" i="10" a="1"/>
  <c r="AJ7" i="10" s="1"/>
  <c r="AI7" i="10" a="1"/>
  <c r="AI7" i="10" s="1"/>
  <c r="AI8" i="10" s="1"/>
  <c r="AH7" i="10" a="1"/>
  <c r="AH7" i="10" s="1"/>
  <c r="AG7" i="10" a="1"/>
  <c r="AG7" i="10" s="1"/>
  <c r="AF7" i="10" a="1"/>
  <c r="AF7" i="10" s="1"/>
  <c r="AE7" i="10" a="1"/>
  <c r="AE7" i="10" s="1"/>
  <c r="BA6" i="10"/>
  <c r="BA8" i="10" s="1"/>
  <c r="AZ6" i="10"/>
  <c r="AZ9" i="10" s="1" a="1"/>
  <c r="AZ9" i="10" s="1"/>
  <c r="AY6" i="10"/>
  <c r="AX6" i="10"/>
  <c r="AX9" i="10" s="1" a="1"/>
  <c r="AX9" i="10" s="1"/>
  <c r="AW6" i="10"/>
  <c r="AW8" i="10" s="1"/>
  <c r="AV6" i="10"/>
  <c r="AV9" i="10" s="1" a="1"/>
  <c r="AV9" i="10" s="1"/>
  <c r="AU6" i="10"/>
  <c r="AT6" i="10"/>
  <c r="AT9" i="10" s="1" a="1"/>
  <c r="AT9" i="10" s="1"/>
  <c r="AS6" i="10"/>
  <c r="AS8" i="10" s="1"/>
  <c r="AR6" i="10" a="1"/>
  <c r="AR6" i="10"/>
  <c r="AR9" i="10" s="1" a="1"/>
  <c r="AR9" i="10" s="1"/>
  <c r="AQ6" i="10"/>
  <c r="AP6" i="10"/>
  <c r="AP9" i="10" s="1" a="1"/>
  <c r="AP9" i="10" s="1"/>
  <c r="AO6" i="10"/>
  <c r="AO8" i="10" s="1"/>
  <c r="AN6" i="10"/>
  <c r="AN9" i="10" s="1" a="1"/>
  <c r="AN9" i="10" s="1"/>
  <c r="AM6" i="10"/>
  <c r="AL6" i="10"/>
  <c r="AL9" i="10" s="1" a="1"/>
  <c r="AL9" i="10" s="1"/>
  <c r="AK6" i="10"/>
  <c r="AK8" i="10" s="1"/>
  <c r="AJ6" i="10"/>
  <c r="AJ9" i="10" s="1" a="1"/>
  <c r="AJ9" i="10" s="1"/>
  <c r="AI6" i="10"/>
  <c r="AH6" i="10" a="1"/>
  <c r="AH6" i="10" s="1"/>
  <c r="AG6" i="10"/>
  <c r="AG8" i="10" s="1"/>
  <c r="AF6" i="10"/>
  <c r="AF9" i="10" s="1" a="1"/>
  <c r="AF9" i="10" s="1"/>
  <c r="AE6" i="10"/>
  <c r="AE9" i="10" s="1" a="1"/>
  <c r="AE9" i="10" s="1"/>
  <c r="AM81" i="9"/>
  <c r="AL81" i="9"/>
  <c r="AM80" i="9"/>
  <c r="AL80" i="9"/>
  <c r="AM79" i="9"/>
  <c r="AL79" i="9"/>
  <c r="AM78" i="9"/>
  <c r="AL78" i="9"/>
  <c r="BK76" i="9" a="1"/>
  <c r="BK76" i="9" s="1"/>
  <c r="AM76" i="9"/>
  <c r="AL76" i="9"/>
  <c r="I76" i="9" a="1"/>
  <c r="I76" i="9"/>
  <c r="AK75" i="9"/>
  <c r="AL75" i="9" s="1"/>
  <c r="AG75" i="9"/>
  <c r="AF75" i="9"/>
  <c r="BK73" i="9" a="1"/>
  <c r="BK73" i="9" s="1"/>
  <c r="AM73" i="9"/>
  <c r="AL73" i="9"/>
  <c r="I73" i="9" a="1"/>
  <c r="I73" i="9"/>
  <c r="AX72" i="9"/>
  <c r="AY72" i="9" s="1"/>
  <c r="AM72" i="9"/>
  <c r="AL72" i="9"/>
  <c r="AK72" i="9"/>
  <c r="BK70" i="9" a="1"/>
  <c r="BK70" i="9"/>
  <c r="AM70" i="9"/>
  <c r="AL70" i="9"/>
  <c r="I70" i="9" a="1"/>
  <c r="I70" i="9"/>
  <c r="AM69" i="9"/>
  <c r="AL69" i="9"/>
  <c r="BK67" i="9" a="1"/>
  <c r="BK67" i="9"/>
  <c r="AM67" i="9"/>
  <c r="AL67" i="9"/>
  <c r="I67" i="9" a="1"/>
  <c r="I67" i="9" s="1"/>
  <c r="AM66" i="9"/>
  <c r="AL66" i="9"/>
  <c r="AM64" i="9"/>
  <c r="AL64" i="9"/>
  <c r="AM63" i="9"/>
  <c r="AL63" i="9"/>
  <c r="AM61" i="9"/>
  <c r="AL61" i="9"/>
  <c r="AM60" i="9"/>
  <c r="AL60" i="9"/>
  <c r="B60" i="9"/>
  <c r="AM59" i="9"/>
  <c r="AL59" i="9"/>
  <c r="AM58" i="9"/>
  <c r="AL58" i="9"/>
  <c r="AB58" i="9"/>
  <c r="AB59" i="9" s="1"/>
  <c r="AM57" i="9"/>
  <c r="AL57" i="9"/>
  <c r="B57" i="9"/>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c r="AM49" i="9"/>
  <c r="AL49" i="9"/>
  <c r="I49" i="9" a="1"/>
  <c r="I49" i="9" s="1"/>
  <c r="AM48" i="9"/>
  <c r="AL48" i="9"/>
  <c r="BK46" i="9" a="1"/>
  <c r="BK46" i="9"/>
  <c r="AM46" i="9"/>
  <c r="AL46" i="9"/>
  <c r="I46" i="9" a="1"/>
  <c r="I46" i="9" s="1"/>
  <c r="AM45" i="9"/>
  <c r="AL45" i="9"/>
  <c r="BK43" i="9" a="1"/>
  <c r="BK43" i="9"/>
  <c r="AM43" i="9"/>
  <c r="AL43" i="9"/>
  <c r="I43" i="9" a="1"/>
  <c r="I43" i="9" s="1"/>
  <c r="AM42" i="9"/>
  <c r="AL42" i="9"/>
  <c r="BK40" i="9" a="1"/>
  <c r="BK40" i="9"/>
  <c r="AM40" i="9"/>
  <c r="AL40" i="9"/>
  <c r="I40" i="9" a="1"/>
  <c r="I40" i="9" s="1"/>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s="1"/>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s="1"/>
  <c r="AH11" i="9" a="1"/>
  <c r="AH11" i="9" s="1"/>
  <c r="BF10" i="9" a="1"/>
  <c r="BF10" i="9" s="1"/>
  <c r="BE10" i="9" a="1"/>
  <c r="BE10" i="9" s="1"/>
  <c r="BD10" i="9" a="1"/>
  <c r="BD10" i="9" s="1"/>
  <c r="BC10" i="9" a="1"/>
  <c r="BC10" i="9" s="1"/>
  <c r="BB10" i="9" a="1"/>
  <c r="BB10" i="9" s="1"/>
  <c r="BA10" i="9" a="1"/>
  <c r="BA10" i="9" s="1"/>
  <c r="AZ10" i="9" a="1"/>
  <c r="AZ10" i="9" s="1"/>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M10" i="9" a="1"/>
  <c r="AM10" i="9" s="1"/>
  <c r="AL10" i="9" a="1"/>
  <c r="AL10" i="9" s="1"/>
  <c r="AK10" i="9" a="1"/>
  <c r="AK10" i="9" s="1"/>
  <c r="AJ10" i="9" a="1"/>
  <c r="AJ10" i="9" s="1"/>
  <c r="AI10" i="9" a="1"/>
  <c r="AI10" i="9" s="1"/>
  <c r="AG10" i="9" a="1"/>
  <c r="AG10" i="9" s="1"/>
  <c r="AF10" i="9" a="1"/>
  <c r="AF10" i="9" s="1"/>
  <c r="AE10" i="9" a="1"/>
  <c r="AE10" i="9" s="1"/>
  <c r="BE9" i="9" a="1"/>
  <c r="BE9" i="9" s="1"/>
  <c r="BC9" i="9" a="1"/>
  <c r="BC9" i="9" s="1"/>
  <c r="BA9" i="9" a="1"/>
  <c r="BA9" i="9" s="1"/>
  <c r="AY9" i="9" a="1"/>
  <c r="AY9" i="9" s="1"/>
  <c r="AW9" i="9" a="1"/>
  <c r="AW9" i="9" s="1"/>
  <c r="AU9" i="9" a="1"/>
  <c r="AU9" i="9" s="1"/>
  <c r="AS9" i="9" a="1"/>
  <c r="AS9" i="9" s="1"/>
  <c r="AQ9" i="9" a="1"/>
  <c r="AQ9" i="9" s="1"/>
  <c r="AO9" i="9" a="1"/>
  <c r="AO9" i="9" s="1"/>
  <c r="AH9" i="9" a="1"/>
  <c r="AH9" i="9" s="1"/>
  <c r="AF9" i="9" a="1"/>
  <c r="AF9" i="9" s="1"/>
  <c r="AH8" i="9"/>
  <c r="BF7" i="9" a="1"/>
  <c r="BF7" i="9" s="1"/>
  <c r="BE7" i="9" a="1"/>
  <c r="BE7" i="9" s="1"/>
  <c r="BD7" i="9" a="1"/>
  <c r="BD7" i="9" s="1"/>
  <c r="BC7" i="9" a="1"/>
  <c r="BC7" i="9" s="1"/>
  <c r="BB7" i="9" a="1"/>
  <c r="BB7" i="9" s="1"/>
  <c r="BA7" i="9" a="1"/>
  <c r="BA7" i="9" s="1"/>
  <c r="AZ7" i="9" a="1"/>
  <c r="AZ7"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M7" i="9" a="1"/>
  <c r="AM7" i="9" s="1"/>
  <c r="AL7" i="9" a="1"/>
  <c r="AL7" i="9" s="1"/>
  <c r="AK7" i="9" a="1"/>
  <c r="AK7" i="9" s="1"/>
  <c r="AJ7" i="9" a="1"/>
  <c r="AJ7" i="9" s="1"/>
  <c r="AI7" i="9" a="1"/>
  <c r="AI7" i="9" s="1"/>
  <c r="AG7" i="9" a="1"/>
  <c r="AG7" i="9" s="1"/>
  <c r="AF7" i="9" a="1"/>
  <c r="AF7" i="9" s="1"/>
  <c r="AF8" i="9" s="1"/>
  <c r="AE7" i="9" a="1"/>
  <c r="AE7" i="9" s="1"/>
  <c r="BF6" i="9"/>
  <c r="BF2" i="9" s="1"/>
  <c r="BE6" i="9"/>
  <c r="BE8" i="9" s="1"/>
  <c r="BD6" i="9"/>
  <c r="BC6" i="9"/>
  <c r="BB6" i="9"/>
  <c r="BB2" i="9" s="1"/>
  <c r="BA6" i="9"/>
  <c r="BA8" i="9" s="1"/>
  <c r="AZ6" i="9"/>
  <c r="AY6" i="9"/>
  <c r="AX6" i="9"/>
  <c r="AX2" i="9" s="1"/>
  <c r="AW6" i="9"/>
  <c r="AW8" i="9" s="1"/>
  <c r="AV6" i="9"/>
  <c r="AU6" i="9"/>
  <c r="AT6" i="9"/>
  <c r="AT2" i="9" s="1"/>
  <c r="AS6" i="9"/>
  <c r="AS8" i="9" s="1"/>
  <c r="AR6" i="9"/>
  <c r="AQ6" i="9"/>
  <c r="AQ8" i="9" s="1"/>
  <c r="AP6" i="9"/>
  <c r="AP2" i="9" s="1"/>
  <c r="AO6" i="9"/>
  <c r="AO8" i="9" s="1"/>
  <c r="AN6" i="9" a="1"/>
  <c r="AN6" i="9" s="1"/>
  <c r="AM6" i="9" a="1"/>
  <c r="AM6" i="9" s="1"/>
  <c r="AL6" i="9" a="1"/>
  <c r="AL6" i="9" s="1"/>
  <c r="AK6" i="9" a="1"/>
  <c r="AK6" i="9" s="1"/>
  <c r="AJ6" i="9" a="1"/>
  <c r="AJ6" i="9" s="1"/>
  <c r="AI6" i="9"/>
  <c r="AI9" i="9" s="1" a="1"/>
  <c r="AI9" i="9" s="1"/>
  <c r="AH6" i="9"/>
  <c r="AG6" i="9"/>
  <c r="AG8" i="9" s="1"/>
  <c r="AF6" i="9"/>
  <c r="AE6" i="9"/>
  <c r="AE9" i="9" s="1" a="1"/>
  <c r="AE9" i="9" s="1"/>
  <c r="AQ58" i="8" a="1"/>
  <c r="AQ58" i="8" s="1"/>
  <c r="AP58" i="8" a="1"/>
  <c r="AP58" i="8" s="1"/>
  <c r="AO58" i="8" a="1"/>
  <c r="AO58" i="8" s="1"/>
  <c r="AN58" i="8" a="1"/>
  <c r="AN58" i="8" s="1"/>
  <c r="AC58" i="8"/>
  <c r="AM58" i="8" s="1" a="1"/>
  <c r="AM58" i="8" s="1"/>
  <c r="AQ57" i="8" a="1"/>
  <c r="AQ57" i="8" s="1"/>
  <c r="AP57" i="8" a="1"/>
  <c r="AP57" i="8" s="1"/>
  <c r="AO57" i="8" a="1"/>
  <c r="AO57" i="8" s="1"/>
  <c r="AN57" i="8" a="1"/>
  <c r="AN57" i="8" s="1"/>
  <c r="AM57" i="8" a="1"/>
  <c r="AM57" i="8" s="1"/>
  <c r="AC57" i="8"/>
  <c r="AQ56" i="8" a="1"/>
  <c r="AQ56" i="8" s="1"/>
  <c r="AP56" i="8" a="1"/>
  <c r="AP56" i="8" s="1"/>
  <c r="AO56" i="8" a="1"/>
  <c r="AO56" i="8" s="1"/>
  <c r="AN56" i="8" a="1"/>
  <c r="AN56" i="8" s="1"/>
  <c r="AC56" i="8"/>
  <c r="AM56" i="8" s="1" a="1"/>
  <c r="AM56" i="8" s="1"/>
  <c r="AQ55" i="8" a="1"/>
  <c r="AQ55" i="8" s="1"/>
  <c r="AP55" i="8" a="1"/>
  <c r="AP55" i="8" s="1"/>
  <c r="AO55" i="8" a="1"/>
  <c r="AO55" i="8" s="1"/>
  <c r="AN55" i="8" a="1"/>
  <c r="AN55" i="8" s="1"/>
  <c r="AM55" i="8" a="1"/>
  <c r="AM55" i="8" s="1"/>
  <c r="AC55" i="8"/>
  <c r="AQ54" i="8" a="1"/>
  <c r="AQ54" i="8" s="1"/>
  <c r="AP54" i="8" a="1"/>
  <c r="AP54" i="8" s="1"/>
  <c r="AO54" i="8" a="1"/>
  <c r="AO54" i="8" s="1"/>
  <c r="AN54" i="8" a="1"/>
  <c r="AN54" i="8" s="1"/>
  <c r="AC54" i="8"/>
  <c r="AM54" i="8" s="1" a="1"/>
  <c r="AM54" i="8" s="1"/>
  <c r="AQ53" i="8" a="1"/>
  <c r="AQ53" i="8" s="1"/>
  <c r="AP53" i="8" a="1"/>
  <c r="AP53" i="8" s="1"/>
  <c r="AO53" i="8" a="1"/>
  <c r="AO53" i="8" s="1"/>
  <c r="AN53" i="8" a="1"/>
  <c r="AN53" i="8" s="1"/>
  <c r="AM53" i="8" a="1"/>
  <c r="AM53" i="8" s="1"/>
  <c r="AC53" i="8"/>
  <c r="AQ52" i="8" a="1"/>
  <c r="AQ52" i="8" s="1"/>
  <c r="AP52" i="8" a="1"/>
  <c r="AP52" i="8" s="1"/>
  <c r="AO52" i="8" a="1"/>
  <c r="AO52" i="8" s="1"/>
  <c r="AN52" i="8" a="1"/>
  <c r="AN52" i="8" s="1"/>
  <c r="AC52" i="8"/>
  <c r="AM52" i="8" s="1" a="1"/>
  <c r="AM52" i="8" s="1"/>
  <c r="AQ51" i="8" a="1"/>
  <c r="AQ51" i="8" s="1"/>
  <c r="AP51" i="8" a="1"/>
  <c r="AP51" i="8" s="1"/>
  <c r="AO51" i="8" a="1"/>
  <c r="AO51" i="8" s="1"/>
  <c r="AN51" i="8" a="1"/>
  <c r="AN51" i="8" s="1"/>
  <c r="AM51" i="8" a="1"/>
  <c r="AM51" i="8" s="1"/>
  <c r="AC51" i="8"/>
  <c r="AQ50" i="8" a="1"/>
  <c r="AQ50" i="8" s="1"/>
  <c r="AP50" i="8" a="1"/>
  <c r="AP50" i="8" s="1"/>
  <c r="AO50" i="8" a="1"/>
  <c r="AO50" i="8" s="1"/>
  <c r="AN50" i="8" a="1"/>
  <c r="AN50" i="8" s="1"/>
  <c r="AC50" i="8"/>
  <c r="AM50" i="8" s="1" a="1"/>
  <c r="AM50" i="8" s="1"/>
  <c r="AQ49" i="8" a="1"/>
  <c r="AQ49" i="8" s="1"/>
  <c r="AP49" i="8" a="1"/>
  <c r="AP49" i="8" s="1"/>
  <c r="AO49" i="8" a="1"/>
  <c r="AO49" i="8" s="1"/>
  <c r="AN49" i="8" a="1"/>
  <c r="AN49" i="8" s="1"/>
  <c r="AM49" i="8" a="1"/>
  <c r="AM49" i="8" s="1"/>
  <c r="AC49" i="8"/>
  <c r="AQ48" i="8" a="1"/>
  <c r="AQ48" i="8" s="1"/>
  <c r="AP48" i="8" a="1"/>
  <c r="AP48" i="8" s="1"/>
  <c r="AO48" i="8" a="1"/>
  <c r="AO48" i="8" s="1"/>
  <c r="AN48" i="8" a="1"/>
  <c r="AN48" i="8" s="1"/>
  <c r="AC48" i="8"/>
  <c r="AM48" i="8" s="1" a="1"/>
  <c r="AM48" i="8" s="1"/>
  <c r="AQ47" i="8" a="1"/>
  <c r="AQ47" i="8" s="1"/>
  <c r="AP47" i="8" a="1"/>
  <c r="AP47" i="8" s="1"/>
  <c r="AO47" i="8" a="1"/>
  <c r="AO47" i="8" s="1"/>
  <c r="AN47" i="8" a="1"/>
  <c r="AN47" i="8" s="1"/>
  <c r="AM47" i="8" a="1"/>
  <c r="AM47" i="8" s="1"/>
  <c r="AC47" i="8"/>
  <c r="AQ46" i="8" a="1"/>
  <c r="AQ46" i="8" s="1"/>
  <c r="AP46" i="8" a="1"/>
  <c r="AP46" i="8" s="1"/>
  <c r="AO46" i="8" a="1"/>
  <c r="AO46" i="8" s="1"/>
  <c r="AN46" i="8" a="1"/>
  <c r="AN46" i="8" s="1"/>
  <c r="AC46" i="8"/>
  <c r="AM46" i="8" s="1" a="1"/>
  <c r="AM46" i="8" s="1"/>
  <c r="AQ45" i="8" a="1"/>
  <c r="AQ45" i="8" s="1"/>
  <c r="AP45" i="8" a="1"/>
  <c r="AP45" i="8" s="1"/>
  <c r="AO45" i="8" a="1"/>
  <c r="AO45" i="8" s="1"/>
  <c r="AN45" i="8" a="1"/>
  <c r="AN45" i="8" s="1"/>
  <c r="AM45" i="8" a="1"/>
  <c r="AM45" i="8" s="1"/>
  <c r="AC45" i="8"/>
  <c r="AQ44" i="8" a="1"/>
  <c r="AQ44" i="8" s="1"/>
  <c r="AP44" i="8" a="1"/>
  <c r="AP44" i="8" s="1"/>
  <c r="AO44" i="8" a="1"/>
  <c r="AO44" i="8" s="1"/>
  <c r="AN44" i="8" a="1"/>
  <c r="AN44" i="8" s="1"/>
  <c r="AC44" i="8"/>
  <c r="AM44" i="8" s="1" a="1"/>
  <c r="AM44" i="8" s="1"/>
  <c r="AQ43" i="8" a="1"/>
  <c r="AQ43" i="8" s="1"/>
  <c r="AP43" i="8" a="1"/>
  <c r="AP43" i="8" s="1"/>
  <c r="AO43" i="8" a="1"/>
  <c r="AO43" i="8" s="1"/>
  <c r="AN43" i="8" a="1"/>
  <c r="AN43" i="8" s="1"/>
  <c r="AM43" i="8" a="1"/>
  <c r="AM43" i="8" s="1"/>
  <c r="AC43" i="8"/>
  <c r="AQ42" i="8" a="1"/>
  <c r="AQ42" i="8" s="1"/>
  <c r="AP42" i="8" a="1"/>
  <c r="AP42" i="8" s="1"/>
  <c r="AO42" i="8" a="1"/>
  <c r="AO42" i="8" s="1"/>
  <c r="AN42" i="8" a="1"/>
  <c r="AN42" i="8" s="1"/>
  <c r="AC42" i="8"/>
  <c r="AM42" i="8" s="1" a="1"/>
  <c r="AM42" i="8" s="1"/>
  <c r="AQ41" i="8" a="1"/>
  <c r="AQ41" i="8" s="1"/>
  <c r="AP41" i="8" a="1"/>
  <c r="AP41" i="8" s="1"/>
  <c r="AO41" i="8" a="1"/>
  <c r="AO41" i="8" s="1"/>
  <c r="AN41" i="8" a="1"/>
  <c r="AN41" i="8" s="1"/>
  <c r="AM41" i="8" a="1"/>
  <c r="AM41" i="8" s="1"/>
  <c r="AC41" i="8"/>
  <c r="AQ40" i="8" a="1"/>
  <c r="AQ40" i="8" s="1"/>
  <c r="AP40" i="8" a="1"/>
  <c r="AP40" i="8" s="1"/>
  <c r="AO40" i="8" a="1"/>
  <c r="AO40" i="8" s="1"/>
  <c r="AN40" i="8" a="1"/>
  <c r="AN40" i="8" s="1"/>
  <c r="AC40" i="8"/>
  <c r="AM40" i="8" s="1" a="1"/>
  <c r="AM40" i="8" s="1"/>
  <c r="AQ39" i="8" a="1"/>
  <c r="AQ39" i="8" s="1"/>
  <c r="AP39" i="8" a="1"/>
  <c r="AP39" i="8" s="1"/>
  <c r="AO39" i="8" a="1"/>
  <c r="AO39" i="8" s="1"/>
  <c r="AN39" i="8" a="1"/>
  <c r="AN39" i="8" s="1"/>
  <c r="AM39" i="8" a="1"/>
  <c r="AM39" i="8" s="1"/>
  <c r="AC39" i="8"/>
  <c r="AQ38" i="8" a="1"/>
  <c r="AQ38" i="8" s="1"/>
  <c r="AP38" i="8" a="1"/>
  <c r="AP38" i="8" s="1"/>
  <c r="AO38" i="8" a="1"/>
  <c r="AO38" i="8" s="1"/>
  <c r="AN38" i="8" a="1"/>
  <c r="AN38" i="8" s="1"/>
  <c r="AC38" i="8"/>
  <c r="AM38" i="8" s="1" a="1"/>
  <c r="AM38" i="8" s="1"/>
  <c r="AQ37" i="8" a="1"/>
  <c r="AQ37" i="8" s="1"/>
  <c r="AP37" i="8" a="1"/>
  <c r="AP37" i="8" s="1"/>
  <c r="AO37" i="8" a="1"/>
  <c r="AO37" i="8" s="1"/>
  <c r="AN37" i="8" a="1"/>
  <c r="AN37" i="8" s="1"/>
  <c r="AM37" i="8" a="1"/>
  <c r="AM37" i="8" s="1"/>
  <c r="AC37" i="8"/>
  <c r="AQ36" i="8" a="1"/>
  <c r="AQ36" i="8" s="1"/>
  <c r="AP36" i="8" a="1"/>
  <c r="AP36" i="8" s="1"/>
  <c r="AO36" i="8" a="1"/>
  <c r="AO36" i="8" s="1"/>
  <c r="AN36" i="8" a="1"/>
  <c r="AN36" i="8" s="1"/>
  <c r="AC36" i="8"/>
  <c r="AM36" i="8" s="1" a="1"/>
  <c r="AM36" i="8" s="1"/>
  <c r="AQ35" i="8" a="1"/>
  <c r="AQ35" i="8" s="1"/>
  <c r="AP35" i="8" a="1"/>
  <c r="AP35" i="8" s="1"/>
  <c r="AO35" i="8" a="1"/>
  <c r="AO35" i="8" s="1"/>
  <c r="AN35" i="8" a="1"/>
  <c r="AN35" i="8" s="1"/>
  <c r="AM35" i="8" a="1"/>
  <c r="AM35" i="8" s="1"/>
  <c r="AC35" i="8"/>
  <c r="AQ34" i="8" a="1"/>
  <c r="AQ34" i="8" s="1"/>
  <c r="AP34" i="8" a="1"/>
  <c r="AP34" i="8" s="1"/>
  <c r="AO34" i="8" a="1"/>
  <c r="AO34" i="8" s="1"/>
  <c r="AN34" i="8" a="1"/>
  <c r="AN34" i="8" s="1"/>
  <c r="AC34" i="8"/>
  <c r="AM34" i="8" s="1" a="1"/>
  <c r="AM34" i="8" s="1"/>
  <c r="AQ33" i="8" a="1"/>
  <c r="AQ33" i="8" s="1"/>
  <c r="AP33" i="8" a="1"/>
  <c r="AP33" i="8" s="1"/>
  <c r="AO33" i="8" a="1"/>
  <c r="AO33" i="8" s="1"/>
  <c r="AN33" i="8" a="1"/>
  <c r="AN33" i="8" s="1"/>
  <c r="AM33" i="8" a="1"/>
  <c r="AM33" i="8" s="1"/>
  <c r="AC33" i="8"/>
  <c r="AQ32" i="8" a="1"/>
  <c r="AQ32" i="8" s="1"/>
  <c r="AP32" i="8" a="1"/>
  <c r="AP32" i="8" s="1"/>
  <c r="AO32" i="8" a="1"/>
  <c r="AO32" i="8" s="1"/>
  <c r="AN32" i="8" a="1"/>
  <c r="AN32" i="8" s="1"/>
  <c r="AC32" i="8"/>
  <c r="AM32" i="8" s="1" a="1"/>
  <c r="AM32" i="8" s="1"/>
  <c r="U30" i="8"/>
  <c r="F30" i="8" a="1"/>
  <c r="F30" i="8"/>
  <c r="F31" i="8" s="1" a="1"/>
  <c r="F31" i="8" s="1"/>
  <c r="F32" i="8" s="1" a="1"/>
  <c r="F32" i="8" s="1"/>
  <c r="AQ28" i="8" a="1"/>
  <c r="AQ28" i="8" s="1"/>
  <c r="AP28" i="8" a="1"/>
  <c r="AP28" i="8" s="1"/>
  <c r="AO28" i="8" a="1"/>
  <c r="AO28" i="8" s="1"/>
  <c r="AN28" i="8" a="1"/>
  <c r="AN28" i="8" s="1"/>
  <c r="AM28" i="8" a="1"/>
  <c r="AM28" i="8" s="1"/>
  <c r="AC28" i="8"/>
  <c r="U26" i="8"/>
  <c r="F26" i="8" a="1"/>
  <c r="F26" i="8"/>
  <c r="F27" i="8" s="1" a="1"/>
  <c r="F27" i="8" s="1"/>
  <c r="F28" i="8" s="1" a="1"/>
  <c r="F28" i="8" s="1"/>
  <c r="AH9" i="8" a="1"/>
  <c r="AH9" i="8"/>
  <c r="V63" i="7"/>
  <c r="V62" i="7"/>
  <c r="V61" i="7"/>
  <c r="V60" i="7"/>
  <c r="V59" i="7"/>
  <c r="V58" i="7"/>
  <c r="V57" i="7"/>
  <c r="V56" i="7"/>
  <c r="V55" i="7"/>
  <c r="V54" i="7"/>
  <c r="J50" i="7" a="1"/>
  <c r="J50" i="7"/>
  <c r="AP48" i="7" a="1"/>
  <c r="AP48" i="7"/>
  <c r="AO48" i="7" a="1"/>
  <c r="AO48" i="7"/>
  <c r="J48" i="7"/>
  <c r="J47" i="7"/>
  <c r="J46" i="7"/>
  <c r="J45" i="7"/>
  <c r="AI44" i="7"/>
  <c r="J44" i="7"/>
  <c r="J43" i="7"/>
  <c r="J42" i="7"/>
  <c r="J41" i="7"/>
  <c r="V40" i="7"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J40" i="7"/>
  <c r="V39" i="7"/>
  <c r="T39" i="7" a="1"/>
  <c r="T39" i="7"/>
  <c r="B40" i="7" s="1"/>
  <c r="F39" i="7" a="1"/>
  <c r="F39" i="7"/>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s="1"/>
  <c r="AI24" i="7"/>
  <c r="AH24" i="7"/>
  <c r="AG24" i="7"/>
  <c r="AF24" i="7"/>
  <c r="AJ11" i="7" a="1"/>
  <c r="AJ11" i="7" s="1"/>
  <c r="AI10" i="7" a="1"/>
  <c r="AI10" i="7" s="1"/>
  <c r="AH10" i="7" a="1"/>
  <c r="AH10" i="7" s="1"/>
  <c r="AG10" i="7" a="1"/>
  <c r="AG10" i="7" s="1"/>
  <c r="AF10" i="7" a="1"/>
  <c r="AF10" i="7" s="1"/>
  <c r="AF9" i="7" a="1"/>
  <c r="AF9" i="7" s="1"/>
  <c r="AF7" i="7" a="1"/>
  <c r="AF7" i="7" s="1"/>
  <c r="AJ6" i="7" a="1"/>
  <c r="AJ6" i="7" s="1"/>
  <c r="AI6" i="7" a="1"/>
  <c r="AI6" i="7" s="1"/>
  <c r="AI9" i="7" s="1" a="1"/>
  <c r="AI9" i="7" s="1"/>
  <c r="AH6" i="7" a="1"/>
  <c r="AH6" i="7" s="1"/>
  <c r="AH9" i="7" s="1" a="1"/>
  <c r="AH9" i="7" s="1"/>
  <c r="AG6" i="7"/>
  <c r="AG9" i="7" s="1" a="1"/>
  <c r="AG9" i="7" s="1"/>
  <c r="AF6" i="7"/>
  <c r="AG2" i="7"/>
  <c r="AF2" i="7"/>
  <c r="U32" i="6" a="1"/>
  <c r="U32" i="6" s="1"/>
  <c r="AM31" i="6" a="1"/>
  <c r="AM31" i="6" s="1"/>
  <c r="AL31" i="6" a="1"/>
  <c r="AL31" i="6" s="1"/>
  <c r="AK31" i="6" a="1"/>
  <c r="AK31" i="6" s="1"/>
  <c r="G31" i="6" a="1"/>
  <c r="G31" i="6"/>
  <c r="AM30" i="6" a="1"/>
  <c r="AM30" i="6"/>
  <c r="AL30" i="6" a="1"/>
  <c r="AL30" i="6"/>
  <c r="AK30" i="6" a="1"/>
  <c r="AK30" i="6"/>
  <c r="G30" i="6" a="1"/>
  <c r="G30" i="6" s="1"/>
  <c r="U29" i="6"/>
  <c r="F29" i="6" a="1"/>
  <c r="F29" i="6"/>
  <c r="F30" i="6" s="1" a="1"/>
  <c r="F30" i="6" s="1"/>
  <c r="AM27" i="6" a="1"/>
  <c r="AM27" i="6"/>
  <c r="AL27" i="6" a="1"/>
  <c r="AL27" i="6"/>
  <c r="AK27" i="6" a="1"/>
  <c r="AK27" i="6"/>
  <c r="G27" i="6" a="1"/>
  <c r="G27" i="6" s="1"/>
  <c r="U26" i="6"/>
  <c r="U28" i="6" s="1" a="1"/>
  <c r="U28" i="6" s="1"/>
  <c r="F26" i="6" a="1"/>
  <c r="F26" i="6"/>
  <c r="F27" i="6" s="1" a="1"/>
  <c r="F27" i="6" s="1"/>
  <c r="AG9" i="6" a="1"/>
  <c r="AG9" i="6"/>
  <c r="AF9" i="6" a="1"/>
  <c r="AF9" i="6"/>
  <c r="B222" i="5"/>
  <c r="AE219" i="5" a="1"/>
  <c r="AE219" i="5" s="1"/>
  <c r="B219" i="5"/>
  <c r="AE218" i="5" a="1"/>
  <c r="AE218" i="5"/>
  <c r="B218" i="5"/>
  <c r="AE217" i="5" a="1"/>
  <c r="AE217" i="5" s="1"/>
  <c r="AE216" i="5" a="1"/>
  <c r="AE216" i="5" s="1"/>
  <c r="W214" i="5"/>
  <c r="AE207" i="5" a="1"/>
  <c r="AE207" i="5"/>
  <c r="B207" i="5"/>
  <c r="AE206" i="5" a="1"/>
  <c r="AE206" i="5"/>
  <c r="AE204" i="5" s="1"/>
  <c r="AD206" i="5"/>
  <c r="B206" i="5"/>
  <c r="B205" i="5"/>
  <c r="B204" i="5"/>
  <c r="B203" i="5"/>
  <c r="B202" i="5"/>
  <c r="B201" i="5"/>
  <c r="AD199" i="5"/>
  <c r="AM194" i="5" a="1"/>
  <c r="AM194" i="5" s="1"/>
  <c r="AK194" i="5" a="1"/>
  <c r="AK194" i="5" s="1"/>
  <c r="AJ194" i="5" a="1"/>
  <c r="AJ194" i="5" s="1"/>
  <c r="AD88" i="27" s="1" a="1"/>
  <c r="AD88" i="27" s="1"/>
  <c r="AI194" i="5" a="1"/>
  <c r="AI194" i="5" s="1"/>
  <c r="AH194" i="5" a="1"/>
  <c r="AH194" i="5" s="1"/>
  <c r="AG194" i="5"/>
  <c r="AB29" i="6" s="1" a="1"/>
  <c r="AB29" i="6" s="1"/>
  <c r="AD194" i="5"/>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c r="F194" i="5" a="1"/>
  <c r="F194" i="5"/>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AD185" i="5"/>
  <c r="AM180" i="5" a="1"/>
  <c r="AM180" i="5" s="1"/>
  <c r="AL180" i="5" a="1"/>
  <c r="AL180" i="5" s="1"/>
  <c r="AK180" i="5" a="1"/>
  <c r="AK180" i="5" s="1"/>
  <c r="AJ180" i="5" a="1"/>
  <c r="AJ180" i="5" s="1"/>
  <c r="AD32" i="27" s="1" a="1"/>
  <c r="AD32" i="27" s="1"/>
  <c r="AI180" i="5" a="1"/>
  <c r="AI180" i="5" s="1"/>
  <c r="AH180" i="5" a="1"/>
  <c r="AH180" i="5" s="1"/>
  <c r="AG180" i="5"/>
  <c r="AD180" i="5"/>
  <c r="W180" i="5"/>
  <c r="W181" i="5" s="1"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V180" i="5" a="1"/>
  <c r="V180" i="5"/>
  <c r="F180" i="5" a="1"/>
  <c r="F180" i="5"/>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B172" i="5"/>
  <c r="W171" i="5"/>
  <c r="B149" i="5"/>
  <c r="B148" i="5"/>
  <c r="B147" i="5"/>
  <c r="B146" i="5"/>
  <c r="B145" i="5"/>
  <c r="B144" i="5"/>
  <c r="W143" i="5"/>
  <c r="W144" i="5" s="1" a="1"/>
  <c r="W144" i="5" s="1"/>
  <c r="W145" i="5" s="1" a="1"/>
  <c r="W145" i="5" s="1"/>
  <c r="W146" i="5" s="1" a="1"/>
  <c r="W146" i="5" s="1"/>
  <c r="W147" i="5" s="1" a="1"/>
  <c r="W147" i="5" s="1"/>
  <c r="W148" i="5" s="1" a="1"/>
  <c r="W148" i="5" s="1"/>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B116" i="5"/>
  <c r="W115" i="5"/>
  <c r="W116" i="5" s="1" a="1"/>
  <c r="W116" i="5" s="1"/>
  <c r="W117" i="5" s="1" a="1"/>
  <c r="W117" i="5" s="1"/>
  <c r="W118" i="5" s="1" a="1"/>
  <c r="W118" i="5" s="1"/>
  <c r="W119" i="5" s="1" a="1"/>
  <c r="W119" i="5" s="1"/>
  <c r="W120" i="5" s="1" a="1"/>
  <c r="W120" i="5" s="1"/>
  <c r="B115" i="5"/>
  <c r="B114" i="5"/>
  <c r="B113" i="5"/>
  <c r="B112" i="5"/>
  <c r="B111" i="5"/>
  <c r="B110" i="5"/>
  <c r="B109" i="5"/>
  <c r="AB108" i="5"/>
  <c r="B108" i="5"/>
  <c r="B107" i="5"/>
  <c r="B106" i="5"/>
  <c r="B105" i="5"/>
  <c r="B104" i="5"/>
  <c r="W103" i="5" a="1"/>
  <c r="W103" i="5" s="1"/>
  <c r="W104" i="5" s="1" a="1"/>
  <c r="W104" i="5" s="1"/>
  <c r="W105" i="5" s="1" a="1"/>
  <c r="W105" i="5" s="1"/>
  <c r="W106" i="5" s="1" a="1"/>
  <c r="W106" i="5" s="1"/>
  <c r="B103" i="5"/>
  <c r="W102" i="5"/>
  <c r="B102" i="5"/>
  <c r="B101" i="5"/>
  <c r="B100" i="5"/>
  <c r="B99" i="5"/>
  <c r="B98" i="5"/>
  <c r="B97" i="5"/>
  <c r="B96" i="5"/>
  <c r="B95" i="5"/>
  <c r="B94" i="5"/>
  <c r="B93" i="5"/>
  <c r="B92" i="5"/>
  <c r="B91" i="5"/>
  <c r="W90" i="5"/>
  <c r="W91" i="5" s="1" a="1"/>
  <c r="W91" i="5" s="1"/>
  <c r="W92" i="5" s="1" a="1"/>
  <c r="W92" i="5" s="1"/>
  <c r="W93" i="5" s="1" a="1"/>
  <c r="W93" i="5" s="1"/>
  <c r="W94" i="5" s="1" a="1"/>
  <c r="W94" i="5" s="1"/>
  <c r="B90" i="5"/>
  <c r="B89" i="5"/>
  <c r="B88" i="5"/>
  <c r="B87" i="5"/>
  <c r="B86" i="5"/>
  <c r="B85" i="5"/>
  <c r="B83" i="5"/>
  <c r="B82" i="5"/>
  <c r="B81" i="5"/>
  <c r="B80" i="5"/>
  <c r="B79" i="5"/>
  <c r="W78" i="5"/>
  <c r="W79" i="5" s="1" a="1"/>
  <c r="W79" i="5" s="1"/>
  <c r="W80" i="5" s="1" a="1"/>
  <c r="W80" i="5" s="1"/>
  <c r="W81" i="5" s="1" a="1"/>
  <c r="W81" i="5" s="1"/>
  <c r="W82" i="5" s="1" a="1"/>
  <c r="W82" i="5" s="1"/>
  <c r="B78" i="5"/>
  <c r="B77" i="5"/>
  <c r="B76" i="5"/>
  <c r="B75" i="5"/>
  <c r="B74" i="5"/>
  <c r="B73" i="5"/>
  <c r="B69" i="5"/>
  <c r="B68" i="5"/>
  <c r="B67" i="5"/>
  <c r="B66" i="5"/>
  <c r="B65" i="5"/>
  <c r="B64" i="5"/>
  <c r="B63" i="5"/>
  <c r="W62" i="5"/>
  <c r="B62" i="5"/>
  <c r="B61" i="5"/>
  <c r="B60" i="5"/>
  <c r="AL33" i="5"/>
  <c r="AC21" i="12" s="1" a="1"/>
  <c r="AC21" i="12" s="1"/>
  <c r="AE27" i="5"/>
  <c r="B27" i="5"/>
  <c r="B26" i="5"/>
  <c r="AG25" i="5" a="1"/>
  <c r="AG25" i="5" s="1"/>
  <c r="AF25" i="5"/>
  <c r="AB35" i="5" s="1"/>
  <c r="B25" i="5"/>
  <c r="AI24" i="5"/>
  <c r="AI23" i="5"/>
  <c r="AH23" i="5"/>
  <c r="AF22" i="5" a="1"/>
  <c r="AF22" i="5"/>
  <c r="B53" i="4"/>
  <c r="B52" i="4"/>
  <c r="B51" i="4"/>
  <c r="B50" i="4"/>
  <c r="B49" i="4"/>
  <c r="B48" i="4"/>
  <c r="B47" i="4"/>
  <c r="B46" i="4"/>
  <c r="B45" i="4"/>
  <c r="B43" i="4"/>
  <c r="B42" i="4"/>
  <c r="B41" i="4"/>
  <c r="B40" i="4"/>
  <c r="B39" i="4"/>
  <c r="B38" i="4"/>
  <c r="B37" i="4"/>
  <c r="B36" i="4"/>
  <c r="B35" i="4"/>
  <c r="B34" i="4"/>
  <c r="B33" i="4"/>
  <c r="B32" i="4"/>
  <c r="B31" i="4"/>
  <c r="B29" i="4"/>
  <c r="B28" i="4"/>
  <c r="BL2" i="30" l="1"/>
  <c r="BH2" i="30"/>
  <c r="BD2" i="30"/>
  <c r="AZ2" i="30"/>
  <c r="AV2" i="30"/>
  <c r="AR2" i="30"/>
  <c r="AN2" i="30"/>
  <c r="BK2" i="30"/>
  <c r="BG2" i="30"/>
  <c r="BC2" i="30"/>
  <c r="AY2" i="30"/>
  <c r="AU2" i="30"/>
  <c r="AQ2" i="30"/>
  <c r="AM2" i="30"/>
  <c r="BJ2" i="30"/>
  <c r="BF2" i="30"/>
  <c r="BB2" i="30"/>
  <c r="AX2" i="30"/>
  <c r="AT2" i="30"/>
  <c r="AP2" i="30"/>
  <c r="AL2" i="30"/>
  <c r="BM2" i="30"/>
  <c r="BI2" i="30"/>
  <c r="BE2" i="30"/>
  <c r="BA2" i="30"/>
  <c r="AW2" i="30"/>
  <c r="AS2" i="30"/>
  <c r="AO2" i="30"/>
  <c r="AK2" i="30"/>
  <c r="BK2" i="29"/>
  <c r="BG2" i="29"/>
  <c r="AQ2" i="29"/>
  <c r="AM2" i="29"/>
  <c r="BB2" i="29"/>
  <c r="AX2" i="29"/>
  <c r="AP2" i="29"/>
  <c r="AL2" i="29"/>
  <c r="BM2" i="29"/>
  <c r="BI2" i="29"/>
  <c r="BE2" i="29"/>
  <c r="BA2" i="29"/>
  <c r="AW2" i="29"/>
  <c r="AS2" i="29"/>
  <c r="AO2" i="29"/>
  <c r="AK2" i="29"/>
  <c r="BL2" i="29"/>
  <c r="BH2" i="29"/>
  <c r="AZ2" i="29"/>
  <c r="AV2" i="29"/>
  <c r="AR2" i="29"/>
  <c r="AN2" i="29"/>
  <c r="FV2" i="27"/>
  <c r="FR2" i="27"/>
  <c r="FN2" i="27"/>
  <c r="FJ2" i="27"/>
  <c r="FF2" i="27"/>
  <c r="FB2" i="27"/>
  <c r="EX2" i="27"/>
  <c r="ET2" i="27"/>
  <c r="EP2" i="27"/>
  <c r="EL2" i="27"/>
  <c r="EH2" i="27"/>
  <c r="ED2" i="27"/>
  <c r="DZ2" i="27"/>
  <c r="DV2" i="27"/>
  <c r="DR2" i="27"/>
  <c r="DN2" i="27"/>
  <c r="DJ2" i="27"/>
  <c r="DF2" i="27"/>
  <c r="DB2" i="27"/>
  <c r="CX2" i="27"/>
  <c r="CT2" i="27"/>
  <c r="CP2" i="27"/>
  <c r="CL2" i="27"/>
  <c r="CH2" i="27"/>
  <c r="CD2" i="27"/>
  <c r="BZ2" i="27"/>
  <c r="BV2" i="27"/>
  <c r="BR2" i="27"/>
  <c r="BN2" i="27"/>
  <c r="BJ2" i="27"/>
  <c r="BF2" i="27"/>
  <c r="BB2" i="27"/>
  <c r="AX2" i="27"/>
  <c r="AT2" i="27"/>
  <c r="AP2" i="27"/>
  <c r="AL2" i="27"/>
  <c r="AH2" i="27"/>
  <c r="AW2" i="24"/>
  <c r="AS2" i="24"/>
  <c r="AO2" i="24"/>
  <c r="AK2" i="24"/>
  <c r="AG2" i="24"/>
  <c r="BA2" i="23"/>
  <c r="AW2" i="23"/>
  <c r="AS2" i="23"/>
  <c r="AO2" i="23"/>
  <c r="AZ2" i="22"/>
  <c r="AV2" i="22"/>
  <c r="AR2" i="22"/>
  <c r="AN2" i="22"/>
  <c r="AJ2" i="22"/>
  <c r="AI2" i="19"/>
  <c r="AQ2" i="18"/>
  <c r="AM2" i="18"/>
  <c r="AI2" i="18"/>
  <c r="BD2" i="23"/>
  <c r="AZ2" i="23"/>
  <c r="AV2" i="23"/>
  <c r="AR2" i="23"/>
  <c r="AN2" i="23"/>
  <c r="BB2" i="18"/>
  <c r="AX2" i="18"/>
  <c r="AT2" i="18"/>
  <c r="BA2" i="16"/>
  <c r="AW2" i="16"/>
  <c r="FT2" i="27"/>
  <c r="FP2" i="27"/>
  <c r="FL2" i="27"/>
  <c r="FH2" i="27"/>
  <c r="FD2" i="27"/>
  <c r="EZ2" i="27"/>
  <c r="EV2" i="27"/>
  <c r="ER2" i="27"/>
  <c r="EN2" i="27"/>
  <c r="EJ2" i="27"/>
  <c r="EF2" i="27"/>
  <c r="EB2" i="27"/>
  <c r="DX2" i="27"/>
  <c r="DT2" i="27"/>
  <c r="DP2" i="27"/>
  <c r="DL2" i="27"/>
  <c r="DH2" i="27"/>
  <c r="DD2" i="27"/>
  <c r="CZ2" i="27"/>
  <c r="CV2" i="27"/>
  <c r="CR2" i="27"/>
  <c r="CN2" i="27"/>
  <c r="CJ2" i="27"/>
  <c r="CF2" i="27"/>
  <c r="CB2" i="27"/>
  <c r="BX2" i="27"/>
  <c r="BT2" i="27"/>
  <c r="BP2" i="27"/>
  <c r="BL2" i="27"/>
  <c r="BH2" i="27"/>
  <c r="BD2" i="27"/>
  <c r="AZ2" i="27"/>
  <c r="AV2" i="27"/>
  <c r="AR2" i="27"/>
  <c r="AN2" i="27"/>
  <c r="AJ2" i="27"/>
  <c r="BC2" i="23"/>
  <c r="AY2" i="23"/>
  <c r="AP2" i="22"/>
  <c r="AL2" i="22"/>
  <c r="FW2" i="27"/>
  <c r="FS2" i="27"/>
  <c r="FO2" i="27"/>
  <c r="FK2" i="27"/>
  <c r="FG2" i="27"/>
  <c r="FC2" i="27"/>
  <c r="EY2" i="27"/>
  <c r="EU2" i="27"/>
  <c r="EQ2" i="27"/>
  <c r="EM2" i="27"/>
  <c r="EI2" i="27"/>
  <c r="EE2" i="27"/>
  <c r="EA2" i="27"/>
  <c r="DW2" i="27"/>
  <c r="DS2" i="27"/>
  <c r="DO2" i="27"/>
  <c r="DK2" i="27"/>
  <c r="DG2" i="27"/>
  <c r="DC2" i="27"/>
  <c r="CY2" i="27"/>
  <c r="CU2" i="27"/>
  <c r="CQ2" i="27"/>
  <c r="CM2" i="27"/>
  <c r="CI2" i="27"/>
  <c r="CE2" i="27"/>
  <c r="CA2" i="27"/>
  <c r="BW2" i="27"/>
  <c r="BS2" i="27"/>
  <c r="BO2" i="27"/>
  <c r="BK2" i="27"/>
  <c r="BG2" i="27"/>
  <c r="BC2" i="27"/>
  <c r="AY2" i="27"/>
  <c r="AU2" i="27"/>
  <c r="AQ2" i="27"/>
  <c r="AM2" i="27"/>
  <c r="AI2" i="27"/>
  <c r="AX2" i="24"/>
  <c r="AT2" i="24"/>
  <c r="AP2" i="24"/>
  <c r="AL2" i="24"/>
  <c r="AH2" i="24"/>
  <c r="BB2" i="23"/>
  <c r="AX2" i="23"/>
  <c r="BA2" i="22"/>
  <c r="AW2" i="22"/>
  <c r="AS2" i="22"/>
  <c r="AO2" i="22"/>
  <c r="AK2" i="22"/>
  <c r="AZ2" i="18"/>
  <c r="AV2" i="18"/>
  <c r="AY2" i="16"/>
  <c r="AU2" i="16"/>
  <c r="AS2" i="18"/>
  <c r="AX2" i="16"/>
  <c r="AP2" i="16"/>
  <c r="AY2" i="15"/>
  <c r="AU2" i="15"/>
  <c r="AQ2" i="15"/>
  <c r="AM2" i="15"/>
  <c r="AI2" i="15"/>
  <c r="BA2" i="14"/>
  <c r="AW2" i="14"/>
  <c r="AZ2" i="13"/>
  <c r="AV2" i="13"/>
  <c r="AR2" i="13"/>
  <c r="AN2" i="13"/>
  <c r="AJ2" i="13"/>
  <c r="AZ2" i="11"/>
  <c r="AV2" i="11"/>
  <c r="AR2" i="11"/>
  <c r="AN2" i="11"/>
  <c r="AJ2" i="11"/>
  <c r="AZ2" i="10"/>
  <c r="AV2" i="10"/>
  <c r="AQ2" i="10"/>
  <c r="AM2" i="10"/>
  <c r="AI2" i="10"/>
  <c r="AO2" i="18"/>
  <c r="AV2" i="16"/>
  <c r="AN2" i="16"/>
  <c r="BB2" i="15"/>
  <c r="AX2" i="15"/>
  <c r="AT2" i="15"/>
  <c r="BE2" i="9"/>
  <c r="BA2" i="9"/>
  <c r="AW2" i="9"/>
  <c r="AS2" i="9"/>
  <c r="AO2" i="9"/>
  <c r="BA2" i="18"/>
  <c r="AK2" i="18"/>
  <c r="AE2" i="17"/>
  <c r="BB2" i="16"/>
  <c r="AT2" i="16"/>
  <c r="AL2" i="16"/>
  <c r="AP2" i="13"/>
  <c r="AL2" i="13"/>
  <c r="AP2" i="11"/>
  <c r="AL2" i="11"/>
  <c r="AX2" i="10"/>
  <c r="AT2" i="10"/>
  <c r="AO2" i="10"/>
  <c r="AK2" i="10"/>
  <c r="AW2" i="18"/>
  <c r="AZ2" i="16"/>
  <c r="AR2" i="16"/>
  <c r="AJ2" i="16"/>
  <c r="AZ2" i="15"/>
  <c r="AV2" i="15"/>
  <c r="AR2" i="15"/>
  <c r="AN2" i="15"/>
  <c r="AJ2" i="15"/>
  <c r="BB2" i="14"/>
  <c r="AX2" i="14"/>
  <c r="AT2" i="14"/>
  <c r="AP2" i="14"/>
  <c r="AL2" i="14"/>
  <c r="BA2" i="13"/>
  <c r="AW2" i="13"/>
  <c r="AS2" i="13"/>
  <c r="AO2" i="13"/>
  <c r="AK2" i="13"/>
  <c r="BA2" i="11"/>
  <c r="AW2" i="11"/>
  <c r="BC2" i="9"/>
  <c r="AY2" i="9"/>
  <c r="AU2" i="9"/>
  <c r="AQ2" i="9"/>
  <c r="AC48" i="7"/>
  <c r="B41" i="7" a="1"/>
  <c r="B41" i="7" s="1"/>
  <c r="G27" i="30" a="1"/>
  <c r="G27" i="30" s="1"/>
  <c r="G27" i="29" a="1"/>
  <c r="G27" i="29" s="1"/>
  <c r="G27" i="28" a="1"/>
  <c r="G27" i="28" s="1"/>
  <c r="G29" i="27" a="1"/>
  <c r="G29" i="27" s="1"/>
  <c r="R29" i="27" a="1"/>
  <c r="R29" i="27" s="1"/>
  <c r="AD86" i="27" a="1"/>
  <c r="AD86" i="27" s="1"/>
  <c r="AE156" i="11" a="1"/>
  <c r="AE156" i="11" s="1"/>
  <c r="AE172" i="11" a="1"/>
  <c r="AE172" i="11" s="1"/>
  <c r="AE198" i="11" a="1"/>
  <c r="AE198" i="11" s="1"/>
  <c r="AE119" i="11" a="1"/>
  <c r="AE119" i="11" s="1"/>
  <c r="B32" i="7"/>
  <c r="B33" i="7"/>
  <c r="AC34" i="7" s="1"/>
  <c r="AC35" i="7" s="1"/>
  <c r="B30" i="7"/>
  <c r="B34" i="7"/>
  <c r="B35" i="7" s="1" a="1"/>
  <c r="B35" i="7" s="1"/>
  <c r="B28" i="7"/>
  <c r="U32" i="8"/>
  <c r="F33" i="8" a="1"/>
  <c r="F33" i="8" s="1"/>
  <c r="AJ8" i="9"/>
  <c r="AJ9" i="9" a="1"/>
  <c r="AJ9" i="9" s="1"/>
  <c r="AN8" i="9"/>
  <c r="AN9" i="9" a="1"/>
  <c r="AN9" i="9" s="1"/>
  <c r="AR8" i="9"/>
  <c r="AV8" i="9"/>
  <c r="AZ8" i="9"/>
  <c r="BD8" i="9"/>
  <c r="U34" i="9" a="1"/>
  <c r="U34" i="9" s="1"/>
  <c r="U35" i="9" a="1"/>
  <c r="U35" i="9" s="1"/>
  <c r="U36" i="9" s="1" a="1"/>
  <c r="U36" i="9" s="1"/>
  <c r="U37" i="9" s="1" a="1"/>
  <c r="U37" i="9" s="1"/>
  <c r="U38" i="9" s="1" a="1"/>
  <c r="U38" i="9" s="1"/>
  <c r="U39" i="9" s="1" a="1"/>
  <c r="U39" i="9" s="1"/>
  <c r="U62" i="9" a="1"/>
  <c r="U62" i="9" s="1"/>
  <c r="U63" i="9" s="1" a="1"/>
  <c r="U63" i="9" s="1"/>
  <c r="U64" i="9" s="1" a="1"/>
  <c r="U64" i="9" s="1"/>
  <c r="U65" i="9" s="1" a="1"/>
  <c r="U65" i="9" s="1"/>
  <c r="U66" i="9" s="1" a="1"/>
  <c r="U66" i="9" s="1"/>
  <c r="U61" i="9" a="1"/>
  <c r="U61" i="9" s="1"/>
  <c r="AU2" i="10"/>
  <c r="AY2" i="10"/>
  <c r="AF130" i="11" a="1"/>
  <c r="AF130" i="11" s="1"/>
  <c r="AF120" i="11"/>
  <c r="AF50" i="14" s="1" a="1"/>
  <c r="AF50" i="14" s="1"/>
  <c r="AF52" i="14" s="1"/>
  <c r="AF134" i="11"/>
  <c r="AJ134" i="11"/>
  <c r="AJ120" i="11"/>
  <c r="AJ50" i="14" s="1" a="1"/>
  <c r="AJ50" i="14" s="1"/>
  <c r="AJ52" i="14" s="1"/>
  <c r="AJ130" i="11" a="1"/>
  <c r="AJ130" i="11" s="1"/>
  <c r="AN134" i="11"/>
  <c r="AN120" i="11"/>
  <c r="AR134" i="11"/>
  <c r="AR120" i="11"/>
  <c r="AV134" i="11"/>
  <c r="AV120" i="11"/>
  <c r="AZ134" i="11"/>
  <c r="AZ120" i="11"/>
  <c r="AK120" i="11"/>
  <c r="AK50" i="14" s="1" a="1"/>
  <c r="AK50" i="14" s="1"/>
  <c r="AK52" i="14" s="1"/>
  <c r="AK130" i="11" a="1"/>
  <c r="AK130" i="11" s="1"/>
  <c r="AK134" i="11"/>
  <c r="AO120" i="11"/>
  <c r="AO134" i="11"/>
  <c r="AS120" i="11"/>
  <c r="AS50" i="14" s="1" a="1"/>
  <c r="AS50" i="14" s="1"/>
  <c r="AS52" i="14" s="1"/>
  <c r="AS134" i="11"/>
  <c r="AF82" i="31" s="1" a="1"/>
  <c r="AF82" i="31" s="1"/>
  <c r="AS130" i="11" a="1"/>
  <c r="AS130" i="11" s="1"/>
  <c r="AW120" i="11"/>
  <c r="AW134" i="11"/>
  <c r="BA120" i="11"/>
  <c r="BA134" i="11"/>
  <c r="K48" i="14"/>
  <c r="F49" i="14" a="1"/>
  <c r="F49" i="14" s="1"/>
  <c r="F50" i="14" s="1" a="1"/>
  <c r="F50" i="14" s="1"/>
  <c r="F51" i="14" s="1" a="1"/>
  <c r="F51" i="14" s="1"/>
  <c r="F52" i="14" s="1" a="1"/>
  <c r="F52" i="14" s="1"/>
  <c r="F53" i="14" s="1" a="1"/>
  <c r="F53" i="14" s="1"/>
  <c r="F54" i="14" s="1" a="1"/>
  <c r="F54" i="14" s="1"/>
  <c r="AG59" i="15"/>
  <c r="AG52" i="15"/>
  <c r="AK59" i="15"/>
  <c r="AK52" i="15"/>
  <c r="AO59" i="15"/>
  <c r="AO52" i="15"/>
  <c r="AS59" i="15"/>
  <c r="AS52" i="15"/>
  <c r="AW59" i="15"/>
  <c r="AW52" i="15"/>
  <c r="BA59" i="15"/>
  <c r="BA52" i="15"/>
  <c r="K113"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AF101" i="15"/>
  <c r="AF108" i="15"/>
  <c r="AN101" i="15"/>
  <c r="AN108" i="15"/>
  <c r="AV101" i="15"/>
  <c r="AV108" i="15"/>
  <c r="K38" i="16"/>
  <c r="F39" i="16" a="1"/>
  <c r="F39" i="16" s="1"/>
  <c r="F40" i="16" s="1" a="1"/>
  <c r="F40" i="16" s="1"/>
  <c r="F41" i="16" s="1" a="1"/>
  <c r="F41" i="16" s="1"/>
  <c r="F42" i="16" s="1" a="1"/>
  <c r="F42" i="16" s="1"/>
  <c r="F43" i="16" s="1" a="1"/>
  <c r="F43" i="16" s="1"/>
  <c r="F44" i="16" s="1" a="1"/>
  <c r="F44" i="16" s="1"/>
  <c r="F45" i="16" s="1" a="1"/>
  <c r="F45" i="16" s="1"/>
  <c r="F46" i="16" s="1" a="1"/>
  <c r="F46" i="16" s="1"/>
  <c r="AD30" i="27" a="1"/>
  <c r="AD30" i="27" s="1"/>
  <c r="AE65" i="11" a="1"/>
  <c r="AE65" i="11" s="1"/>
  <c r="AE81" i="11" a="1"/>
  <c r="AE81" i="11" s="1"/>
  <c r="AE107" i="11" a="1"/>
  <c r="AE107" i="11" s="1"/>
  <c r="AE28" i="11" a="1"/>
  <c r="AE28" i="11" s="1"/>
  <c r="AD87" i="27" a="1"/>
  <c r="AD87" i="27" s="1"/>
  <c r="AN194" i="5"/>
  <c r="AD173" i="5"/>
  <c r="AL194" i="5" a="1"/>
  <c r="AL194" i="5" s="1"/>
  <c r="AG173" i="5"/>
  <c r="AF173" i="5"/>
  <c r="AE173" i="5"/>
  <c r="B44" i="4" s="1"/>
  <c r="F31" i="6" a="1"/>
  <c r="F31" i="6" s="1"/>
  <c r="U30" i="6"/>
  <c r="V48" i="7"/>
  <c r="F49" i="7" a="1"/>
  <c r="F49" i="7" s="1"/>
  <c r="F50" i="7" s="1" a="1"/>
  <c r="F50" i="7" s="1"/>
  <c r="AK8" i="9"/>
  <c r="AK9" i="9" a="1"/>
  <c r="AK9" i="9" s="1"/>
  <c r="AI2" i="11"/>
  <c r="AI9" i="11" a="1"/>
  <c r="AI9" i="11" s="1"/>
  <c r="AI8" i="11"/>
  <c r="AM2" i="11"/>
  <c r="AQ2" i="11"/>
  <c r="AF43" i="11"/>
  <c r="AF29" i="11"/>
  <c r="AJ43" i="11"/>
  <c r="AJ29" i="11"/>
  <c r="AN43" i="11"/>
  <c r="AN29" i="11"/>
  <c r="AR43" i="11"/>
  <c r="AR29" i="11"/>
  <c r="AV43" i="11"/>
  <c r="AV29" i="11"/>
  <c r="AZ43" i="11"/>
  <c r="AZ29" i="11"/>
  <c r="F31" i="12" a="1"/>
  <c r="F31" i="12" s="1"/>
  <c r="AE30" i="17" s="1"/>
  <c r="AE28" i="17" s="1"/>
  <c r="T30" i="12"/>
  <c r="T33" i="12"/>
  <c r="F34" i="12" a="1"/>
  <c r="F34" i="12" s="1"/>
  <c r="AI8" i="14"/>
  <c r="AI2" i="14"/>
  <c r="AI9" i="14" a="1"/>
  <c r="AI9" i="14" s="1"/>
  <c r="AM2" i="14"/>
  <c r="AQ2" i="14"/>
  <c r="K28" i="14"/>
  <c r="F29" i="14" a="1"/>
  <c r="F29" i="14" s="1"/>
  <c r="F30" i="14" s="1" a="1"/>
  <c r="F30" i="14" s="1"/>
  <c r="F31" i="14" s="1" a="1"/>
  <c r="F31" i="14" s="1"/>
  <c r="F32" i="14" s="1" a="1"/>
  <c r="F32" i="14" s="1"/>
  <c r="F33" i="14" s="1" a="1"/>
  <c r="F33" i="14" s="1"/>
  <c r="F34" i="14" s="1" a="1"/>
  <c r="F34" i="14" s="1"/>
  <c r="AS9" i="15" a="1"/>
  <c r="AS9" i="15" s="1"/>
  <c r="AS2"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H59" i="15"/>
  <c r="AH52" i="15"/>
  <c r="AL59" i="15"/>
  <c r="AL52" i="15"/>
  <c r="AP59" i="15"/>
  <c r="AP52" i="15"/>
  <c r="AT59" i="15"/>
  <c r="AT52" i="15"/>
  <c r="AX59" i="15"/>
  <c r="AX52" i="15"/>
  <c r="BB59" i="15"/>
  <c r="BB52" i="15"/>
  <c r="F31" i="17" a="1"/>
  <c r="F31" i="17" s="1"/>
  <c r="F32" i="17" s="1" a="1"/>
  <c r="F32" i="17" s="1"/>
  <c r="AL134" i="11"/>
  <c r="AL120" i="11"/>
  <c r="AP134" i="11"/>
  <c r="AP120" i="11"/>
  <c r="AT130" i="11" a="1"/>
  <c r="AT130" i="11" s="1"/>
  <c r="AT134" i="11"/>
  <c r="AF83" i="31" s="1" a="1"/>
  <c r="AF83" i="31" s="1"/>
  <c r="AT120" i="11"/>
  <c r="AT50" i="14" s="1" a="1"/>
  <c r="AT50" i="14" s="1"/>
  <c r="AT52" i="14" s="1"/>
  <c r="AX134" i="11"/>
  <c r="AX120" i="11"/>
  <c r="BB134" i="11"/>
  <c r="BB120" i="11"/>
  <c r="AG120" i="11"/>
  <c r="AG50" i="14" s="1" a="1"/>
  <c r="AG50" i="14" s="1"/>
  <c r="AG52" i="14" s="1"/>
  <c r="AG134" i="11"/>
  <c r="AG130" i="11" a="1"/>
  <c r="AG130" i="11" s="1"/>
  <c r="AI2" i="13"/>
  <c r="AI9" i="13" a="1"/>
  <c r="AI9" i="13" s="1"/>
  <c r="AM2" i="13"/>
  <c r="AQ2" i="13"/>
  <c r="F29" i="13" a="1"/>
  <c r="F29" i="13" s="1"/>
  <c r="K28" i="13"/>
  <c r="AL2" i="15"/>
  <c r="AP2" i="15"/>
  <c r="AE59" i="15"/>
  <c r="AE52" i="15"/>
  <c r="AI59" i="15"/>
  <c r="AI52" i="15"/>
  <c r="AM59" i="15"/>
  <c r="AM52" i="15"/>
  <c r="AQ59" i="15"/>
  <c r="AQ52" i="15"/>
  <c r="AU59" i="15"/>
  <c r="AU52" i="15"/>
  <c r="AY59" i="15"/>
  <c r="AY52" i="15"/>
  <c r="AH108" i="15"/>
  <c r="AH101" i="15"/>
  <c r="AL101" i="15"/>
  <c r="AL108" i="15"/>
  <c r="AP108" i="15"/>
  <c r="AP101" i="15"/>
  <c r="AT101" i="15"/>
  <c r="AT108" i="15"/>
  <c r="AX108" i="15"/>
  <c r="AX101" i="15"/>
  <c r="BB101" i="15"/>
  <c r="BB108" i="15"/>
  <c r="K28" i="16"/>
  <c r="F29" i="16" a="1"/>
  <c r="F29" i="16" s="1"/>
  <c r="F30" i="16" s="1" a="1"/>
  <c r="F30" i="16" s="1"/>
  <c r="F31" i="16" s="1" a="1"/>
  <c r="F31" i="16" s="1"/>
  <c r="F32" i="16" s="1" a="1"/>
  <c r="F32" i="16" s="1"/>
  <c r="F33" i="16" s="1" a="1"/>
  <c r="F33" i="16" s="1"/>
  <c r="F34" i="16" s="1" a="1"/>
  <c r="F34" i="16" s="1"/>
  <c r="F35" i="16" s="1" a="1"/>
  <c r="F35" i="16" s="1"/>
  <c r="F36" i="16" s="1" a="1"/>
  <c r="F36" i="16" s="1"/>
  <c r="AD31" i="27" a="1"/>
  <c r="AD31" i="27" s="1"/>
  <c r="AN180" i="5"/>
  <c r="AL9" i="9" a="1"/>
  <c r="AL9" i="9" s="1"/>
  <c r="AL8" i="9"/>
  <c r="F68" i="9" a="1"/>
  <c r="F68" i="9" s="1"/>
  <c r="U67" i="9"/>
  <c r="AH8" i="10"/>
  <c r="AH9" i="10" a="1"/>
  <c r="AH9" i="10" s="1"/>
  <c r="AC39" i="7" a="1"/>
  <c r="AC39" i="7" s="1"/>
  <c r="X39" i="7" a="1"/>
  <c r="X39" i="7" s="1"/>
  <c r="G171" i="30" a="1"/>
  <c r="G171" i="30" s="1"/>
  <c r="G171" i="29" a="1"/>
  <c r="G171" i="29" s="1"/>
  <c r="G112" i="28" a="1"/>
  <c r="G112" i="28" s="1"/>
  <c r="R85" i="27" a="1"/>
  <c r="R85" i="27" s="1"/>
  <c r="G85" i="27" a="1"/>
  <c r="G85" i="27" s="1"/>
  <c r="F28" i="6" a="1"/>
  <c r="F28" i="6" s="1"/>
  <c r="U27" i="6"/>
  <c r="F28" i="7" a="1"/>
  <c r="F28" i="7" s="1"/>
  <c r="F29" i="7" s="1" a="1"/>
  <c r="F29" i="7" s="1"/>
  <c r="F30" i="7" s="1" a="1"/>
  <c r="F30" i="7" s="1"/>
  <c r="F31" i="7" s="1" a="1"/>
  <c r="F31" i="7" s="1"/>
  <c r="F32" i="7" s="1" a="1"/>
  <c r="F32" i="7" s="1"/>
  <c r="F33" i="7" s="1" a="1"/>
  <c r="F33" i="7" s="1"/>
  <c r="F34" i="7" s="1" a="1"/>
  <c r="F34" i="7" s="1"/>
  <c r="F35" i="7" s="1" a="1"/>
  <c r="F35" i="7" s="1"/>
  <c r="F36" i="7" s="1" a="1"/>
  <c r="F36" i="7" s="1"/>
  <c r="F29" i="8" a="1"/>
  <c r="F29" i="8" s="1"/>
  <c r="U29" i="8" s="1"/>
  <c r="U28" i="8"/>
  <c r="AM9" i="9" a="1"/>
  <c r="AM9" i="9" s="1"/>
  <c r="AM8" i="9"/>
  <c r="AU8" i="9"/>
  <c r="AY8" i="9"/>
  <c r="BC8" i="9"/>
  <c r="U40" i="9"/>
  <c r="F41" i="9" a="1"/>
  <c r="F41" i="9" s="1"/>
  <c r="AG8" i="11"/>
  <c r="AK8" i="11"/>
  <c r="AO8" i="11"/>
  <c r="AS8" i="11"/>
  <c r="AE134" i="11"/>
  <c r="AE120" i="11"/>
  <c r="AE50" i="14" s="1" a="1"/>
  <c r="AE50" i="14" s="1"/>
  <c r="AE52" i="14" s="1"/>
  <c r="AE130" i="11" a="1"/>
  <c r="AE130" i="11" s="1"/>
  <c r="AI134" i="11"/>
  <c r="AI130" i="11" a="1"/>
  <c r="AI130" i="11" s="1"/>
  <c r="AI120" i="11"/>
  <c r="AI50" i="14" s="1" a="1"/>
  <c r="AI50" i="14" s="1"/>
  <c r="AI52" i="14" s="1"/>
  <c r="AM134" i="11"/>
  <c r="AM120" i="11"/>
  <c r="AQ134" i="11"/>
  <c r="AQ120" i="11"/>
  <c r="AU134" i="11"/>
  <c r="AF84" i="31" s="1" a="1"/>
  <c r="AF84" i="31" s="1"/>
  <c r="AU120" i="11"/>
  <c r="AU50" i="14" s="1" a="1"/>
  <c r="AU50" i="14" s="1"/>
  <c r="AU52" i="14" s="1"/>
  <c r="AU130" i="11" a="1"/>
  <c r="AU130" i="11" s="1"/>
  <c r="AY134" i="11"/>
  <c r="AY120" i="11"/>
  <c r="AU2" i="13"/>
  <c r="AY2" i="13"/>
  <c r="F33" i="13" a="1"/>
  <c r="F33" i="13" s="1"/>
  <c r="K32" i="13"/>
  <c r="AG8" i="14"/>
  <c r="AK2" i="14"/>
  <c r="AO2" i="14"/>
  <c r="AS2" i="14"/>
  <c r="AK51" i="14"/>
  <c r="AF59" i="15"/>
  <c r="AF52" i="15"/>
  <c r="AJ59" i="15"/>
  <c r="AJ52" i="15"/>
  <c r="AN59" i="15"/>
  <c r="AN52" i="15"/>
  <c r="AR59" i="15"/>
  <c r="AR52" i="15"/>
  <c r="AV59" i="15"/>
  <c r="AV52" i="15"/>
  <c r="AZ59" i="15"/>
  <c r="AZ52" i="15"/>
  <c r="F38" i="17" a="1"/>
  <c r="F38" i="17" s="1"/>
  <c r="F39" i="17" s="1" a="1"/>
  <c r="F39" i="17" s="1"/>
  <c r="AB27" i="34" a="1"/>
  <c r="AB27" i="34" s="1"/>
  <c r="AB27" i="33" a="1"/>
  <c r="AB27" i="33" s="1"/>
  <c r="AB28" i="32" a="1"/>
  <c r="AB28" i="32" s="1"/>
  <c r="AB30" i="31" a="1"/>
  <c r="AB30" i="31" s="1"/>
  <c r="AB27" i="30" a="1"/>
  <c r="AB27" i="30" s="1"/>
  <c r="AB27" i="29" a="1"/>
  <c r="AB27" i="29" s="1"/>
  <c r="AD29" i="27" a="1"/>
  <c r="AD29" i="27" s="1"/>
  <c r="AB30" i="27" s="1"/>
  <c r="AB27" i="28" a="1"/>
  <c r="AB27" i="28" s="1"/>
  <c r="AB27" i="26" a="1"/>
  <c r="AB27" i="26" s="1"/>
  <c r="AB27" i="24" a="1"/>
  <c r="AB27" i="24" s="1"/>
  <c r="AB26" i="25" a="1"/>
  <c r="AB26" i="25" s="1"/>
  <c r="B27" i="25" s="1"/>
  <c r="B28" i="25" s="1" a="1"/>
  <c r="B28" i="25" s="1"/>
  <c r="AB29" i="23" a="1"/>
  <c r="AB29" i="23" s="1"/>
  <c r="AB27" i="17" a="1"/>
  <c r="AB27" i="17" s="1"/>
  <c r="AB27" i="16" a="1"/>
  <c r="AB27" i="16" s="1"/>
  <c r="AB27" i="19" a="1"/>
  <c r="AB27" i="19" s="1"/>
  <c r="AB27" i="22" a="1"/>
  <c r="AB27" i="22" s="1"/>
  <c r="AB27" i="21" a="1"/>
  <c r="AB27" i="21" s="1"/>
  <c r="AB27" i="20" a="1"/>
  <c r="AB27" i="20" s="1"/>
  <c r="AB26" i="6" a="1"/>
  <c r="AB26" i="6" s="1"/>
  <c r="W29" i="6" a="1"/>
  <c r="W29" i="6" s="1"/>
  <c r="AD21" i="7" a="1"/>
  <c r="AD21" i="7" s="1"/>
  <c r="B42" i="7"/>
  <c r="B46" i="7"/>
  <c r="B47" i="7" s="1" a="1"/>
  <c r="B47" i="7" s="1"/>
  <c r="AB26" i="8" a="1"/>
  <c r="AB26" i="8" s="1"/>
  <c r="AP8" i="9"/>
  <c r="AT8" i="9"/>
  <c r="AX8" i="9"/>
  <c r="BB8" i="9"/>
  <c r="BF8" i="9"/>
  <c r="AP9" i="9" a="1"/>
  <c r="AP9" i="9" s="1"/>
  <c r="AR9" i="9" a="1"/>
  <c r="AR9" i="9" s="1"/>
  <c r="AT9" i="9" a="1"/>
  <c r="AT9" i="9" s="1"/>
  <c r="AV9" i="9" a="1"/>
  <c r="AV9" i="9" s="1"/>
  <c r="AX9" i="9" a="1"/>
  <c r="AX9" i="9" s="1"/>
  <c r="AZ9" i="9" a="1"/>
  <c r="AZ9" i="9" s="1"/>
  <c r="BB9" i="9" a="1"/>
  <c r="BB9" i="9" s="1"/>
  <c r="BD9" i="9" a="1"/>
  <c r="BD9" i="9" s="1"/>
  <c r="BF9" i="9" a="1"/>
  <c r="BF9" i="9" s="1"/>
  <c r="AM75" i="9"/>
  <c r="AJ2" i="10"/>
  <c r="AN2" i="10"/>
  <c r="AS2" i="10"/>
  <c r="AW2" i="10"/>
  <c r="BA2" i="10"/>
  <c r="AE8" i="10"/>
  <c r="AU8" i="10"/>
  <c r="AY8" i="10"/>
  <c r="AG9" i="10" a="1"/>
  <c r="AG9" i="10" s="1"/>
  <c r="AK9" i="10" a="1"/>
  <c r="AK9" i="10" s="1"/>
  <c r="AO9" i="10" a="1"/>
  <c r="AO9" i="10" s="1"/>
  <c r="AS9" i="10" a="1"/>
  <c r="AS9" i="10" s="1"/>
  <c r="AU9" i="10" a="1"/>
  <c r="AU9" i="10" s="1"/>
  <c r="AW9" i="10" a="1"/>
  <c r="AW9" i="10" s="1"/>
  <c r="AY9" i="10" a="1"/>
  <c r="AY9" i="10" s="1"/>
  <c r="BA9" i="10" a="1"/>
  <c r="BA9" i="10" s="1"/>
  <c r="AC21" i="10" a="1"/>
  <c r="AC21" i="10" s="1"/>
  <c r="AB27" i="10" a="1"/>
  <c r="AB27" i="10" s="1"/>
  <c r="AK2" i="11"/>
  <c r="AO2" i="11"/>
  <c r="AS2" i="11"/>
  <c r="AM8" i="11"/>
  <c r="AQ8" i="11"/>
  <c r="AU8" i="11"/>
  <c r="AY8" i="11"/>
  <c r="AB27" i="11" a="1"/>
  <c r="AB27" i="11" s="1"/>
  <c r="AL33" i="12"/>
  <c r="AL32" i="12" s="1"/>
  <c r="AB27" i="13" a="1"/>
  <c r="AB27" i="13" s="1"/>
  <c r="T35" i="13" a="1"/>
  <c r="T35" i="13" s="1"/>
  <c r="AV8" i="14"/>
  <c r="AZ8" i="14"/>
  <c r="AK9" i="14" a="1"/>
  <c r="AK9" i="14" s="1"/>
  <c r="AO9" i="14" a="1"/>
  <c r="AO9" i="14" s="1"/>
  <c r="AS9" i="14" a="1"/>
  <c r="AS9" i="14" s="1"/>
  <c r="AH51" i="14"/>
  <c r="AB60" i="14"/>
  <c r="AB64" i="14"/>
  <c r="AL9" i="15" a="1"/>
  <c r="AL9" i="15" s="1"/>
  <c r="AP9" i="15" a="1"/>
  <c r="AP9" i="15" s="1"/>
  <c r="AC21" i="15" a="1"/>
  <c r="AC21" i="15" s="1"/>
  <c r="AF95" i="15"/>
  <c r="AN95" i="15"/>
  <c r="AV95" i="15"/>
  <c r="AK2" i="16"/>
  <c r="AO2" i="16"/>
  <c r="AS2" i="16"/>
  <c r="AC21" i="16" a="1"/>
  <c r="AC21" i="16" s="1"/>
  <c r="AJ9" i="18" a="1"/>
  <c r="AJ9" i="18" s="1"/>
  <c r="AJ2" i="18"/>
  <c r="AN9" i="18" a="1"/>
  <c r="AN9" i="18" s="1"/>
  <c r="AN2" i="18"/>
  <c r="AR9" i="18" a="1"/>
  <c r="AR9" i="18" s="1"/>
  <c r="AR2" i="18"/>
  <c r="AB27" i="18" a="1"/>
  <c r="AB27" i="18" s="1"/>
  <c r="F54" i="19" a="1"/>
  <c r="F54" i="19" s="1"/>
  <c r="K53" i="19"/>
  <c r="F48" i="20" a="1"/>
  <c r="F48" i="20" s="1"/>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F34" i="26" a="1"/>
  <c r="F34" i="26" s="1"/>
  <c r="F85" i="26" a="1"/>
  <c r="F85" i="26" s="1"/>
  <c r="F99" i="27" a="1"/>
  <c r="F99" i="27" s="1"/>
  <c r="F100" i="27" s="1" a="1"/>
  <c r="F100" i="27" s="1"/>
  <c r="T98" i="27"/>
  <c r="T99" i="27" s="1" a="1"/>
  <c r="T99" i="27" s="1"/>
  <c r="AR2" i="9"/>
  <c r="AV2" i="9"/>
  <c r="AZ2" i="9"/>
  <c r="BD2" i="9"/>
  <c r="AE8" i="9"/>
  <c r="AI8" i="9"/>
  <c r="AB28" i="9" a="1"/>
  <c r="AB28" i="9" s="1"/>
  <c r="AX75" i="9"/>
  <c r="AY75" i="9" s="1"/>
  <c r="AF8" i="10"/>
  <c r="AJ8" i="10"/>
  <c r="AN8" i="10"/>
  <c r="AR8" i="10"/>
  <c r="AV8" i="10"/>
  <c r="AZ8" i="10"/>
  <c r="AT2" i="11"/>
  <c r="AX2" i="11"/>
  <c r="BB2" i="11"/>
  <c r="AF8" i="11"/>
  <c r="AV8" i="11"/>
  <c r="AZ8" i="11"/>
  <c r="AG9" i="11" a="1"/>
  <c r="AG9" i="11" s="1"/>
  <c r="AK9" i="11" a="1"/>
  <c r="AK9" i="11" s="1"/>
  <c r="AM9" i="11" a="1"/>
  <c r="AM9" i="11" s="1"/>
  <c r="AO9" i="11" a="1"/>
  <c r="AO9" i="11" s="1"/>
  <c r="AQ9" i="11" a="1"/>
  <c r="AQ9" i="11" s="1"/>
  <c r="AS9" i="11" a="1"/>
  <c r="AS9" i="11" s="1"/>
  <c r="AU9" i="11" a="1"/>
  <c r="AU9" i="11" s="1"/>
  <c r="AY9" i="11" a="1"/>
  <c r="AY9" i="11" s="1"/>
  <c r="AT2" i="13"/>
  <c r="AX2" i="13"/>
  <c r="BB2" i="13"/>
  <c r="AM9" i="13" a="1"/>
  <c r="AM9" i="13" s="1"/>
  <c r="AQ9" i="13" a="1"/>
  <c r="AQ9" i="13" s="1"/>
  <c r="AU9" i="13" a="1"/>
  <c r="AU9" i="13" s="1"/>
  <c r="AY9" i="13" a="1"/>
  <c r="AY9" i="13" s="1"/>
  <c r="T28" i="13" a="1"/>
  <c r="T28" i="13" s="1"/>
  <c r="AU2" i="14"/>
  <c r="AY2" i="14"/>
  <c r="AK8" i="14"/>
  <c r="AO8" i="14"/>
  <c r="AS8" i="14"/>
  <c r="AB35" i="14"/>
  <c r="AB43" i="14"/>
  <c r="AB61" i="14"/>
  <c r="AB65" i="14"/>
  <c r="AB70" i="14"/>
  <c r="AK2" i="15"/>
  <c r="AO2" i="15"/>
  <c r="AW2" i="15"/>
  <c r="BA2" i="15"/>
  <c r="AB27" i="15" a="1"/>
  <c r="AB27" i="15" s="1"/>
  <c r="AE108" i="15"/>
  <c r="AE101" i="15"/>
  <c r="AI108" i="15"/>
  <c r="AI101" i="15"/>
  <c r="AM108" i="15"/>
  <c r="AM101" i="15"/>
  <c r="AQ108" i="15"/>
  <c r="AQ101" i="15"/>
  <c r="AU108" i="15"/>
  <c r="AU101" i="15"/>
  <c r="AY108" i="15"/>
  <c r="AY101" i="15"/>
  <c r="AJ101" i="15"/>
  <c r="AR101" i="15"/>
  <c r="AZ101" i="15"/>
  <c r="K56" i="18"/>
  <c r="K53" i="18"/>
  <c r="K43" i="18"/>
  <c r="K33" i="18"/>
  <c r="F29" i="18" a="1"/>
  <c r="F29" i="18" s="1"/>
  <c r="F30" i="18" s="1" a="1"/>
  <c r="F30" i="18" s="1"/>
  <c r="K54" i="18"/>
  <c r="K55" i="18"/>
  <c r="K48" i="18"/>
  <c r="K38" i="18"/>
  <c r="K28" i="18"/>
  <c r="AE27" i="18"/>
  <c r="AI27" i="18"/>
  <c r="AM27" i="18"/>
  <c r="AQ27" i="18"/>
  <c r="AU27" i="18"/>
  <c r="AY27" i="18"/>
  <c r="F29" i="19" a="1"/>
  <c r="F29" i="19" s="1"/>
  <c r="K28" i="19"/>
  <c r="F29" i="20" a="1"/>
  <c r="F29" i="20" s="1"/>
  <c r="F29" i="21" a="1"/>
  <c r="F29" i="21" s="1"/>
  <c r="F30" i="21" s="1" a="1"/>
  <c r="F30" i="21" s="1"/>
  <c r="F31" i="21" s="1" a="1"/>
  <c r="F31" i="21" s="1"/>
  <c r="K28" i="21"/>
  <c r="AM2" i="23"/>
  <c r="AQ2" i="23"/>
  <c r="AU2" i="23"/>
  <c r="DQ2" i="27"/>
  <c r="DY2" i="27"/>
  <c r="EG2" i="27"/>
  <c r="EO2" i="27"/>
  <c r="FE2" i="27"/>
  <c r="FM2" i="27"/>
  <c r="FU2" i="27"/>
  <c r="AC21" i="34" a="1"/>
  <c r="AC21" i="34" s="1"/>
  <c r="AC21" i="33" a="1"/>
  <c r="AC21" i="33" s="1"/>
  <c r="AB21" i="32" a="1"/>
  <c r="AB21" i="32" s="1"/>
  <c r="AB21" i="31" a="1"/>
  <c r="AB21" i="31" s="1"/>
  <c r="AC21" i="30" a="1"/>
  <c r="AC21" i="30" s="1"/>
  <c r="AC21" i="29" a="1"/>
  <c r="AC21" i="29" s="1"/>
  <c r="AC21" i="28" a="1"/>
  <c r="AC21" i="28" s="1"/>
  <c r="AC21" i="22" a="1"/>
  <c r="AC21" i="22" s="1"/>
  <c r="AB21" i="27" a="1"/>
  <c r="AB21" i="27" s="1"/>
  <c r="AC21" i="26" a="1"/>
  <c r="AC21" i="26" s="1"/>
  <c r="AC21" i="24" a="1"/>
  <c r="AC21" i="24" s="1"/>
  <c r="AC21" i="23" a="1"/>
  <c r="AC21" i="23" s="1"/>
  <c r="AC21" i="19" a="1"/>
  <c r="AC21" i="19" s="1"/>
  <c r="AC21" i="21" a="1"/>
  <c r="AC21" i="21" s="1"/>
  <c r="AC21" i="20" a="1"/>
  <c r="AC21" i="20" s="1"/>
  <c r="AC21" i="18" a="1"/>
  <c r="AC21" i="18" s="1"/>
  <c r="AC21" i="17" a="1"/>
  <c r="AC21" i="17" s="1"/>
  <c r="B44" i="7"/>
  <c r="B45" i="7"/>
  <c r="AC46" i="7" s="1"/>
  <c r="AC47" i="7" s="1"/>
  <c r="AG9" i="9" a="1"/>
  <c r="AG9" i="9" s="1"/>
  <c r="AC21" i="9" a="1"/>
  <c r="AC21" i="9" s="1"/>
  <c r="AL2" i="10"/>
  <c r="AP2" i="10"/>
  <c r="AJ2" i="14"/>
  <c r="AN2" i="14"/>
  <c r="AR2" i="14"/>
  <c r="AV2" i="14"/>
  <c r="AZ2" i="14"/>
  <c r="AH8" i="14"/>
  <c r="AT8" i="14"/>
  <c r="AX8" i="14"/>
  <c r="BB8" i="14"/>
  <c r="AC21" i="14" a="1"/>
  <c r="AC21" i="14" s="1"/>
  <c r="AB62" i="14"/>
  <c r="AI2" i="16"/>
  <c r="AM2" i="16"/>
  <c r="AQ2" i="16"/>
  <c r="AF10" i="17" a="1"/>
  <c r="AF10" i="17" s="1"/>
  <c r="AF2" i="17"/>
  <c r="AL2" i="18"/>
  <c r="AP2" i="18"/>
  <c r="AI2" i="22"/>
  <c r="AI9" i="22" a="1"/>
  <c r="AI9" i="22" s="1"/>
  <c r="AM2" i="22"/>
  <c r="AQ2" i="22"/>
  <c r="K42" i="22"/>
  <c r="F43" i="22" a="1"/>
  <c r="F43" i="22" s="1"/>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E2" i="24"/>
  <c r="AE9" i="24" a="1"/>
  <c r="AE9" i="24" s="1"/>
  <c r="AI2" i="24"/>
  <c r="AM2" i="24"/>
  <c r="F33" i="24" a="1"/>
  <c r="F33" i="24" s="1"/>
  <c r="F34" i="24" s="1" a="1"/>
  <c r="F34" i="24" s="1"/>
  <c r="F41" i="24" a="1"/>
  <c r="F41" i="24" s="1"/>
  <c r="F42" i="24" s="1" a="1"/>
  <c r="F42" i="24" s="1"/>
  <c r="AB77" i="26"/>
  <c r="AB76" i="26"/>
  <c r="AB75" i="26"/>
  <c r="AB72" i="26"/>
  <c r="AB71" i="26"/>
  <c r="B107" i="26"/>
  <c r="B108" i="26" s="1" a="1"/>
  <c r="B108" i="26" s="1"/>
  <c r="B120" i="26"/>
  <c r="B121" i="26" s="1" a="1"/>
  <c r="B121" i="26" s="1"/>
  <c r="AC21" i="6" a="1"/>
  <c r="AC21" i="6" s="1"/>
  <c r="AC27" i="7" a="1"/>
  <c r="AC27" i="7" s="1"/>
  <c r="AC21" i="8" a="1"/>
  <c r="AC21" i="8" s="1"/>
  <c r="AT8" i="11"/>
  <c r="AX8" i="11"/>
  <c r="BB8" i="11"/>
  <c r="AC21" i="11" a="1"/>
  <c r="AC21" i="11" s="1"/>
  <c r="AB29" i="12" a="1"/>
  <c r="AB29" i="12" s="1"/>
  <c r="AC21" i="13" a="1"/>
  <c r="AC21" i="13" s="1"/>
  <c r="AB27" i="14" a="1"/>
  <c r="AB27" i="14" s="1"/>
  <c r="AG108" i="15"/>
  <c r="AG101" i="15"/>
  <c r="AK108" i="15"/>
  <c r="AK101" i="15"/>
  <c r="AO108" i="15"/>
  <c r="AO101" i="15"/>
  <c r="AS108" i="15"/>
  <c r="AS101" i="15"/>
  <c r="AW108" i="15"/>
  <c r="AW101" i="15"/>
  <c r="BA108" i="15"/>
  <c r="BA101" i="15"/>
  <c r="AU2" i="18"/>
  <c r="AU9" i="18" a="1"/>
  <c r="AU9" i="18" s="1"/>
  <c r="AY2" i="18"/>
  <c r="AY9" i="18" a="1"/>
  <c r="AY9" i="18" s="1"/>
  <c r="K85" i="18"/>
  <c r="K83" i="18"/>
  <c r="K73" i="18"/>
  <c r="K63" i="18"/>
  <c r="F59" i="18" a="1"/>
  <c r="F59" i="18" s="1"/>
  <c r="F60" i="18" s="1" a="1"/>
  <c r="F60" i="18" s="1"/>
  <c r="K86" i="18"/>
  <c r="K78" i="18"/>
  <c r="K68" i="18"/>
  <c r="K58" i="18"/>
  <c r="K84" i="18"/>
  <c r="AI9" i="20" a="1"/>
  <c r="AI9" i="20" s="1"/>
  <c r="AI2" i="20"/>
  <c r="AI9" i="21" a="1"/>
  <c r="AI9" i="21" s="1"/>
  <c r="AI2" i="21"/>
  <c r="F41" i="21" a="1"/>
  <c r="F41" i="21" s="1"/>
  <c r="F42" i="21" s="1" a="1"/>
  <c r="F42" i="21" s="1"/>
  <c r="F43" i="21" s="1" a="1"/>
  <c r="F43" i="21" s="1"/>
  <c r="K40" i="21"/>
  <c r="AU2" i="22"/>
  <c r="AY2" i="22"/>
  <c r="K28" i="22"/>
  <c r="F29" i="22" a="1"/>
  <c r="F29" i="22" s="1"/>
  <c r="AK2" i="23"/>
  <c r="AK9" i="23" a="1"/>
  <c r="AK9" i="23" s="1"/>
  <c r="AQ2" i="24"/>
  <c r="AU2" i="24"/>
  <c r="F43" i="27" a="1"/>
  <c r="F43" i="27" s="1"/>
  <c r="F44" i="27" s="1" a="1"/>
  <c r="F44" i="27" s="1"/>
  <c r="T42" i="27"/>
  <c r="T43" i="27" s="1" a="1"/>
  <c r="T43" i="27" s="1"/>
  <c r="AL9" i="18" a="1"/>
  <c r="AL9" i="18" s="1"/>
  <c r="AP9" i="18" a="1"/>
  <c r="AP9" i="18" s="1"/>
  <c r="AJ2" i="19"/>
  <c r="AJ7" i="19" a="1"/>
  <c r="AJ7" i="19" s="1"/>
  <c r="AB70" i="19"/>
  <c r="AB76" i="19"/>
  <c r="AL2" i="23"/>
  <c r="AP2" i="23"/>
  <c r="AT2" i="23"/>
  <c r="AM9" i="23" a="1"/>
  <c r="AM9" i="23" s="1"/>
  <c r="AQ9" i="23" a="1"/>
  <c r="AQ9" i="23" s="1"/>
  <c r="AU9" i="23" a="1"/>
  <c r="AU9" i="23" s="1"/>
  <c r="AQ9" i="24" a="1"/>
  <c r="AQ9" i="24" s="1"/>
  <c r="AU9" i="24" a="1"/>
  <c r="AU9" i="24" s="1"/>
  <c r="DN9" i="27" a="1"/>
  <c r="DN9" i="27" s="1"/>
  <c r="DV9" i="27" a="1"/>
  <c r="DV9" i="27" s="1"/>
  <c r="ED9" i="27" a="1"/>
  <c r="ED9" i="27" s="1"/>
  <c r="EL9" i="27" a="1"/>
  <c r="EL9" i="27" s="1"/>
  <c r="ET9" i="27" a="1"/>
  <c r="ET9" i="27" s="1"/>
  <c r="FB9" i="27" a="1"/>
  <c r="FB9" i="27" s="1"/>
  <c r="FJ9" i="27" a="1"/>
  <c r="FJ9" i="27" s="1"/>
  <c r="FR9" i="27" a="1"/>
  <c r="FR9" i="27" s="1"/>
  <c r="AS25" i="27"/>
  <c r="CO25" i="27"/>
  <c r="EK25" i="27"/>
  <c r="AB130" i="27"/>
  <c r="AB122" i="27"/>
  <c r="AB117" i="27"/>
  <c r="AB112" i="27"/>
  <c r="AB129" i="27"/>
  <c r="AB116" i="27"/>
  <c r="AB111" i="27"/>
  <c r="AB106" i="27"/>
  <c r="AB128" i="27"/>
  <c r="AB124" i="27"/>
  <c r="AB110" i="27"/>
  <c r="AB105" i="27"/>
  <c r="F31" i="28" a="1"/>
  <c r="F31" i="28" s="1"/>
  <c r="F32" i="28" s="1" a="1"/>
  <c r="F32" i="28" s="1"/>
  <c r="F33" i="28" s="1" a="1"/>
  <c r="F33" i="28" s="1"/>
  <c r="F34" i="28" s="1" a="1"/>
  <c r="F34" i="28" s="1"/>
  <c r="AN30" i="28"/>
  <c r="AG13" i="19"/>
  <c r="AB56" i="19"/>
  <c r="AJ2" i="20"/>
  <c r="AJ2" i="21"/>
  <c r="AT2" i="22"/>
  <c r="AX2" i="22"/>
  <c r="BB2" i="22"/>
  <c r="AM9" i="22" a="1"/>
  <c r="AM9" i="22" s="1"/>
  <c r="AQ9" i="22" a="1"/>
  <c r="AQ9" i="22" s="1"/>
  <c r="AU9" i="22" a="1"/>
  <c r="AU9" i="22" s="1"/>
  <c r="AY9" i="22" a="1"/>
  <c r="AY9" i="22" s="1"/>
  <c r="B56" i="26"/>
  <c r="B57" i="26" s="1" a="1"/>
  <c r="B57" i="26" s="1"/>
  <c r="AG8" i="27"/>
  <c r="AK8" i="27"/>
  <c r="AO8" i="27"/>
  <c r="AS8" i="27"/>
  <c r="AW8" i="27"/>
  <c r="BA8" i="27"/>
  <c r="BE8" i="27"/>
  <c r="BI8" i="27"/>
  <c r="BM8" i="27"/>
  <c r="BQ8" i="27"/>
  <c r="BU8" i="27"/>
  <c r="BY8" i="27"/>
  <c r="CC8" i="27"/>
  <c r="CG8" i="27"/>
  <c r="CK8" i="27"/>
  <c r="CO8" i="27"/>
  <c r="CS8" i="27"/>
  <c r="CW8" i="27"/>
  <c r="DA8" i="27"/>
  <c r="DE8" i="27"/>
  <c r="DI8" i="27"/>
  <c r="DM8" i="27"/>
  <c r="DQ8" i="27"/>
  <c r="DU8" i="27"/>
  <c r="DY8" i="27"/>
  <c r="EC8" i="27"/>
  <c r="EG8" i="27"/>
  <c r="EK8" i="27"/>
  <c r="EO8" i="27"/>
  <c r="ES8" i="27"/>
  <c r="EW8" i="27"/>
  <c r="FA8" i="27"/>
  <c r="FE8" i="27"/>
  <c r="FI8" i="27"/>
  <c r="FM8" i="27"/>
  <c r="FQ8" i="27"/>
  <c r="FU8" i="27"/>
  <c r="AD9" i="27" a="1"/>
  <c r="AD9" i="27" s="1"/>
  <c r="AH9" i="27" a="1"/>
  <c r="AH9" i="27" s="1"/>
  <c r="AJ9" i="27" a="1"/>
  <c r="AJ9" i="27" s="1"/>
  <c r="AL9" i="27" a="1"/>
  <c r="AL9" i="27" s="1"/>
  <c r="AP9" i="27" a="1"/>
  <c r="AP9" i="27" s="1"/>
  <c r="AT9" i="27" a="1"/>
  <c r="AT9" i="27" s="1"/>
  <c r="AV9" i="27" a="1"/>
  <c r="AV9" i="27" s="1"/>
  <c r="AX9" i="27" a="1"/>
  <c r="AX9" i="27" s="1"/>
  <c r="BB9" i="27" a="1"/>
  <c r="BB9" i="27" s="1"/>
  <c r="BF9" i="27" a="1"/>
  <c r="BF9" i="27" s="1"/>
  <c r="BJ9" i="27" a="1"/>
  <c r="BJ9" i="27" s="1"/>
  <c r="BN9" i="27" a="1"/>
  <c r="BN9" i="27" s="1"/>
  <c r="BR9" i="27" a="1"/>
  <c r="BR9" i="27" s="1"/>
  <c r="BV9" i="27" a="1"/>
  <c r="BV9" i="27" s="1"/>
  <c r="BZ9" i="27" a="1"/>
  <c r="BZ9" i="27" s="1"/>
  <c r="CD9" i="27" a="1"/>
  <c r="CD9" i="27" s="1"/>
  <c r="CF9" i="27" a="1"/>
  <c r="CF9" i="27" s="1"/>
  <c r="CH9" i="27" a="1"/>
  <c r="CH9" i="27" s="1"/>
  <c r="CL9" i="27" a="1"/>
  <c r="CL9" i="27" s="1"/>
  <c r="CP9" i="27" a="1"/>
  <c r="CP9" i="27" s="1"/>
  <c r="CR9" i="27" a="1"/>
  <c r="CR9" i="27" s="1"/>
  <c r="CT9" i="27" a="1"/>
  <c r="CT9" i="27" s="1"/>
  <c r="CX9" i="27" a="1"/>
  <c r="CX9" i="27" s="1"/>
  <c r="DB9" i="27" a="1"/>
  <c r="DB9" i="27" s="1"/>
  <c r="DF9" i="27" a="1"/>
  <c r="DF9" i="27" s="1"/>
  <c r="DJ9" i="27" a="1"/>
  <c r="DJ9" i="27" s="1"/>
  <c r="DQ9" i="27" a="1"/>
  <c r="DQ9" i="27" s="1"/>
  <c r="DY9" i="27" a="1"/>
  <c r="DY9" i="27" s="1"/>
  <c r="EB9" i="27" a="1"/>
  <c r="EB9" i="27" s="1"/>
  <c r="EG9" i="27" a="1"/>
  <c r="EG9" i="27" s="1"/>
  <c r="EO9" i="27" a="1"/>
  <c r="EO9" i="27" s="1"/>
  <c r="EW9" i="27" a="1"/>
  <c r="EW9" i="27" s="1"/>
  <c r="FE9" i="27" a="1"/>
  <c r="FE9" i="27" s="1"/>
  <c r="FM9" i="27" a="1"/>
  <c r="FM9" i="27" s="1"/>
  <c r="FU9" i="27" a="1"/>
  <c r="FU9" i="27" s="1"/>
  <c r="AG25" i="27"/>
  <c r="CC25" i="27"/>
  <c r="DY25" i="27"/>
  <c r="FC25" i="27"/>
  <c r="FU25" i="27"/>
  <c r="AB61" i="27"/>
  <c r="AB66" i="27"/>
  <c r="AB118" i="27"/>
  <c r="AE7" i="19" a="1"/>
  <c r="AE7" i="19" s="1"/>
  <c r="AI7" i="19" a="1"/>
  <c r="AI7" i="19" s="1"/>
  <c r="AF2" i="24"/>
  <c r="AJ2" i="24"/>
  <c r="AN2" i="24"/>
  <c r="AR2" i="24"/>
  <c r="AV2" i="24"/>
  <c r="AG2" i="27"/>
  <c r="AK2" i="27"/>
  <c r="AO2" i="27"/>
  <c r="AS2" i="27"/>
  <c r="AW2" i="27"/>
  <c r="BA2" i="27"/>
  <c r="BE2" i="27"/>
  <c r="BI2" i="27"/>
  <c r="BM2" i="27"/>
  <c r="BQ2" i="27"/>
  <c r="BU2" i="27"/>
  <c r="BY2" i="27"/>
  <c r="CC2" i="27"/>
  <c r="CG2" i="27"/>
  <c r="CK2" i="27"/>
  <c r="CO2" i="27"/>
  <c r="CS2" i="27"/>
  <c r="CW2" i="27"/>
  <c r="DA2" i="27"/>
  <c r="DE2" i="27"/>
  <c r="DI2" i="27"/>
  <c r="DM2" i="27"/>
  <c r="DU2" i="27"/>
  <c r="EC2" i="27"/>
  <c r="EK2" i="27"/>
  <c r="ES2" i="27"/>
  <c r="EW2" i="27"/>
  <c r="FA2" i="27"/>
  <c r="FI2" i="27"/>
  <c r="FQ2" i="27"/>
  <c r="AD8" i="27"/>
  <c r="AP8" i="27"/>
  <c r="BB8" i="27"/>
  <c r="BN8" i="27"/>
  <c r="BZ8" i="27"/>
  <c r="CL8" i="27"/>
  <c r="CX8" i="27"/>
  <c r="DJ8" i="27"/>
  <c r="DR8" i="27"/>
  <c r="DV8" i="27"/>
  <c r="DZ8" i="27"/>
  <c r="EH8" i="27"/>
  <c r="EP8" i="27"/>
  <c r="ET8" i="27"/>
  <c r="EX8" i="27"/>
  <c r="FF8" i="27"/>
  <c r="FN8" i="27"/>
  <c r="FR8" i="27"/>
  <c r="FV8" i="27"/>
  <c r="EH9" i="27" a="1"/>
  <c r="EH9" i="27" s="1"/>
  <c r="FF9" i="27" a="1"/>
  <c r="FF9" i="27" s="1"/>
  <c r="BQ25" i="27"/>
  <c r="DM25" i="27"/>
  <c r="FI25" i="27"/>
  <c r="AB104" i="27"/>
  <c r="AE8" i="27"/>
  <c r="BE9" i="27" a="1"/>
  <c r="BE9" i="27" s="1"/>
  <c r="DA9" i="27" a="1"/>
  <c r="DA9" i="27" s="1"/>
  <c r="AB73" i="27"/>
  <c r="AB60" i="27"/>
  <c r="AB55" i="27"/>
  <c r="AB50" i="27"/>
  <c r="AB72" i="27"/>
  <c r="AB68" i="27"/>
  <c r="AB54" i="27"/>
  <c r="AB49" i="27"/>
  <c r="AB67" i="27"/>
  <c r="AB62" i="27"/>
  <c r="AB48" i="27"/>
  <c r="AB56" i="27"/>
  <c r="AB123" i="27"/>
  <c r="AF10" i="28" a="1"/>
  <c r="AF10" i="28" s="1"/>
  <c r="AJ10" i="28" a="1"/>
  <c r="AJ10" i="28" s="1"/>
  <c r="AT9" i="29" a="1"/>
  <c r="AT9" i="29" s="1"/>
  <c r="AT2" i="29"/>
  <c r="AT8" i="29"/>
  <c r="AH88" i="28"/>
  <c r="F116" i="28" a="1"/>
  <c r="F116" i="28" s="1"/>
  <c r="F117" i="28" s="1" a="1"/>
  <c r="F117" i="28" s="1"/>
  <c r="F118" i="28" s="1" a="1"/>
  <c r="F118" i="28" s="1"/>
  <c r="F119" i="28" s="1" a="1"/>
  <c r="F119" i="28" s="1"/>
  <c r="AN115" i="28"/>
  <c r="AU2" i="29"/>
  <c r="AY2" i="29"/>
  <c r="BC2" i="29"/>
  <c r="AJ8" i="29"/>
  <c r="AJ9" i="29" a="1"/>
  <c r="AJ9" i="29" s="1"/>
  <c r="AJ2" i="29"/>
  <c r="BD9" i="29" a="1"/>
  <c r="BD9" i="29" s="1"/>
  <c r="BD2" i="29"/>
  <c r="AG8" i="29"/>
  <c r="AU9" i="29" a="1"/>
  <c r="AU9" i="29" s="1"/>
  <c r="AY9" i="29" a="1"/>
  <c r="AY9" i="29" s="1"/>
  <c r="BC9" i="29" a="1"/>
  <c r="BC9" i="29" s="1"/>
  <c r="D136" i="29" a="1"/>
  <c r="D136" i="29" s="1"/>
  <c r="D137" i="29" s="1" a="1"/>
  <c r="D137" i="29" s="1"/>
  <c r="AB135" i="29" a="1"/>
  <c r="AB135" i="29" s="1"/>
  <c r="F181" i="29" a="1"/>
  <c r="F181" i="29" s="1"/>
  <c r="AH8" i="29"/>
  <c r="AL8" i="29"/>
  <c r="AP8" i="29"/>
  <c r="AX8" i="29"/>
  <c r="BB8" i="29"/>
  <c r="BF2" i="29"/>
  <c r="BJ2" i="29"/>
  <c r="AU8" i="29"/>
  <c r="AY8" i="29"/>
  <c r="BC8" i="29"/>
  <c r="AF9" i="29" a="1"/>
  <c r="AF9" i="29" s="1"/>
  <c r="AN9" i="29" a="1"/>
  <c r="AN9" i="29" s="1"/>
  <c r="AR9" i="29" a="1"/>
  <c r="AR9" i="29" s="1"/>
  <c r="AV9" i="29" a="1"/>
  <c r="AV9" i="29" s="1"/>
  <c r="AZ9" i="29" a="1"/>
  <c r="AZ9"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AH190" i="29"/>
  <c r="AG183" i="29"/>
  <c r="AH183" i="29" s="1"/>
  <c r="D280" i="29" a="1"/>
  <c r="D280" i="29" s="1"/>
  <c r="D281" i="29" s="1" a="1"/>
  <c r="D281" i="29" s="1"/>
  <c r="AB279" i="29" a="1"/>
  <c r="AB279" i="29" s="1"/>
  <c r="AJ2" i="30"/>
  <c r="AJ8" i="30"/>
  <c r="AJ9" i="30" a="1"/>
  <c r="AJ9" i="30" s="1"/>
  <c r="F37" i="30" a="1"/>
  <c r="F37" i="30" s="1"/>
  <c r="BO36" i="30"/>
  <c r="AH8" i="30"/>
  <c r="AL8" i="30"/>
  <c r="AP8" i="30"/>
  <c r="AT8" i="30"/>
  <c r="AX8" i="30"/>
  <c r="BB8" i="30"/>
  <c r="AE8" i="30"/>
  <c r="AI8" i="30"/>
  <c r="AM8" i="30"/>
  <c r="AQ8" i="30"/>
  <c r="AU8" i="30"/>
  <c r="AY8" i="30"/>
  <c r="BC8" i="30"/>
  <c r="AF9" i="30" a="1"/>
  <c r="AF9" i="30" s="1"/>
  <c r="AN9" i="30" a="1"/>
  <c r="AN9" i="30" s="1"/>
  <c r="AR9" i="30" a="1"/>
  <c r="AR9" i="30" s="1"/>
  <c r="AV9" i="30" a="1"/>
  <c r="AV9" i="30" s="1"/>
  <c r="AZ9" i="30" a="1"/>
  <c r="AZ9" i="30" s="1"/>
  <c r="AG8" i="30"/>
  <c r="AK8" i="30"/>
  <c r="AO8" i="30"/>
  <c r="AS8" i="30"/>
  <c r="AW8" i="30"/>
  <c r="BA8" i="30"/>
  <c r="D136" i="30" a="1"/>
  <c r="D136" i="30" s="1"/>
  <c r="D137" i="30" s="1" a="1"/>
  <c r="D137" i="30" s="1"/>
  <c r="AB135" i="30" a="1"/>
  <c r="AB135" i="30" s="1"/>
  <c r="F181" i="30" a="1"/>
  <c r="F181" i="30" s="1"/>
  <c r="AH198" i="30"/>
  <c r="AB279" i="30" a="1"/>
  <c r="AB279" i="30" s="1"/>
  <c r="D280" i="30" a="1"/>
  <c r="D280" i="30" s="1"/>
  <c r="D281" i="30" s="1" a="1"/>
  <c r="D281" i="30" s="1"/>
  <c r="AB70" i="31"/>
  <c r="AO70" i="31" a="1"/>
  <c r="AO70" i="31" s="1"/>
  <c r="B70" i="31"/>
  <c r="F33" i="31" a="1"/>
  <c r="F33" i="31" s="1"/>
  <c r="F34" i="31" s="1" a="1"/>
  <c r="F34" i="31" s="1"/>
  <c r="F35" i="31" s="1" a="1"/>
  <c r="F35" i="31" s="1"/>
  <c r="AF32" i="31"/>
  <c r="AB54" i="31"/>
  <c r="AO54" i="31" a="1"/>
  <c r="AO54" i="31" s="1"/>
  <c r="B54" i="31"/>
  <c r="AB98" i="31"/>
  <c r="B98" i="31"/>
  <c r="AO98" i="31" a="1"/>
  <c r="AO98" i="31" s="1"/>
  <c r="AH254" i="30"/>
  <c r="AO34" i="31" a="1"/>
  <c r="AO34" i="31" s="1"/>
  <c r="AB34" i="31"/>
  <c r="B34" i="31"/>
  <c r="AF34" i="31"/>
  <c r="AO82" i="31" a="1"/>
  <c r="AO82" i="31" s="1"/>
  <c r="B82" i="31"/>
  <c r="AB82" i="31"/>
  <c r="AB117" i="31"/>
  <c r="B117" i="31"/>
  <c r="AO117" i="31" a="1"/>
  <c r="AO117" i="31" s="1"/>
  <c r="AB33" i="31"/>
  <c r="B33" i="31"/>
  <c r="AO33" i="31" a="1"/>
  <c r="AO33" i="31" s="1"/>
  <c r="AB50" i="31"/>
  <c r="AO50" i="31" a="1"/>
  <c r="AO50" i="31" s="1"/>
  <c r="B50" i="31"/>
  <c r="AB66" i="31"/>
  <c r="AO66" i="31" a="1"/>
  <c r="AO66" i="31" s="1"/>
  <c r="B66" i="31"/>
  <c r="F83" i="31" a="1"/>
  <c r="F83" i="31" s="1"/>
  <c r="AB31" i="31"/>
  <c r="AF31" i="31"/>
  <c r="AO31" i="31" a="1"/>
  <c r="AO31" i="31" s="1"/>
  <c r="AF33" i="31"/>
  <c r="AB46" i="31"/>
  <c r="AO46" i="31" a="1"/>
  <c r="AO46" i="31" s="1"/>
  <c r="B46" i="31"/>
  <c r="AB62" i="31"/>
  <c r="AO62" i="31" a="1"/>
  <c r="AO62" i="31" s="1"/>
  <c r="B62" i="31"/>
  <c r="AB78" i="31"/>
  <c r="AO78" i="31" a="1"/>
  <c r="AO78" i="31" s="1"/>
  <c r="B78" i="31"/>
  <c r="AN42" i="32" a="1"/>
  <c r="AN42" i="32" s="1"/>
  <c r="AB42" i="32"/>
  <c r="B42" i="32"/>
  <c r="AB58" i="31"/>
  <c r="AO58" i="31" a="1"/>
  <c r="AO58" i="31" s="1"/>
  <c r="B58" i="31"/>
  <c r="AB74" i="31"/>
  <c r="AO74" i="31" a="1"/>
  <c r="AO74" i="31" s="1"/>
  <c r="B74" i="31"/>
  <c r="B42" i="31"/>
  <c r="AO42" i="31" a="1"/>
  <c r="AO42" i="31" s="1"/>
  <c r="AO47" i="31" a="1"/>
  <c r="AO47" i="31" s="1"/>
  <c r="B47" i="31"/>
  <c r="AO51" i="31" a="1"/>
  <c r="AO51" i="31" s="1"/>
  <c r="B51" i="31"/>
  <c r="AO55" i="31" a="1"/>
  <c r="AO55" i="31" s="1"/>
  <c r="B55" i="31"/>
  <c r="AO59" i="31" a="1"/>
  <c r="AO59" i="31" s="1"/>
  <c r="B59" i="31"/>
  <c r="AO63" i="31" a="1"/>
  <c r="AO63" i="31" s="1"/>
  <c r="B63" i="31"/>
  <c r="AO67" i="31" a="1"/>
  <c r="AO67" i="31" s="1"/>
  <c r="B67" i="31"/>
  <c r="AO71" i="31" a="1"/>
  <c r="AO71" i="31" s="1"/>
  <c r="B71" i="31"/>
  <c r="AO75" i="31" a="1"/>
  <c r="AO75" i="31" s="1"/>
  <c r="B75" i="31"/>
  <c r="AO79" i="31" a="1"/>
  <c r="AO79" i="31" s="1"/>
  <c r="B79" i="31"/>
  <c r="AO91" i="31" a="1"/>
  <c r="AO91" i="31" s="1"/>
  <c r="B91" i="31"/>
  <c r="AB91" i="31"/>
  <c r="AB94" i="31"/>
  <c r="B94" i="31"/>
  <c r="AB105" i="31"/>
  <c r="B105" i="31"/>
  <c r="AB113" i="31"/>
  <c r="B113" i="31"/>
  <c r="AO113" i="31" a="1"/>
  <c r="AO113" i="31" s="1"/>
  <c r="AN38" i="32" a="1"/>
  <c r="AN38" i="32" s="1"/>
  <c r="AB38" i="32"/>
  <c r="B38" i="32"/>
  <c r="AN54" i="32" a="1"/>
  <c r="AN54" i="32" s="1"/>
  <c r="AB54" i="32"/>
  <c r="B54" i="32"/>
  <c r="AN108" i="32" a="1"/>
  <c r="AN108" i="32" s="1"/>
  <c r="AB108" i="32"/>
  <c r="B108" i="32"/>
  <c r="AO87" i="31" a="1"/>
  <c r="AO87" i="31" s="1"/>
  <c r="B87" i="31"/>
  <c r="AB93" i="31"/>
  <c r="AO93" i="31" a="1"/>
  <c r="AO93" i="31" s="1"/>
  <c r="B93" i="31"/>
  <c r="AN34" i="32" a="1"/>
  <c r="AN34" i="32" s="1"/>
  <c r="AB34" i="32"/>
  <c r="B34" i="32"/>
  <c r="AN50" i="32" a="1"/>
  <c r="AN50" i="32" s="1"/>
  <c r="AB50" i="32"/>
  <c r="B50" i="32"/>
  <c r="AO43" i="31" a="1"/>
  <c r="AO43" i="31" s="1"/>
  <c r="B43" i="31"/>
  <c r="AO85" i="31" a="1"/>
  <c r="AO85" i="31" s="1"/>
  <c r="B85" i="31"/>
  <c r="AB87" i="31"/>
  <c r="B89" i="31"/>
  <c r="AB89" i="31"/>
  <c r="AO99" i="31" a="1"/>
  <c r="AO99" i="31" s="1"/>
  <c r="B99" i="31"/>
  <c r="AB99" i="31"/>
  <c r="AO103" i="31" a="1"/>
  <c r="AO103" i="31" s="1"/>
  <c r="B103" i="31"/>
  <c r="AB103" i="31"/>
  <c r="AB121" i="31"/>
  <c r="B121" i="31"/>
  <c r="AO121" i="31" a="1"/>
  <c r="AO121" i="31" s="1"/>
  <c r="AN30" i="32" a="1"/>
  <c r="AN30" i="32" s="1"/>
  <c r="B30" i="32"/>
  <c r="AB30" i="32"/>
  <c r="AN46" i="32" a="1"/>
  <c r="AN46" i="32" s="1"/>
  <c r="AB46" i="32"/>
  <c r="B46" i="32"/>
  <c r="AB125" i="31"/>
  <c r="B125" i="31"/>
  <c r="AB129" i="31"/>
  <c r="B129" i="31"/>
  <c r="AB32" i="32"/>
  <c r="B32" i="32"/>
  <c r="AB36" i="32"/>
  <c r="B36" i="32"/>
  <c r="AB40" i="32"/>
  <c r="B40" i="32"/>
  <c r="AB44" i="32"/>
  <c r="B44" i="32"/>
  <c r="AB48" i="32"/>
  <c r="B48" i="32"/>
  <c r="AB52" i="32"/>
  <c r="B52" i="32"/>
  <c r="AN61" i="32" a="1"/>
  <c r="AN61" i="32" s="1"/>
  <c r="AB61" i="32"/>
  <c r="B61" i="32"/>
  <c r="AN104" i="32" a="1"/>
  <c r="AN104" i="32" s="1"/>
  <c r="AB104" i="32"/>
  <c r="B104" i="32"/>
  <c r="AB35" i="31"/>
  <c r="AB36" i="31"/>
  <c r="AB37" i="31"/>
  <c r="AB38" i="31"/>
  <c r="AB39" i="31"/>
  <c r="AB40" i="31"/>
  <c r="AO83" i="31" a="1"/>
  <c r="AO83" i="31" s="1"/>
  <c r="AB86" i="31"/>
  <c r="AB88" i="31"/>
  <c r="AO88" i="31" a="1"/>
  <c r="AO88" i="31" s="1"/>
  <c r="AO95" i="31" a="1"/>
  <c r="AO95" i="31" s="1"/>
  <c r="B95" i="31"/>
  <c r="AB106" i="31"/>
  <c r="B106" i="31"/>
  <c r="AO111" i="31" a="1"/>
  <c r="AO111" i="31" s="1"/>
  <c r="B111" i="31"/>
  <c r="AO125" i="31" a="1"/>
  <c r="AO125" i="31" s="1"/>
  <c r="AO129" i="31" a="1"/>
  <c r="AO129" i="31" s="1"/>
  <c r="AN32" i="32" a="1"/>
  <c r="AN32" i="32" s="1"/>
  <c r="AN36" i="32" a="1"/>
  <c r="AN36" i="32" s="1"/>
  <c r="AN40" i="32" a="1"/>
  <c r="AN40" i="32" s="1"/>
  <c r="AN44" i="32" a="1"/>
  <c r="AN44" i="32" s="1"/>
  <c r="AN48" i="32" a="1"/>
  <c r="AN48" i="32" s="1"/>
  <c r="AN52" i="32" a="1"/>
  <c r="AN52" i="32" s="1"/>
  <c r="AB93" i="32"/>
  <c r="B93" i="32"/>
  <c r="AN93" i="32" a="1"/>
  <c r="AN93" i="32" s="1"/>
  <c r="AN116" i="32" a="1"/>
  <c r="AN116" i="32" s="1"/>
  <c r="AB116" i="32"/>
  <c r="B116" i="32"/>
  <c r="B48" i="31"/>
  <c r="B52" i="31"/>
  <c r="B56" i="31"/>
  <c r="B60" i="31"/>
  <c r="B64" i="31"/>
  <c r="B68" i="31"/>
  <c r="B72" i="31"/>
  <c r="B76" i="31"/>
  <c r="B80" i="31"/>
  <c r="B84" i="31"/>
  <c r="AB90" i="31"/>
  <c r="AB102" i="31"/>
  <c r="B102" i="31"/>
  <c r="AO107" i="31" a="1"/>
  <c r="AO107" i="31" s="1"/>
  <c r="B107" i="3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B69" i="32"/>
  <c r="B69" i="32"/>
  <c r="AN69" i="32" a="1"/>
  <c r="AN69" i="32" s="1"/>
  <c r="AN112" i="32" a="1"/>
  <c r="AN112" i="32" s="1"/>
  <c r="AB112" i="32"/>
  <c r="B112" i="32"/>
  <c r="B110" i="31"/>
  <c r="AB110" i="31"/>
  <c r="B114" i="31"/>
  <c r="AB114" i="31"/>
  <c r="B118" i="31"/>
  <c r="AB118" i="31"/>
  <c r="B122" i="31"/>
  <c r="AB122" i="31"/>
  <c r="B126" i="31"/>
  <c r="AB126" i="31"/>
  <c r="B130" i="31"/>
  <c r="AB130" i="31"/>
  <c r="AB60" i="32"/>
  <c r="B60" i="32"/>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B89" i="32"/>
  <c r="B89" i="32"/>
  <c r="AN89" i="32" a="1"/>
  <c r="AN89" i="32" s="1"/>
  <c r="AB106" i="32"/>
  <c r="B106" i="32"/>
  <c r="AB110" i="32"/>
  <c r="B110" i="32"/>
  <c r="AB114" i="32"/>
  <c r="B114" i="32"/>
  <c r="AO115" i="31" a="1"/>
  <c r="AO115" i="31" s="1"/>
  <c r="B115" i="31"/>
  <c r="AO119" i="31" a="1"/>
  <c r="AO119" i="31" s="1"/>
  <c r="B119" i="31"/>
  <c r="AO123" i="31" a="1"/>
  <c r="AO123" i="31" s="1"/>
  <c r="B123" i="31"/>
  <c r="AO127" i="31" a="1"/>
  <c r="AO127" i="31" s="1"/>
  <c r="B127" i="31"/>
  <c r="AO131" i="31" a="1"/>
  <c r="AO131" i="31" s="1"/>
  <c r="B131" i="31"/>
  <c r="AB77" i="32"/>
  <c r="B77" i="32"/>
  <c r="AN77" i="32" a="1"/>
  <c r="AN77" i="32" s="1"/>
  <c r="AB85" i="32"/>
  <c r="B85" i="32"/>
  <c r="AN85" i="32" a="1"/>
  <c r="AN85" i="32" s="1"/>
  <c r="AB101" i="32"/>
  <c r="B101" i="32"/>
  <c r="AN101" i="32" a="1"/>
  <c r="AN101" i="32" s="1"/>
  <c r="AN102" i="32" a="1"/>
  <c r="AN102" i="32" s="1"/>
  <c r="AN106" i="32" a="1"/>
  <c r="AN106" i="32" s="1"/>
  <c r="AN110" i="32" a="1"/>
  <c r="AN110" i="32" s="1"/>
  <c r="AN114" i="32" a="1"/>
  <c r="AN114" i="32" s="1"/>
  <c r="AN119" i="32" a="1"/>
  <c r="AN119" i="32" s="1"/>
  <c r="AB119" i="32"/>
  <c r="B119" i="32"/>
  <c r="AB56" i="32"/>
  <c r="B56" i="32"/>
  <c r="AB64" i="32"/>
  <c r="B64" i="32"/>
  <c r="AB73" i="32"/>
  <c r="B73" i="32"/>
  <c r="AN73" i="32" a="1"/>
  <c r="AN73" i="32" s="1"/>
  <c r="AB97" i="32"/>
  <c r="B97" i="32"/>
  <c r="AN97" i="32" a="1"/>
  <c r="AN97" i="32" s="1"/>
  <c r="AB118" i="32"/>
  <c r="B118" i="32"/>
  <c r="B68" i="32"/>
  <c r="B72" i="32"/>
  <c r="B76" i="32"/>
  <c r="B84" i="32"/>
  <c r="B88" i="32"/>
  <c r="B92" i="32"/>
  <c r="B96" i="32"/>
  <c r="B100" i="32"/>
  <c r="T76" i="33"/>
  <c r="F77" i="33" a="1"/>
  <c r="F77" i="33" s="1"/>
  <c r="AB122" i="32"/>
  <c r="B122" i="32"/>
  <c r="AB126" i="32"/>
  <c r="B126" i="32"/>
  <c r="AB130" i="32"/>
  <c r="B130" i="32"/>
  <c r="AE28" i="33"/>
  <c r="AE27" i="33" s="1"/>
  <c r="F166" i="33" a="1"/>
  <c r="F166" i="33" s="1"/>
  <c r="T165" i="33"/>
  <c r="F49" i="34" a="1"/>
  <c r="F49" i="34" s="1"/>
  <c r="K48" i="34"/>
  <c r="B125" i="32"/>
  <c r="B129" i="32"/>
  <c r="AE78" i="33"/>
  <c r="AF57" i="34"/>
  <c r="F30" i="34" a="1"/>
  <c r="F30" i="34" s="1"/>
  <c r="M48" i="34" a="1"/>
  <c r="M48" i="34" s="1"/>
  <c r="M20" i="42"/>
  <c r="M12" i="42"/>
  <c r="M19" i="42"/>
  <c r="M11" i="42"/>
  <c r="M16" i="42"/>
  <c r="M15" i="42"/>
  <c r="AF38" i="34"/>
  <c r="AF37" i="17" l="1"/>
  <c r="AF35" i="17" s="1"/>
  <c r="AE37" i="17"/>
  <c r="AE35" i="17" s="1"/>
  <c r="AF30" i="17"/>
  <c r="AF28" i="17"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166" i="33"/>
  <c r="T167" i="33" s="1" a="1"/>
  <c r="T167" i="33" s="1"/>
  <c r="F78" i="33" a="1"/>
  <c r="F78" i="33" s="1"/>
  <c r="F79" i="33" s="1"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T77" i="33"/>
  <c r="T78" i="33" s="1" a="1"/>
  <c r="T78" i="33" s="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AB281" i="29"/>
  <c r="D282" i="29" a="1"/>
  <c r="D282" i="29" s="1"/>
  <c r="BO36" i="29"/>
  <c r="F37" i="29" a="1"/>
  <c r="F37" i="29"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D138" i="29" a="1"/>
  <c r="D138" i="29" s="1"/>
  <c r="AB137" i="29"/>
  <c r="AN34" i="28"/>
  <c r="F35" i="28" a="1"/>
  <c r="F35" i="28" s="1"/>
  <c r="F85" i="23" a="1"/>
  <c r="F85" i="23" s="1"/>
  <c r="K84" i="23"/>
  <c r="F30" i="20" a="1"/>
  <c r="F30" i="20" s="1"/>
  <c r="F86" i="26" a="1"/>
  <c r="F86" i="26" s="1"/>
  <c r="F34" i="13" a="1"/>
  <c r="F34" i="13" s="1"/>
  <c r="T33" i="13"/>
  <c r="S29" i="27" a="1"/>
  <c r="S29" i="27" s="1"/>
  <c r="B78" i="27" s="1" a="1"/>
  <c r="B78" i="27" s="1"/>
  <c r="B79" i="27" s="1" a="1"/>
  <c r="B79" i="27" s="1"/>
  <c r="B80" i="27" s="1" a="1"/>
  <c r="B80" i="27" s="1"/>
  <c r="B81" i="27" s="1" a="1"/>
  <c r="B81" i="27" s="1"/>
  <c r="B82" i="27" s="1" a="1"/>
  <c r="B82" i="27" s="1"/>
  <c r="B83" i="27" s="1" a="1"/>
  <c r="B83" i="27" s="1"/>
  <c r="R65" i="11" a="1"/>
  <c r="R65" i="11" s="1"/>
  <c r="R81" i="11" a="1"/>
  <c r="R81" i="11" s="1"/>
  <c r="R107" i="11" a="1"/>
  <c r="R107" i="11" s="1"/>
  <c r="R28" i="11" a="1"/>
  <c r="R28" i="11" s="1"/>
  <c r="F30" i="13" a="1"/>
  <c r="F30" i="13" s="1"/>
  <c r="T29" i="13"/>
  <c r="F32" i="6" a="1"/>
  <c r="F32" i="6" s="1"/>
  <c r="U31" i="6"/>
  <c r="F84" i="31" a="1"/>
  <c r="F84" i="31" s="1"/>
  <c r="F36" i="31" a="1"/>
  <c r="F36" i="31" s="1"/>
  <c r="AF35" i="31"/>
  <c r="D282" i="30" a="1"/>
  <c r="D282" i="30" s="1"/>
  <c r="AB281" i="30"/>
  <c r="AB137" i="30"/>
  <c r="D138" i="30" a="1"/>
  <c r="D138" i="30" s="1"/>
  <c r="AB62" i="26"/>
  <c r="AB61" i="26"/>
  <c r="AB58" i="26"/>
  <c r="AB128" i="26"/>
  <c r="AB127" i="26"/>
  <c r="AB126" i="26"/>
  <c r="AB123" i="26"/>
  <c r="AB122" i="26"/>
  <c r="T29" i="19"/>
  <c r="T30" i="19" s="1" a="1"/>
  <c r="T30" i="19" s="1"/>
  <c r="T31" i="19" s="1" a="1"/>
  <c r="T31" i="19" s="1"/>
  <c r="F30" i="19" a="1"/>
  <c r="F30" i="19" s="1"/>
  <c r="B182" i="28"/>
  <c r="B181" i="28"/>
  <c r="AB30" i="8" a="1"/>
  <c r="AB30" i="8" s="1"/>
  <c r="W30" i="8" a="1"/>
  <c r="W30" i="8" s="1"/>
  <c r="F69" i="9" a="1"/>
  <c r="F69" i="9" s="1"/>
  <c r="F70" i="9" s="1" a="1"/>
  <c r="F70" i="9" s="1"/>
  <c r="U68" i="9"/>
  <c r="U69" i="9" s="1" a="1"/>
  <c r="U69" i="9" s="1"/>
  <c r="F33" i="17" a="1"/>
  <c r="F33" i="17" s="1"/>
  <c r="AE32" i="17" a="1"/>
  <c r="AE32" i="17" s="1"/>
  <c r="AE33" i="17" s="1"/>
  <c r="AE31" i="17" s="1"/>
  <c r="AF32" i="17" a="1"/>
  <c r="AF32" i="17" s="1"/>
  <c r="AF33" i="17" s="1"/>
  <c r="T27" i="27"/>
  <c r="T24" i="27"/>
  <c r="T26" i="27"/>
  <c r="T25" i="27"/>
  <c r="F34" i="8" a="1"/>
  <c r="F34" i="8" s="1"/>
  <c r="U33" i="8"/>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F31" i="34" a="1"/>
  <c r="F31" i="34" s="1"/>
  <c r="F50" i="34" a="1"/>
  <c r="F50" i="34" s="1"/>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K29" i="22"/>
  <c r="F30" i="22" a="1"/>
  <c r="F30" i="22" s="1"/>
  <c r="F61" i="18" a="1"/>
  <c r="F61" i="18" s="1"/>
  <c r="F62" i="18" s="1" a="1"/>
  <c r="F62" i="18" s="1"/>
  <c r="T60" i="18"/>
  <c r="T61" i="18" s="1" a="1"/>
  <c r="T61" i="18" s="1"/>
  <c r="AB113" i="26"/>
  <c r="AB112" i="26"/>
  <c r="AB109" i="26"/>
  <c r="K43" i="22"/>
  <c r="F44" i="22" a="1"/>
  <c r="F44" i="22" s="1"/>
  <c r="T30" i="18"/>
  <c r="T31" i="18" s="1" a="1"/>
  <c r="T31" i="18" s="1"/>
  <c r="F31" i="18" a="1"/>
  <c r="F31" i="18" s="1"/>
  <c r="F32" i="18" s="1" a="1"/>
  <c r="F32" i="18" s="1"/>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106" i="27" s="1" a="1"/>
  <c r="F106" i="27" s="1"/>
  <c r="F107" i="27" s="1" a="1"/>
  <c r="F107" i="27" s="1"/>
  <c r="F108" i="27" s="1" a="1"/>
  <c r="F108" i="27" s="1"/>
  <c r="F109" i="27" s="1" a="1"/>
  <c r="F109" i="27" s="1"/>
  <c r="F110" i="27" s="1" a="1"/>
  <c r="F110" i="27" s="1"/>
  <c r="F111" i="27" s="1" a="1"/>
  <c r="F111" i="27" s="1"/>
  <c r="F112" i="27" s="1" a="1"/>
  <c r="F112" i="27" s="1"/>
  <c r="F113" i="27" s="1" a="1"/>
  <c r="F113" i="27" s="1"/>
  <c r="F114" i="27" s="1" a="1"/>
  <c r="F114" i="27" s="1"/>
  <c r="F115" i="27" s="1" a="1"/>
  <c r="F115" i="27" s="1"/>
  <c r="F116" i="27" s="1" a="1"/>
  <c r="F116" i="27" s="1"/>
  <c r="F117" i="27" s="1" a="1"/>
  <c r="F117" i="27" s="1"/>
  <c r="F118" i="27" s="1" a="1"/>
  <c r="F118" i="27" s="1"/>
  <c r="F119" i="27" s="1" a="1"/>
  <c r="F119" i="27" s="1"/>
  <c r="F120" i="27" s="1" a="1"/>
  <c r="F120" i="27" s="1"/>
  <c r="F121" i="27" s="1" a="1"/>
  <c r="F121" i="27" s="1"/>
  <c r="F122" i="27" s="1" a="1"/>
  <c r="F122" i="27" s="1"/>
  <c r="F123" i="27" s="1" a="1"/>
  <c r="F123" i="27" s="1"/>
  <c r="F124" i="27" s="1" a="1"/>
  <c r="F124" i="27" s="1"/>
  <c r="F125" i="27" s="1" a="1"/>
  <c r="F125" i="27" s="1"/>
  <c r="F126" i="27" s="1" a="1"/>
  <c r="F126" i="27" s="1"/>
  <c r="F35" i="26" a="1"/>
  <c r="F35" i="26" s="1"/>
  <c r="F49" i="20" a="1"/>
  <c r="F49" i="20" s="1"/>
  <c r="T54" i="19"/>
  <c r="T55" i="19" s="1" a="1"/>
  <c r="T55" i="19" s="1"/>
  <c r="T56" i="19" s="1" a="1"/>
  <c r="T56" i="19" s="1"/>
  <c r="F55" i="19" a="1"/>
  <c r="F55" i="19" s="1"/>
  <c r="F56" i="19" s="1" a="1"/>
  <c r="F56" i="19" s="1"/>
  <c r="F57" i="19" s="1" a="1"/>
  <c r="F57" i="19" s="1"/>
  <c r="S81" i="11"/>
  <c r="S107" i="1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S28" i="11"/>
  <c r="S65" i="11"/>
  <c r="T65" i="11" s="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U41" i="9"/>
  <c r="U42" i="9" s="1" a="1"/>
  <c r="U42" i="9" s="1"/>
  <c r="F42" i="9" a="1"/>
  <c r="F42" i="9" s="1"/>
  <c r="S85" i="27" a="1"/>
  <c r="S85" i="27" s="1"/>
  <c r="B134" i="27" s="1" a="1"/>
  <c r="B134" i="27" s="1"/>
  <c r="B135" i="27" s="1" a="1"/>
  <c r="B135" i="27" s="1"/>
  <c r="B136" i="27" s="1" a="1"/>
  <c r="B136" i="27" s="1"/>
  <c r="B137" i="27" s="1" a="1"/>
  <c r="B137" i="27" s="1"/>
  <c r="B138" i="27" s="1" a="1"/>
  <c r="B138" i="27" s="1"/>
  <c r="B139" i="27" s="1" a="1"/>
  <c r="B139" i="27" s="1"/>
  <c r="R156" i="11" a="1"/>
  <c r="R156" i="11" s="1"/>
  <c r="R172" i="11" a="1"/>
  <c r="R172" i="11" s="1"/>
  <c r="R198" i="11" a="1"/>
  <c r="R198" i="11" s="1"/>
  <c r="R119" i="11" a="1"/>
  <c r="R119" i="11" s="1"/>
  <c r="AC42" i="7"/>
  <c r="AC44" i="7"/>
  <c r="B43" i="7" a="1"/>
  <c r="B43" i="7" s="1"/>
  <c r="AN119" i="28"/>
  <c r="F120" i="28" a="1"/>
  <c r="F120" i="28"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62" i="27" s="1" a="1"/>
  <c r="F62" i="27" s="1"/>
  <c r="F63" i="27" s="1" a="1"/>
  <c r="F63" i="27" s="1"/>
  <c r="F64" i="27" s="1" a="1"/>
  <c r="F64" i="27" s="1"/>
  <c r="F65" i="27" s="1" a="1"/>
  <c r="F65" i="27" s="1"/>
  <c r="F66" i="27" s="1" a="1"/>
  <c r="F66" i="27" s="1"/>
  <c r="F67" i="27" s="1" a="1"/>
  <c r="F67" i="27" s="1"/>
  <c r="F68" i="27" s="1" a="1"/>
  <c r="F68" i="27" s="1"/>
  <c r="F69" i="27" s="1" a="1"/>
  <c r="F69" i="27" s="1"/>
  <c r="F70" i="27" s="1" a="1"/>
  <c r="F70" i="27" s="1"/>
  <c r="F44" i="21" a="1"/>
  <c r="F44" i="21" s="1"/>
  <c r="F45" i="21" s="1" a="1"/>
  <c r="F45" i="21" s="1"/>
  <c r="F46" i="21" s="1" a="1"/>
  <c r="F46" i="21" s="1"/>
  <c r="F47" i="21" s="1" a="1"/>
  <c r="F47" i="21" s="1"/>
  <c r="F48" i="21" s="1" a="1"/>
  <c r="F48" i="21" s="1"/>
  <c r="F49" i="21" s="1" a="1"/>
  <c r="F49" i="21" s="1"/>
  <c r="F32" i="21" a="1"/>
  <c r="F32" i="21" s="1"/>
  <c r="F33" i="21" s="1" a="1"/>
  <c r="F33" i="21" s="1"/>
  <c r="F34" i="21" s="1" a="1"/>
  <c r="F34" i="21" s="1"/>
  <c r="F35" i="21" s="1" a="1"/>
  <c r="F35" i="21" s="1"/>
  <c r="F36" i="21" s="1" a="1"/>
  <c r="F36" i="21" s="1"/>
  <c r="F37" i="21" s="1" a="1"/>
  <c r="F37" i="21" s="1"/>
  <c r="K55" i="23"/>
  <c r="F56" i="23" a="1"/>
  <c r="F56" i="23" s="1"/>
  <c r="H86" i="28"/>
  <c r="H85" i="28"/>
  <c r="AF39" i="17" a="1"/>
  <c r="AF39" i="17" s="1"/>
  <c r="AF40" i="17" s="1"/>
  <c r="AF38" i="17" s="1"/>
  <c r="F40" i="17" a="1"/>
  <c r="F40" i="17" s="1"/>
  <c r="AE39" i="17" a="1"/>
  <c r="AE39" i="17" s="1"/>
  <c r="AE40" i="17" s="1"/>
  <c r="AE38" i="17" s="1"/>
  <c r="V36" i="7"/>
  <c r="F37" i="7" a="1"/>
  <c r="F37" i="7" s="1"/>
  <c r="AB34" i="5"/>
  <c r="T34" i="14"/>
  <c r="T35" i="14" s="1" a="1"/>
  <c r="T35" i="14" s="1"/>
  <c r="T36" i="14" s="1" a="1"/>
  <c r="T36" i="14" s="1"/>
  <c r="F35" i="14" a="1"/>
  <c r="F35" i="14" s="1"/>
  <c r="F55" i="14" a="1"/>
  <c r="F55" i="14" s="1"/>
  <c r="F56" i="14" s="1" a="1"/>
  <c r="F56" i="14" s="1"/>
  <c r="F57" i="14" s="1" a="1"/>
  <c r="F57" i="14" s="1"/>
  <c r="T54" i="14"/>
  <c r="T55" i="14" s="1" a="1"/>
  <c r="T55" i="14" s="1"/>
  <c r="T56" i="14" s="1" a="1"/>
  <c r="T56" i="14" s="1"/>
  <c r="AC36" i="7"/>
  <c r="B29" i="7" a="1"/>
  <c r="B29" i="7" s="1"/>
  <c r="B94" i="28"/>
  <c r="B95" i="28"/>
  <c r="AF31" i="17" l="1"/>
  <c r="AN120" i="28"/>
  <c r="F121" i="28" a="1"/>
  <c r="F121" i="28" s="1"/>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F31" i="22" a="1"/>
  <c r="F31" i="22" s="1"/>
  <c r="K30" i="22"/>
  <c r="U70" i="9"/>
  <c r="F71" i="9" a="1"/>
  <c r="F71" i="9" s="1"/>
  <c r="F31" i="19" a="1"/>
  <c r="F31" i="19" s="1"/>
  <c r="AB59" i="26"/>
  <c r="AB60" i="26"/>
  <c r="AB282" i="30"/>
  <c r="D283" i="30" a="1"/>
  <c r="D283" i="30" s="1"/>
  <c r="T28" i="1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35" i="13" a="1"/>
  <c r="F35" i="13" s="1"/>
  <c r="AG34" i="26" s="1"/>
  <c r="T34" i="13"/>
  <c r="F203" i="33" a="1"/>
  <c r="F203" i="33" s="1"/>
  <c r="T202" i="33"/>
  <c r="AC30" i="7"/>
  <c r="AC32" i="7"/>
  <c r="B31" i="7" a="1"/>
  <c r="B31" i="7" s="1"/>
  <c r="F36" i="14" a="1"/>
  <c r="F36" i="14" s="1"/>
  <c r="F37" i="14" s="1" a="1"/>
  <c r="F37" i="14" s="1"/>
  <c r="F50" i="21" a="1"/>
  <c r="F50" i="21" s="1"/>
  <c r="T50" i="21" s="1"/>
  <c r="T49" i="21"/>
  <c r="F58" i="19" a="1"/>
  <c r="F58" i="19" s="1"/>
  <c r="F59" i="19" s="1" a="1"/>
  <c r="F59" i="19" s="1"/>
  <c r="F60" i="19" s="1" a="1"/>
  <c r="F60" i="19" s="1"/>
  <c r="T57" i="19"/>
  <c r="T58" i="19" s="1" a="1"/>
  <c r="T58" i="19" s="1"/>
  <c r="T59" i="19" s="1" a="1"/>
  <c r="T59" i="19" s="1"/>
  <c r="F50" i="20" a="1"/>
  <c r="F50" i="20" s="1"/>
  <c r="K49" i="20"/>
  <c r="F38" i="21" a="1"/>
  <c r="F38" i="21" s="1"/>
  <c r="T38" i="21" s="1"/>
  <c r="T37" i="21"/>
  <c r="F45" i="22" a="1"/>
  <c r="F45" i="22" s="1"/>
  <c r="K44" i="22"/>
  <c r="F51" i="34" a="1"/>
  <c r="F51" i="34" s="1"/>
  <c r="F52" i="34" s="1" a="1"/>
  <c r="F52" i="34" s="1"/>
  <c r="F53" i="34" s="1" a="1"/>
  <c r="F53" i="34" s="1"/>
  <c r="F54" i="34" s="1" a="1"/>
  <c r="F54" i="34" s="1"/>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AB138" i="30"/>
  <c r="D139" i="30" a="1"/>
  <c r="D139" i="30" s="1"/>
  <c r="F37" i="31" a="1"/>
  <c r="F37" i="31" s="1"/>
  <c r="AF36" i="3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F87" i="26" a="1"/>
  <c r="F87" i="26" s="1"/>
  <c r="D139" i="29" a="1"/>
  <c r="D139" i="29" s="1"/>
  <c r="AB138" i="29"/>
  <c r="D283" i="29" a="1"/>
  <c r="D283" i="29" s="1"/>
  <c r="AB282" i="29"/>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a="1"/>
  <c r="T92" i="33" s="1"/>
  <c r="T93" i="33" s="1" a="1"/>
  <c r="T93" i="33" s="1"/>
  <c r="T94" i="33" s="1" a="1"/>
  <c r="T94" i="33" s="1"/>
  <c r="T95" i="33" s="1" a="1"/>
  <c r="T95" i="33" s="1"/>
  <c r="T96" i="33" s="1" a="1"/>
  <c r="T96" i="33" s="1"/>
  <c r="T97" i="33" s="1" a="1"/>
  <c r="T97" i="33" s="1"/>
  <c r="T98" i="33" s="1" a="1"/>
  <c r="T98" i="33" s="1"/>
  <c r="T32" i="18"/>
  <c r="T33" i="18" s="1" a="1"/>
  <c r="T33" i="18" s="1"/>
  <c r="F33" i="18" a="1"/>
  <c r="F33" i="18" s="1"/>
  <c r="F32" i="34" a="1"/>
  <c r="F32" i="34" s="1"/>
  <c r="F33" i="34" s="1" a="1"/>
  <c r="F33" i="34" s="1"/>
  <c r="F34" i="34" s="1" a="1"/>
  <c r="F34" i="34" s="1"/>
  <c r="F35" i="34" s="1" a="1"/>
  <c r="F35" i="34" s="1"/>
  <c r="AB55" i="9" a="1"/>
  <c r="AB55" i="9" s="1"/>
  <c r="W55" i="9" a="1"/>
  <c r="W55" i="9" s="1"/>
  <c r="F85" i="31" a="1"/>
  <c r="F85" i="31" s="1"/>
  <c r="T81" i="1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AN35" i="28"/>
  <c r="F36" i="28" a="1"/>
  <c r="F36" i="28" s="1"/>
  <c r="F196" i="29" a="1"/>
  <c r="F196" i="29" s="1"/>
  <c r="F114" i="33" a="1"/>
  <c r="F114" i="33" s="1"/>
  <c r="T113" i="33"/>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F43" i="9" a="1"/>
  <c r="F43" i="9" s="1"/>
  <c r="F58" i="14" a="1"/>
  <c r="F58" i="14" s="1"/>
  <c r="F59" i="14" s="1" a="1"/>
  <c r="F59" i="14" s="1"/>
  <c r="T57" i="14"/>
  <c r="T58" i="14" s="1" a="1"/>
  <c r="T58" i="14" s="1"/>
  <c r="F38" i="7" a="1"/>
  <c r="F38" i="7" s="1"/>
  <c r="AE18" i="34" s="1"/>
  <c r="F57" i="23" a="1"/>
  <c r="F57" i="23" s="1"/>
  <c r="K56" i="23"/>
  <c r="F36" i="26" a="1"/>
  <c r="F36" i="26" s="1"/>
  <c r="AB111" i="26"/>
  <c r="AB110" i="26"/>
  <c r="F63" i="18" a="1"/>
  <c r="F63" i="18" s="1"/>
  <c r="F64" i="18" s="1" a="1"/>
  <c r="F64" i="18" s="1"/>
  <c r="F65" i="18" s="1" a="1"/>
  <c r="F65" i="18" s="1"/>
  <c r="T62" i="18"/>
  <c r="T63" i="18" s="1" a="1"/>
  <c r="T63" i="18" s="1"/>
  <c r="F196" i="30" a="1"/>
  <c r="F196" i="30" s="1"/>
  <c r="U34" i="8"/>
  <c r="F35" i="8" a="1"/>
  <c r="F35" i="8" s="1"/>
  <c r="F31" i="20" a="1"/>
  <c r="F31" i="20" s="1"/>
  <c r="K30" i="20"/>
  <c r="K85" i="23"/>
  <c r="F86" i="23" a="1"/>
  <c r="F86" i="23" s="1"/>
  <c r="F38" i="29" a="1"/>
  <c r="F38" i="29" s="1"/>
  <c r="F52" i="30" a="1"/>
  <c r="F52" i="30" s="1"/>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AE115" i="28" l="1"/>
  <c r="AE114" i="28" s="1"/>
  <c r="AG115" i="28"/>
  <c r="AG114" i="28" s="1"/>
  <c r="AI30" i="28"/>
  <c r="AL30" i="28" s="1"/>
  <c r="AF115" i="28"/>
  <c r="AF114" i="28" s="1"/>
  <c r="AJ115" i="28"/>
  <c r="AJ114" i="28" s="1"/>
  <c r="AE30" i="28"/>
  <c r="AE29" i="28" s="1"/>
  <c r="AK30" i="28"/>
  <c r="AK29" i="28" s="1"/>
  <c r="AG85" i="26"/>
  <c r="AF30" i="28"/>
  <c r="AF29" i="28" s="1"/>
  <c r="AJ30" i="28"/>
  <c r="AJ29" i="28" s="1"/>
  <c r="AI115" i="28"/>
  <c r="AI114" i="28" s="1"/>
  <c r="AK115" i="28"/>
  <c r="AK114" i="28" s="1"/>
  <c r="AG30" i="28"/>
  <c r="AG29" i="28" s="1"/>
  <c r="F39" i="29" a="1"/>
  <c r="F39" i="29" s="1"/>
  <c r="AI29" i="28"/>
  <c r="F36" i="8" a="1"/>
  <c r="F36" i="8" s="1"/>
  <c r="U35" i="8"/>
  <c r="F37" i="26" a="1"/>
  <c r="F37" i="26" s="1"/>
  <c r="F44" i="9" a="1"/>
  <c r="F44" i="9" s="1"/>
  <c r="U43" i="9"/>
  <c r="T114" i="33"/>
  <c r="T115" i="33" s="1" a="1"/>
  <c r="T115" i="33" s="1"/>
  <c r="F115" i="33" a="1"/>
  <c r="F115" i="33" s="1"/>
  <c r="AE35" i="34"/>
  <c r="F36" i="34" a="1"/>
  <c r="F36" i="34" s="1"/>
  <c r="AF35" i="34"/>
  <c r="AB139" i="29"/>
  <c r="D140" i="29" a="1"/>
  <c r="D140" i="29" s="1"/>
  <c r="D140" i="30" a="1"/>
  <c r="D140" i="30" s="1"/>
  <c r="AB139" i="30"/>
  <c r="T203" i="33"/>
  <c r="T204" i="33" s="1" a="1"/>
  <c r="T204" i="33" s="1"/>
  <c r="F204" i="33" a="1"/>
  <c r="F204" i="33" s="1"/>
  <c r="D284" i="30" a="1"/>
  <c r="D284" i="30" s="1"/>
  <c r="AB283" i="30"/>
  <c r="F60" i="14" a="1"/>
  <c r="F60" i="14" s="1"/>
  <c r="F61" i="14" s="1" a="1"/>
  <c r="F61" i="14" s="1"/>
  <c r="F62" i="14" s="1" a="1"/>
  <c r="F62" i="14" s="1"/>
  <c r="F63" i="14" s="1" a="1"/>
  <c r="F63" i="14" s="1"/>
  <c r="F64" i="14" s="1" a="1"/>
  <c r="F64" i="14" s="1"/>
  <c r="F65" i="14" s="1" a="1"/>
  <c r="F65" i="14" s="1"/>
  <c r="F66" i="14" s="1" a="1"/>
  <c r="F66" i="14" s="1"/>
  <c r="T59" i="14"/>
  <c r="T60" i="14" s="1" a="1"/>
  <c r="T60" i="14" s="1"/>
  <c r="T61" i="14" s="1" a="1"/>
  <c r="T61" i="14" s="1"/>
  <c r="T62" i="14" s="1" a="1"/>
  <c r="T62" i="14" s="1"/>
  <c r="T63" i="14" s="1" a="1"/>
  <c r="T63" i="14" s="1"/>
  <c r="T64" i="14" s="1" a="1"/>
  <c r="T64" i="14" s="1"/>
  <c r="T65" i="14" s="1" a="1"/>
  <c r="T65" i="14" s="1"/>
  <c r="F77" i="27" a="1"/>
  <c r="F77" i="27" s="1"/>
  <c r="F78" i="27" s="1" a="1"/>
  <c r="F78" i="27" s="1"/>
  <c r="T76" i="27"/>
  <c r="T78" i="27" s="1" a="1"/>
  <c r="T78" i="27" s="1"/>
  <c r="T79" i="27" s="1" a="1"/>
  <c r="T79" i="27" s="1"/>
  <c r="T80" i="27" s="1" a="1"/>
  <c r="T80" i="27" s="1"/>
  <c r="T81" i="27" s="1" a="1"/>
  <c r="T81" i="27" s="1"/>
  <c r="F86" i="31" a="1"/>
  <c r="F86" i="31" s="1"/>
  <c r="AF85" i="31"/>
  <c r="F34" i="18" a="1"/>
  <c r="F34" i="18" s="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AF54" i="34"/>
  <c r="AE54" i="34"/>
  <c r="F55" i="34" a="1"/>
  <c r="F55" i="34" s="1"/>
  <c r="K50" i="20"/>
  <c r="F51" i="20" a="1"/>
  <c r="F51" i="20" s="1"/>
  <c r="F32" i="19" a="1"/>
  <c r="F32" i="19" s="1"/>
  <c r="F32" i="22" a="1"/>
  <c r="F32" i="22" s="1"/>
  <c r="K31" i="22"/>
  <c r="F122" i="28" a="1"/>
  <c r="F122" i="28" s="1"/>
  <c r="AN121" i="28"/>
  <c r="F53" i="30" a="1"/>
  <c r="F53" i="30" s="1"/>
  <c r="F54" i="30" s="1" a="1"/>
  <c r="F54" i="30" s="1"/>
  <c r="K31" i="20"/>
  <c r="F32" i="20" a="1"/>
  <c r="F32" i="20" s="1"/>
  <c r="F197" i="29" a="1"/>
  <c r="F197" i="29" s="1"/>
  <c r="F198" i="29" s="1" a="1"/>
  <c r="F198" i="29" s="1"/>
  <c r="AB32" i="10" a="1"/>
  <c r="AB32" i="10" s="1"/>
  <c r="X32" i="10" a="1"/>
  <c r="X32" i="10" s="1"/>
  <c r="D284" i="29" a="1"/>
  <c r="D284" i="29" s="1"/>
  <c r="AB283" i="29"/>
  <c r="F38" i="31" a="1"/>
  <c r="F38" i="31" s="1"/>
  <c r="AF37" i="31"/>
  <c r="U71" i="9"/>
  <c r="U72" i="9" s="1" a="1"/>
  <c r="U72" i="9" s="1"/>
  <c r="F72" i="9" a="1"/>
  <c r="F72" i="9" s="1"/>
  <c r="F73" i="9" s="1" a="1"/>
  <c r="F73" i="9" s="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F197" i="30" a="1"/>
  <c r="F197" i="30" s="1"/>
  <c r="F198" i="30" s="1" a="1"/>
  <c r="F198" i="30" s="1"/>
  <c r="F66" i="18" a="1"/>
  <c r="F66" i="18" s="1"/>
  <c r="F67" i="18" s="1" a="1"/>
  <c r="F67" i="18" s="1"/>
  <c r="T65" i="18"/>
  <c r="T66" i="18" s="1" a="1"/>
  <c r="T66" i="18" s="1"/>
  <c r="F37" i="28" a="1"/>
  <c r="F37" i="28" s="1"/>
  <c r="AN36" i="28"/>
  <c r="F88" i="26" a="1"/>
  <c r="F88" i="26" s="1"/>
  <c r="F46" i="22" a="1"/>
  <c r="F46" i="22" s="1"/>
  <c r="K45" i="22"/>
  <c r="F61" i="19" a="1"/>
  <c r="F61" i="19" s="1"/>
  <c r="F62" i="19" s="1" a="1"/>
  <c r="F62" i="19" s="1"/>
  <c r="F63" i="19" s="1" a="1"/>
  <c r="F63" i="19" s="1"/>
  <c r="T60" i="19"/>
  <c r="T61" i="19" s="1" a="1"/>
  <c r="T61" i="19" s="1"/>
  <c r="T62" i="19" s="1" a="1"/>
  <c r="T62" i="19" s="1"/>
  <c r="T37" i="14"/>
  <c r="T38" i="14" s="1" a="1"/>
  <c r="T38" i="14" s="1"/>
  <c r="F38" i="14" a="1"/>
  <c r="F38" i="14" s="1"/>
  <c r="F133" i="27" a="1"/>
  <c r="F133" i="27" s="1"/>
  <c r="F134" i="27" s="1" a="1"/>
  <c r="F134" i="27" s="1"/>
  <c r="T132" i="27"/>
  <c r="T134" i="27" s="1" a="1"/>
  <c r="T134" i="27" s="1"/>
  <c r="T135" i="27" s="1" a="1"/>
  <c r="T135" i="27" s="1"/>
  <c r="T136" i="27" s="1" a="1"/>
  <c r="T136" i="27" s="1"/>
  <c r="T137" i="27" s="1" a="1"/>
  <c r="T137" i="27" s="1"/>
  <c r="AF31" i="34" l="1"/>
  <c r="AH115" i="28"/>
  <c r="AL115" i="28"/>
  <c r="AF30" i="34"/>
  <c r="AH30" i="28"/>
  <c r="AL114" i="28"/>
  <c r="K46" i="22"/>
  <c r="F47" i="22" a="1"/>
  <c r="F47" i="22" s="1"/>
  <c r="T67" i="18"/>
  <c r="T68" i="18" s="1" a="1"/>
  <c r="T68" i="18" s="1"/>
  <c r="F68" i="18" a="1"/>
  <c r="F68" i="18" s="1"/>
  <c r="F69" i="18" s="1" a="1"/>
  <c r="F69" i="18" s="1"/>
  <c r="F70" i="18" s="1" a="1"/>
  <c r="F70" i="18" s="1"/>
  <c r="F199" i="30" a="1"/>
  <c r="F199" i="30" s="1"/>
  <c r="AF50" i="34"/>
  <c r="F39" i="31" a="1"/>
  <c r="F39" i="31" s="1"/>
  <c r="AF38" i="31"/>
  <c r="D285" i="29" a="1"/>
  <c r="D285" i="29" s="1"/>
  <c r="AB284" i="29"/>
  <c r="BO54" i="30"/>
  <c r="F55" i="30" a="1"/>
  <c r="F55" i="30" s="1"/>
  <c r="AE55" i="34"/>
  <c r="F56" i="34" a="1"/>
  <c r="F56" i="34" s="1"/>
  <c r="AF55" i="34"/>
  <c r="F87" i="31" a="1"/>
  <c r="F87" i="31" s="1"/>
  <c r="AF86" i="31"/>
  <c r="F67" i="14" a="1"/>
  <c r="F67" i="14" s="1"/>
  <c r="F68" i="14" s="1" a="1"/>
  <c r="F68" i="14" s="1"/>
  <c r="F69" i="14" s="1" a="1"/>
  <c r="F69" i="14" s="1"/>
  <c r="F70" i="14" s="1" a="1"/>
  <c r="F70" i="14" s="1"/>
  <c r="F71" i="14" s="1" a="1"/>
  <c r="F71" i="14" s="1"/>
  <c r="F72" i="14" s="1" a="1"/>
  <c r="F72" i="14" s="1"/>
  <c r="F73" i="14" s="1" a="1"/>
  <c r="F73" i="14" s="1"/>
  <c r="T66" i="14"/>
  <c r="T67" i="14" s="1" a="1"/>
  <c r="T67" i="14" s="1"/>
  <c r="T68" i="14" s="1" a="1"/>
  <c r="T68" i="14" s="1"/>
  <c r="T69" i="14" s="1" a="1"/>
  <c r="T69" i="14" s="1"/>
  <c r="T70" i="14" s="1" a="1"/>
  <c r="T70" i="14" s="1"/>
  <c r="T71" i="14" s="1" a="1"/>
  <c r="T71" i="14" s="1"/>
  <c r="T72" i="14" s="1" a="1"/>
  <c r="T72" i="14" s="1"/>
  <c r="D285" i="30" a="1"/>
  <c r="D285" i="30" s="1"/>
  <c r="AB284" i="30"/>
  <c r="U36" i="8"/>
  <c r="F37" i="8" a="1"/>
  <c r="F37" i="8" s="1"/>
  <c r="AL29" i="28"/>
  <c r="AH29" i="28"/>
  <c r="T199" i="33" a="1"/>
  <c r="T199" i="33" s="1"/>
  <c r="T197" i="33" a="1"/>
  <c r="T197" i="33" s="1"/>
  <c r="T198" i="33" s="1" a="1"/>
  <c r="T198" i="33" s="1"/>
  <c r="F33" i="20" a="1"/>
  <c r="F33" i="20" s="1"/>
  <c r="K32" i="20"/>
  <c r="AF36" i="34"/>
  <c r="AE36" i="34"/>
  <c r="F37" i="34" a="1"/>
  <c r="F37" i="34" s="1"/>
  <c r="AF49" i="34"/>
  <c r="K32" i="22"/>
  <c r="F33" i="22" a="1"/>
  <c r="F33" i="22" s="1"/>
  <c r="F79" i="27" a="1"/>
  <c r="F79" i="27" s="1"/>
  <c r="D141" i="29" a="1"/>
  <c r="D141" i="29" s="1"/>
  <c r="AB140" i="29"/>
  <c r="F45" i="9" a="1"/>
  <c r="F45" i="9" s="1"/>
  <c r="U44" i="9"/>
  <c r="U45" i="9" s="1" a="1"/>
  <c r="U45" i="9" s="1"/>
  <c r="F38" i="26" a="1"/>
  <c r="F38" i="26" s="1"/>
  <c r="AH114" i="28"/>
  <c r="F40" i="29" a="1"/>
  <c r="F40" i="29" s="1"/>
  <c r="T63" i="19"/>
  <c r="T64" i="19" s="1" a="1"/>
  <c r="T64" i="19" s="1"/>
  <c r="T65" i="19" s="1" a="1"/>
  <c r="T65" i="19" s="1"/>
  <c r="F64" i="19" a="1"/>
  <c r="F64" i="19" s="1"/>
  <c r="F38" i="28" a="1"/>
  <c r="F38" i="28" s="1"/>
  <c r="AN37" i="28"/>
  <c r="F74" i="9" a="1"/>
  <c r="F74" i="9" s="1"/>
  <c r="U73" i="9"/>
  <c r="V118" i="11" a="1"/>
  <c r="V118" i="11" s="1"/>
  <c r="AB118" i="11" a="1"/>
  <c r="AB118" i="11" s="1"/>
  <c r="T32" i="19"/>
  <c r="T33" i="19" s="1" a="1"/>
  <c r="T33" i="19" s="1"/>
  <c r="T34" i="19" s="1" a="1"/>
  <c r="T34" i="19" s="1"/>
  <c r="F33" i="19" a="1"/>
  <c r="F33" i="19" s="1"/>
  <c r="T110" i="33" a="1"/>
  <c r="T110" i="33" s="1"/>
  <c r="T108" i="33" a="1"/>
  <c r="T108" i="33" s="1"/>
  <c r="T109" i="33" s="1" a="1"/>
  <c r="T109" i="33" s="1"/>
  <c r="F39" i="14" a="1"/>
  <c r="F39" i="14" s="1"/>
  <c r="F89" i="26" a="1"/>
  <c r="F89" i="26" s="1"/>
  <c r="K51" i="20"/>
  <c r="F52" i="20" a="1"/>
  <c r="F52" i="20" s="1"/>
  <c r="F135" i="27" a="1"/>
  <c r="F135" i="27" s="1"/>
  <c r="F199" i="29" a="1"/>
  <c r="F199" i="29" s="1"/>
  <c r="F123" i="28" a="1"/>
  <c r="F123" i="28" s="1"/>
  <c r="AN122" i="28"/>
  <c r="F35" i="18" a="1"/>
  <c r="F35" i="18" s="1"/>
  <c r="D141" i="30" a="1"/>
  <c r="D141" i="30" s="1"/>
  <c r="AB140" i="30"/>
  <c r="V32" i="12" l="1" a="1"/>
  <c r="V32" i="12"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AB32" i="12" a="1"/>
  <c r="AB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K64" i="19"/>
  <c r="F65" i="19" a="1"/>
  <c r="F65" i="19" s="1"/>
  <c r="AB141" i="29"/>
  <c r="D142" i="29" a="1"/>
  <c r="D142" i="29" s="1"/>
  <c r="T201" i="33" a="1"/>
  <c r="T201" i="33" s="1"/>
  <c r="T200" i="33" a="1"/>
  <c r="T200" i="33" s="1"/>
  <c r="F88" i="31" a="1"/>
  <c r="F88" i="31" s="1"/>
  <c r="AF87" i="31"/>
  <c r="F57" i="34" a="1"/>
  <c r="F57" i="34" s="1"/>
  <c r="F58" i="34" s="1" a="1"/>
  <c r="F58" i="34" s="1"/>
  <c r="K47" i="22"/>
  <c r="F48" i="22" a="1"/>
  <c r="F48" i="22" s="1"/>
  <c r="F136" i="27" a="1"/>
  <c r="F136" i="27" s="1"/>
  <c r="F137" i="27" s="1" a="1"/>
  <c r="F137" i="27" s="1"/>
  <c r="F53" i="20" a="1"/>
  <c r="F53" i="20" s="1"/>
  <c r="K52" i="20"/>
  <c r="F40" i="14" a="1"/>
  <c r="F40" i="14" s="1"/>
  <c r="T39" i="14"/>
  <c r="T40" i="14" s="1" a="1"/>
  <c r="T40" i="14" s="1"/>
  <c r="T41" i="14" s="1" a="1"/>
  <c r="T41" i="14" s="1"/>
  <c r="T42" i="14" s="1" a="1"/>
  <c r="T42" i="14" s="1"/>
  <c r="T43" i="14" s="1" a="1"/>
  <c r="T43" i="14" s="1"/>
  <c r="T44" i="14" s="1" a="1"/>
  <c r="T44" i="14" s="1"/>
  <c r="T45" i="14" s="1" a="1"/>
  <c r="T45" i="14" s="1"/>
  <c r="F80" i="27" a="1"/>
  <c r="F80" i="27" s="1"/>
  <c r="F81" i="27" s="1" a="1"/>
  <c r="F81" i="27" s="1"/>
  <c r="F38" i="8" a="1"/>
  <c r="F38" i="8" s="1"/>
  <c r="U37" i="8"/>
  <c r="D286" i="30" a="1"/>
  <c r="D286" i="30" s="1"/>
  <c r="AB285" i="30"/>
  <c r="F56" i="30" a="1"/>
  <c r="F56" i="30" s="1"/>
  <c r="BO55" i="30"/>
  <c r="D286" i="29" a="1"/>
  <c r="D286" i="29" s="1"/>
  <c r="AB285" i="29"/>
  <c r="F40" i="31" a="1"/>
  <c r="F40" i="31" s="1"/>
  <c r="AF39" i="31"/>
  <c r="F200" i="30" a="1"/>
  <c r="F200" i="30" s="1"/>
  <c r="AN123" i="28"/>
  <c r="F124" i="28" a="1"/>
  <c r="F124" i="28" s="1"/>
  <c r="F34" i="19" a="1"/>
  <c r="F34" i="19" s="1"/>
  <c r="K33" i="19"/>
  <c r="F46" i="9" a="1"/>
  <c r="F46" i="9" s="1"/>
  <c r="K33" i="22"/>
  <c r="F34" i="22" a="1"/>
  <c r="F34" i="22" s="1"/>
  <c r="AE37" i="34"/>
  <c r="AE28" i="34" s="1"/>
  <c r="F38" i="34" a="1"/>
  <c r="F38" i="34" s="1"/>
  <c r="F39" i="34" s="1" a="1"/>
  <c r="F39" i="34" s="1"/>
  <c r="AF37" i="34"/>
  <c r="AF28" i="34" s="1"/>
  <c r="F34" i="20" a="1"/>
  <c r="F34" i="20" s="1"/>
  <c r="K33" i="20"/>
  <c r="F71" i="18" a="1"/>
  <c r="F71" i="18" s="1"/>
  <c r="F72" i="18" s="1" a="1"/>
  <c r="F72" i="18" s="1"/>
  <c r="T70" i="18"/>
  <c r="T71" i="18" s="1" a="1"/>
  <c r="T71" i="18" s="1"/>
  <c r="D142" i="30" a="1"/>
  <c r="D142" i="30" s="1"/>
  <c r="AB141" i="30"/>
  <c r="F36" i="18" a="1"/>
  <c r="F36" i="18" s="1"/>
  <c r="T35" i="18"/>
  <c r="T36" i="18" s="1" a="1"/>
  <c r="T36" i="18" s="1"/>
  <c r="F200" i="29" a="1"/>
  <c r="F200" i="29" s="1"/>
  <c r="F90" i="26" a="1"/>
  <c r="F90" i="26" s="1"/>
  <c r="T112" i="33" a="1"/>
  <c r="T112" i="33" s="1"/>
  <c r="T111" i="33" a="1"/>
  <c r="T111" i="33" s="1"/>
  <c r="U74" i="9"/>
  <c r="U75" i="9" s="1" a="1"/>
  <c r="U75" i="9" s="1"/>
  <c r="F75" i="9" a="1"/>
  <c r="F75" i="9" s="1"/>
  <c r="F76" i="9" s="1" a="1"/>
  <c r="F76" i="9" s="1"/>
  <c r="AN38" i="28"/>
  <c r="F39" i="28" a="1"/>
  <c r="F39" i="28" s="1"/>
  <c r="F41" i="29" a="1"/>
  <c r="F41" i="29" s="1"/>
  <c r="F39" i="26" a="1"/>
  <c r="F39" i="26" s="1"/>
  <c r="T73" i="14"/>
  <c r="U76" i="9" l="1"/>
  <c r="F77" i="9" a="1"/>
  <c r="F77" i="9" s="1"/>
  <c r="F91" i="26" a="1"/>
  <c r="F91" i="26" s="1"/>
  <c r="F201" i="29" a="1"/>
  <c r="F201" i="29" s="1"/>
  <c r="AE39" i="34"/>
  <c r="F40" i="34" a="1"/>
  <c r="F40" i="34" s="1"/>
  <c r="F41" i="34" s="1" a="1"/>
  <c r="F41" i="34" s="1"/>
  <c r="F42" i="34" s="1" a="1"/>
  <c r="F42" i="34" s="1"/>
  <c r="F43" i="34" s="1" a="1"/>
  <c r="F43" i="34" s="1"/>
  <c r="F44" i="34" s="1" a="1"/>
  <c r="F44" i="34" s="1"/>
  <c r="F45" i="34" s="1" a="1"/>
  <c r="F45" i="34" s="1"/>
  <c r="AF39" i="34"/>
  <c r="U46" i="9"/>
  <c r="F47" i="9" a="1"/>
  <c r="F47" i="9" s="1"/>
  <c r="F41" i="14" a="1"/>
  <c r="F41" i="14" s="1"/>
  <c r="AF58" i="34"/>
  <c r="AE58" i="34"/>
  <c r="F59" i="34" a="1"/>
  <c r="F59" i="34" s="1"/>
  <c r="F60" i="34" s="1" a="1"/>
  <c r="F60" i="34" s="1"/>
  <c r="F61" i="34" s="1" a="1"/>
  <c r="F61" i="34" s="1"/>
  <c r="F62" i="34" s="1" a="1"/>
  <c r="F62" i="34" s="1"/>
  <c r="F63" i="34" s="1" a="1"/>
  <c r="F63" i="34" s="1"/>
  <c r="F64" i="34" s="1" a="1"/>
  <c r="F64" i="34" s="1"/>
  <c r="F89" i="31" a="1"/>
  <c r="F89" i="31" s="1"/>
  <c r="AF88" i="31"/>
  <c r="F40" i="26" a="1"/>
  <c r="F40" i="26" s="1"/>
  <c r="AN39" i="28"/>
  <c r="F40" i="28" a="1"/>
  <c r="F40" i="28" s="1"/>
  <c r="F37" i="18" a="1"/>
  <c r="F37" i="18" s="1"/>
  <c r="D287" i="29" a="1"/>
  <c r="D287" i="29" s="1"/>
  <c r="D288" i="29" s="1" a="1"/>
  <c r="D288" i="29" s="1"/>
  <c r="D289" i="29" s="1" a="1"/>
  <c r="D289" i="29" s="1"/>
  <c r="D290" i="29" s="1" a="1"/>
  <c r="D290" i="29" s="1"/>
  <c r="D291" i="29" s="1" a="1"/>
  <c r="D291" i="29" s="1"/>
  <c r="D292" i="29" s="1"/>
  <c r="AB286" i="29"/>
  <c r="AB290" i="29"/>
  <c r="AB287" i="29"/>
  <c r="AB291" i="29"/>
  <c r="U38" i="8"/>
  <c r="F39" i="8" a="1"/>
  <c r="F39" i="8" s="1"/>
  <c r="F138" i="27" a="1"/>
  <c r="F138" i="27" s="1"/>
  <c r="V31" i="13" a="1"/>
  <c r="V31" i="13" s="1"/>
  <c r="AB31" i="13" a="1"/>
  <c r="AB31" i="13" s="1"/>
  <c r="F42" i="29" a="1"/>
  <c r="F42" i="29" s="1"/>
  <c r="K34" i="20"/>
  <c r="F35" i="20" a="1"/>
  <c r="F35" i="20" s="1"/>
  <c r="F35" i="22" a="1"/>
  <c r="F35" i="22" s="1"/>
  <c r="K34" i="22"/>
  <c r="BO37" i="30"/>
  <c r="BO37" i="29"/>
  <c r="AN124" i="28"/>
  <c r="F125" i="28" a="1"/>
  <c r="F125" i="28" s="1"/>
  <c r="F201" i="30" a="1"/>
  <c r="F201" i="30"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D287" i="30" a="1"/>
  <c r="D287" i="30" s="1"/>
  <c r="D288" i="30" s="1" a="1"/>
  <c r="D288" i="30" s="1"/>
  <c r="D289" i="30" s="1" a="1"/>
  <c r="D289" i="30" s="1"/>
  <c r="D290" i="30" s="1" a="1"/>
  <c r="D290" i="30" s="1"/>
  <c r="D291" i="30" s="1" a="1"/>
  <c r="D291" i="30" s="1"/>
  <c r="D292" i="30" s="1"/>
  <c r="AB291" i="30"/>
  <c r="AB287" i="30"/>
  <c r="AB286" i="30"/>
  <c r="AB290" i="30"/>
  <c r="F82" i="27" a="1"/>
  <c r="F82" i="27" s="1"/>
  <c r="F54" i="20" a="1"/>
  <c r="F54" i="20" s="1"/>
  <c r="K53" i="20"/>
  <c r="F49" i="22" a="1"/>
  <c r="F49" i="22" s="1"/>
  <c r="K48" i="22"/>
  <c r="D143" i="29" a="1"/>
  <c r="D143" i="29" s="1"/>
  <c r="D144" i="29" s="1" a="1"/>
  <c r="D144" i="29" s="1"/>
  <c r="D145" i="29" s="1" a="1"/>
  <c r="D145" i="29" s="1"/>
  <c r="D146" i="29" s="1" a="1"/>
  <c r="D146" i="29" s="1"/>
  <c r="D147" i="29" s="1" a="1"/>
  <c r="D147" i="29" s="1"/>
  <c r="D148" i="29" s="1"/>
  <c r="AB142" i="29"/>
  <c r="AB147" i="29"/>
  <c r="AB143" i="29"/>
  <c r="AB146" i="29"/>
  <c r="D143" i="30" a="1"/>
  <c r="D143" i="30" s="1"/>
  <c r="D144" i="30" s="1" a="1"/>
  <c r="D144" i="30" s="1"/>
  <c r="D145" i="30" s="1" a="1"/>
  <c r="D145" i="30" s="1"/>
  <c r="D146" i="30" s="1" a="1"/>
  <c r="D146" i="30" s="1"/>
  <c r="D147" i="30" s="1" a="1"/>
  <c r="D147" i="30" s="1"/>
  <c r="D148" i="30" s="1"/>
  <c r="AB146" i="30"/>
  <c r="AB142" i="30"/>
  <c r="AB147" i="30"/>
  <c r="AB143" i="30"/>
  <c r="F73" i="18" a="1"/>
  <c r="F73" i="18" s="1"/>
  <c r="F74" i="18" s="1" a="1"/>
  <c r="F74" i="18" s="1"/>
  <c r="F75" i="18" s="1" a="1"/>
  <c r="F75" i="18" s="1"/>
  <c r="T72" i="18"/>
  <c r="T73" i="18" s="1" a="1"/>
  <c r="T73" i="18" s="1"/>
  <c r="F35" i="19" a="1"/>
  <c r="F35" i="19" s="1"/>
  <c r="K34" i="19"/>
  <c r="BO51" i="30" s="1"/>
  <c r="BO56" i="30"/>
  <c r="F57" i="30" a="1"/>
  <c r="F57" i="30" s="1"/>
  <c r="F66" i="19" a="1"/>
  <c r="F66" i="19" s="1"/>
  <c r="K65" i="19"/>
  <c r="K35" i="20" l="1"/>
  <c r="F36" i="20" a="1"/>
  <c r="F36" i="20" s="1"/>
  <c r="F40" i="8" a="1"/>
  <c r="F40" i="8" s="1"/>
  <c r="U39" i="8"/>
  <c r="AF60" i="34"/>
  <c r="AE42" i="34"/>
  <c r="AE41" i="34"/>
  <c r="AE44" i="34" s="1"/>
  <c r="U77" i="9"/>
  <c r="U78" i="9" s="1" a="1"/>
  <c r="U78" i="9" s="1"/>
  <c r="U79" i="9" s="1" a="1"/>
  <c r="U79" i="9" s="1"/>
  <c r="U80" i="9" s="1" a="1"/>
  <c r="U80" i="9" s="1"/>
  <c r="U81" i="9" s="1" a="1"/>
  <c r="U81" i="9" s="1"/>
  <c r="F78" i="9" a="1"/>
  <c r="F78" i="9" s="1"/>
  <c r="F79" i="9" s="1" a="1"/>
  <c r="F79" i="9" s="1"/>
  <c r="F80" i="9" s="1" a="1"/>
  <c r="F80" i="9" s="1"/>
  <c r="F81" i="9" s="1" a="1"/>
  <c r="F81" i="9" s="1"/>
  <c r="AB148" i="30" a="1"/>
  <c r="AB148" i="30" s="1"/>
  <c r="D149" i="30" a="1"/>
  <c r="D149" i="30" s="1"/>
  <c r="F202" i="30" a="1"/>
  <c r="F202" i="30" s="1"/>
  <c r="F126" i="28" a="1"/>
  <c r="F126" i="28" s="1"/>
  <c r="AN125" i="28"/>
  <c r="F36" i="22" a="1"/>
  <c r="F36" i="22" s="1"/>
  <c r="K35" i="22"/>
  <c r="F42" i="14" a="1"/>
  <c r="F42" i="14" s="1"/>
  <c r="T35" i="19"/>
  <c r="T36" i="19" s="1" a="1"/>
  <c r="T36" i="19" s="1"/>
  <c r="T37" i="19" s="1" a="1"/>
  <c r="T37" i="19" s="1"/>
  <c r="F36" i="19" a="1"/>
  <c r="F36" i="19" s="1"/>
  <c r="AB144" i="30"/>
  <c r="AB145" i="30"/>
  <c r="F83" i="27" a="1"/>
  <c r="F83" i="27" s="1"/>
  <c r="T83" i="27" s="1"/>
  <c r="T84" i="27" s="1" a="1"/>
  <c r="T84" i="27" s="1"/>
  <c r="T82" i="27"/>
  <c r="AB288" i="30"/>
  <c r="AB289" i="30"/>
  <c r="F43" i="29" a="1"/>
  <c r="F43" i="29" s="1"/>
  <c r="T66" i="19"/>
  <c r="T67" i="19" s="1" a="1"/>
  <c r="T67" i="19" s="1"/>
  <c r="T68" i="19" s="1" a="1"/>
  <c r="T68" i="19" s="1"/>
  <c r="F67" i="19" a="1"/>
  <c r="F67" i="19" s="1"/>
  <c r="F68" i="19" s="1" a="1"/>
  <c r="F68" i="19" s="1"/>
  <c r="F69" i="19" s="1" a="1"/>
  <c r="F69" i="19" s="1"/>
  <c r="D149" i="29" a="1"/>
  <c r="D149" i="29" s="1"/>
  <c r="AB148" i="29" a="1"/>
  <c r="AB148" i="29" s="1"/>
  <c r="K54" i="20"/>
  <c r="F55" i="20" a="1"/>
  <c r="F55" i="20" s="1"/>
  <c r="AB292" i="30" a="1"/>
  <c r="AB292" i="30" s="1"/>
  <c r="D293" i="30" a="1"/>
  <c r="D293" i="30" s="1"/>
  <c r="AB47" i="14" a="1"/>
  <c r="AB47" i="14" s="1"/>
  <c r="V47" i="14" a="1"/>
  <c r="V47" i="14" s="1"/>
  <c r="F139" i="27" a="1"/>
  <c r="F139" i="27" s="1"/>
  <c r="T139" i="27" s="1"/>
  <c r="T140" i="27" s="1" a="1"/>
  <c r="T140" i="27" s="1"/>
  <c r="T138" i="27"/>
  <c r="AB292" i="29" a="1"/>
  <c r="AB292" i="29" s="1"/>
  <c r="D293" i="29" a="1"/>
  <c r="D293" i="29" s="1"/>
  <c r="F41" i="28" a="1"/>
  <c r="F41" i="28" s="1"/>
  <c r="AN40" i="28"/>
  <c r="F41" i="26" a="1"/>
  <c r="F41" i="26" s="1"/>
  <c r="AF41" i="34"/>
  <c r="AF44" i="34" s="1"/>
  <c r="AF42" i="34"/>
  <c r="F202" i="29" a="1"/>
  <c r="F202" i="29" s="1"/>
  <c r="F92" i="26" a="1"/>
  <c r="F92" i="26" s="1"/>
  <c r="F58" i="30" a="1"/>
  <c r="F58" i="30" s="1"/>
  <c r="BO57" i="30"/>
  <c r="F76" i="18" a="1"/>
  <c r="F76" i="18" s="1"/>
  <c r="F77" i="18" s="1" a="1"/>
  <c r="F77" i="18" s="1"/>
  <c r="T75" i="18"/>
  <c r="T76" i="18" s="1" a="1"/>
  <c r="T76" i="18" s="1"/>
  <c r="AB145" i="29"/>
  <c r="AB144" i="29"/>
  <c r="F50" i="22" a="1"/>
  <c r="F50" i="22" s="1"/>
  <c r="K49" i="22"/>
  <c r="AB288" i="29"/>
  <c r="AB289" i="29"/>
  <c r="F38" i="18" a="1"/>
  <c r="F38" i="18" s="1"/>
  <c r="T37" i="18"/>
  <c r="T38" i="18" s="1" a="1"/>
  <c r="T38" i="18" s="1"/>
  <c r="F90" i="31" a="1"/>
  <c r="F90" i="31" s="1"/>
  <c r="AF89" i="31"/>
  <c r="AE60" i="34"/>
  <c r="U47" i="9"/>
  <c r="U48" i="9" s="1" a="1"/>
  <c r="U48" i="9" s="1"/>
  <c r="F48" i="9" a="1"/>
  <c r="F48" i="9" s="1"/>
  <c r="F39" i="18" l="1" a="1"/>
  <c r="F39" i="18" s="1"/>
  <c r="F42" i="28" a="1"/>
  <c r="F42" i="28" s="1"/>
  <c r="AN41" i="28"/>
  <c r="T69" i="19"/>
  <c r="T70" i="19" s="1" a="1"/>
  <c r="T70" i="19" s="1"/>
  <c r="T71" i="19" s="1" a="1"/>
  <c r="T71" i="19" s="1"/>
  <c r="F70" i="19" a="1"/>
  <c r="F70" i="19" s="1"/>
  <c r="F71" i="19" s="1" a="1"/>
  <c r="F71" i="19" s="1"/>
  <c r="F72" i="19" s="1" a="1"/>
  <c r="F72" i="19" s="1"/>
  <c r="K36" i="22"/>
  <c r="F37" i="22" a="1"/>
  <c r="F37" i="22" s="1"/>
  <c r="F49" i="9" a="1"/>
  <c r="F49" i="9" s="1"/>
  <c r="F42" i="26" a="1"/>
  <c r="F42" i="26" s="1"/>
  <c r="F91" i="31" a="1"/>
  <c r="F91" i="31" s="1"/>
  <c r="AF90" i="31"/>
  <c r="K50" i="22"/>
  <c r="F51" i="22" a="1"/>
  <c r="F51" i="22" s="1"/>
  <c r="F93" i="26" a="1"/>
  <c r="F93" i="26" s="1"/>
  <c r="F203" i="29" a="1"/>
  <c r="F203" i="29" s="1"/>
  <c r="AB293" i="29"/>
  <c r="D294" i="29"/>
  <c r="F43" i="14" a="1"/>
  <c r="F43" i="14" s="1"/>
  <c r="F127" i="28" a="1"/>
  <c r="F127" i="28" s="1"/>
  <c r="AN126" i="28"/>
  <c r="F203" i="30" a="1"/>
  <c r="F203" i="30" s="1"/>
  <c r="T77" i="18"/>
  <c r="T78" i="18" s="1" a="1"/>
  <c r="T78" i="18" s="1"/>
  <c r="F78" i="18" a="1"/>
  <c r="F78" i="18" s="1"/>
  <c r="F79" i="18" s="1" a="1"/>
  <c r="F79" i="18" s="1"/>
  <c r="F80" i="18" s="1" a="1"/>
  <c r="F80" i="18" s="1"/>
  <c r="D294" i="30"/>
  <c r="AB293" i="30"/>
  <c r="K55" i="20"/>
  <c r="F56" i="20" a="1"/>
  <c r="F56" i="20" s="1"/>
  <c r="D150" i="29"/>
  <c r="AB149" i="29"/>
  <c r="F37" i="19" a="1"/>
  <c r="F37" i="19" s="1"/>
  <c r="AB149" i="30"/>
  <c r="D150" i="30"/>
  <c r="U40" i="8"/>
  <c r="F41" i="8" a="1"/>
  <c r="F41" i="8" s="1"/>
  <c r="F37" i="20" a="1"/>
  <c r="F37" i="20" s="1"/>
  <c r="K36" i="20"/>
  <c r="BO58" i="30"/>
  <c r="F59" i="30" a="1"/>
  <c r="F59" i="30" s="1"/>
  <c r="V76" i="15" a="1"/>
  <c r="V76" i="15" s="1"/>
  <c r="AB76" i="15" a="1"/>
  <c r="AB76" i="15" s="1"/>
  <c r="F44" i="29" a="1"/>
  <c r="F44" i="29" s="1"/>
  <c r="F57" i="20" l="1" a="1"/>
  <c r="F57" i="20" s="1"/>
  <c r="K56" i="20"/>
  <c r="F44" i="14" a="1"/>
  <c r="F44" i="14"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K37" i="22"/>
  <c r="F38" i="22" a="1"/>
  <c r="F38" i="22" s="1"/>
  <c r="F60" i="30" a="1"/>
  <c r="F60" i="30" s="1"/>
  <c r="BO59" i="30"/>
  <c r="D151" i="30"/>
  <c r="AB150" i="30" a="1"/>
  <c r="AB150" i="30" s="1"/>
  <c r="F38" i="19" a="1"/>
  <c r="F38" i="19" s="1"/>
  <c r="F204" i="30" a="1"/>
  <c r="F204" i="30" s="1"/>
  <c r="K51" i="22"/>
  <c r="F52" i="22" a="1"/>
  <c r="F52" i="22" s="1"/>
  <c r="T72" i="19"/>
  <c r="T73" i="19" s="1" a="1"/>
  <c r="T73" i="19" s="1"/>
  <c r="T74" i="19" s="1" a="1"/>
  <c r="T74" i="19" s="1"/>
  <c r="F73" i="19" a="1"/>
  <c r="F73" i="19" s="1"/>
  <c r="F40" i="18" a="1"/>
  <c r="F40" i="18" s="1"/>
  <c r="F81" i="18" a="1"/>
  <c r="F81" i="18" s="1"/>
  <c r="F82" i="18" s="1" a="1"/>
  <c r="F82" i="18" s="1"/>
  <c r="T80" i="18"/>
  <c r="T81" i="18" s="1" a="1"/>
  <c r="T81" i="18" s="1"/>
  <c r="F94" i="26" a="1"/>
  <c r="F94" i="26" s="1"/>
  <c r="F45" i="29" a="1"/>
  <c r="F45" i="29" s="1"/>
  <c r="F38" i="20" a="1"/>
  <c r="F38" i="20" s="1"/>
  <c r="K37" i="20"/>
  <c r="AN127" i="28"/>
  <c r="F128" i="28" a="1"/>
  <c r="F128" i="28" s="1"/>
  <c r="F129" i="28" s="1" a="1"/>
  <c r="F129" i="28" s="1"/>
  <c r="F130" i="28" s="1" a="1"/>
  <c r="F130" i="28" s="1"/>
  <c r="D295" i="29"/>
  <c r="AB294" i="29" a="1"/>
  <c r="AB294" i="29" s="1"/>
  <c r="F204" i="29" a="1"/>
  <c r="F204" i="29" s="1"/>
  <c r="AB34" i="17" a="1"/>
  <c r="AB34" i="17" s="1"/>
  <c r="V34" i="17" a="1"/>
  <c r="V34" i="17" s="1"/>
  <c r="F42" i="8" a="1"/>
  <c r="F42" i="8" s="1"/>
  <c r="U41" i="8"/>
  <c r="D151" i="29"/>
  <c r="AB150" i="29" a="1"/>
  <c r="AB150" i="29" s="1"/>
  <c r="D295" i="30"/>
  <c r="AB294" i="30" a="1"/>
  <c r="AB294" i="30" s="1"/>
  <c r="F43" i="26" a="1"/>
  <c r="F43" i="26" s="1"/>
  <c r="F50" i="9" a="1"/>
  <c r="F50" i="9" s="1"/>
  <c r="U49" i="9"/>
  <c r="AN42" i="28"/>
  <c r="F43" i="28" a="1"/>
  <c r="F43" i="28" s="1"/>
  <c r="F44" i="28" s="1" a="1"/>
  <c r="F44" i="28" s="1"/>
  <c r="F45" i="28" s="1" a="1"/>
  <c r="F45" i="28" s="1"/>
  <c r="F95" i="26" l="1" a="1"/>
  <c r="F95" i="26" s="1"/>
  <c r="F96" i="26" s="1" a="1"/>
  <c r="F96" i="26" s="1"/>
  <c r="T40" i="18"/>
  <c r="T41" i="18" s="1" a="1"/>
  <c r="T41" i="18" s="1"/>
  <c r="F41" i="18" a="1"/>
  <c r="F41" i="18" s="1"/>
  <c r="F53" i="22" a="1"/>
  <c r="F53" i="22" s="1"/>
  <c r="K52" i="22"/>
  <c r="V37" i="16" a="1"/>
  <c r="V37" i="16" s="1"/>
  <c r="AB37" i="16" a="1"/>
  <c r="AB37" i="16" s="1"/>
  <c r="AF56" i="34"/>
  <c r="AF47" i="34" s="1"/>
  <c r="AE56" i="34"/>
  <c r="AE47" i="34" s="1"/>
  <c r="F46" i="28" a="1"/>
  <c r="F46" i="28" s="1"/>
  <c r="AN45" i="28"/>
  <c r="F44" i="26" a="1"/>
  <c r="F44" i="26" s="1"/>
  <c r="F45" i="26" s="1" a="1"/>
  <c r="F45" i="26" s="1"/>
  <c r="F74" i="19" a="1"/>
  <c r="F74" i="19" s="1"/>
  <c r="K73" i="19"/>
  <c r="T38" i="19"/>
  <c r="T39" i="19" s="1" a="1"/>
  <c r="T39" i="19" s="1"/>
  <c r="T40" i="19" s="1" a="1"/>
  <c r="T40" i="19" s="1"/>
  <c r="F39" i="19" a="1"/>
  <c r="F39" i="19" s="1"/>
  <c r="F58" i="20" a="1"/>
  <c r="F58" i="20" s="1"/>
  <c r="K57" i="20"/>
  <c r="AB295" i="30" a="1"/>
  <c r="AB295" i="30" s="1"/>
  <c r="D296" i="30" a="1"/>
  <c r="D296" i="30" s="1"/>
  <c r="F46" i="29" a="1"/>
  <c r="F46" i="29" s="1"/>
  <c r="AB151" i="29" a="1"/>
  <c r="AB151" i="29" s="1"/>
  <c r="D152" i="29" a="1"/>
  <c r="D152" i="29" s="1"/>
  <c r="U42" i="8"/>
  <c r="F43" i="8" a="1"/>
  <c r="F43" i="8" s="1"/>
  <c r="F205" i="29" a="1"/>
  <c r="F205" i="29" s="1"/>
  <c r="D296" i="29" a="1"/>
  <c r="D296" i="29" s="1"/>
  <c r="AB295" i="29" a="1"/>
  <c r="AB295" i="29" s="1"/>
  <c r="F51" i="9" a="1"/>
  <c r="F51" i="9" s="1"/>
  <c r="U50" i="9"/>
  <c r="U51" i="9" s="1" a="1"/>
  <c r="U51" i="9" s="1"/>
  <c r="U52" i="9" s="1" a="1"/>
  <c r="U52" i="9" s="1"/>
  <c r="U53" i="9" s="1" a="1"/>
  <c r="U53" i="9" s="1"/>
  <c r="U54" i="9" s="1" a="1"/>
  <c r="U54" i="9" s="1"/>
  <c r="F131" i="28" a="1"/>
  <c r="F131" i="28" s="1"/>
  <c r="K38" i="20"/>
  <c r="F39" i="20" a="1"/>
  <c r="F39" i="20" s="1"/>
  <c r="F83" i="18" a="1"/>
  <c r="F83" i="18" s="1"/>
  <c r="F84" i="18" s="1" a="1"/>
  <c r="F84" i="18" s="1"/>
  <c r="F85" i="18" s="1" a="1"/>
  <c r="F85" i="18" s="1"/>
  <c r="F86" i="18" s="1" a="1"/>
  <c r="F86" i="18" s="1"/>
  <c r="T82" i="18"/>
  <c r="T83" i="18" s="1" a="1"/>
  <c r="T83" i="18" s="1"/>
  <c r="T84" i="18" s="1" a="1"/>
  <c r="T84" i="18" s="1"/>
  <c r="T85" i="18" s="1" a="1"/>
  <c r="T85" i="18" s="1"/>
  <c r="T86" i="18" s="1" a="1"/>
  <c r="T86" i="18" s="1"/>
  <c r="F205" i="30" a="1"/>
  <c r="F205" i="30" s="1"/>
  <c r="D152" i="30" a="1"/>
  <c r="D152" i="30" s="1"/>
  <c r="AB151" i="30" a="1"/>
  <c r="AB151" i="30" s="1"/>
  <c r="BO60" i="30"/>
  <c r="F61" i="30" a="1"/>
  <c r="F61" i="30" s="1"/>
  <c r="F39" i="22" a="1"/>
  <c r="F39" i="22" s="1"/>
  <c r="K38" i="22"/>
  <c r="F45" i="14" a="1"/>
  <c r="F45" i="14" s="1"/>
  <c r="F206" i="30" l="1" a="1"/>
  <c r="F206" i="30" s="1"/>
  <c r="F207" i="30" s="1" a="1"/>
  <c r="F207" i="30" s="1"/>
  <c r="F132" i="28" a="1"/>
  <c r="F132" i="28" s="1"/>
  <c r="F133" i="28" s="1" a="1"/>
  <c r="F133" i="28" s="1"/>
  <c r="F134" i="28" s="1" a="1"/>
  <c r="F134" i="28" s="1"/>
  <c r="F135" i="28" s="1" a="1"/>
  <c r="F135" i="28" s="1"/>
  <c r="F136" i="28" s="1" a="1"/>
  <c r="F136" i="28" s="1"/>
  <c r="F137" i="28" s="1" a="1"/>
  <c r="F137" i="28" s="1"/>
  <c r="F138" i="28" s="1" a="1"/>
  <c r="F138" i="28" s="1"/>
  <c r="F139" i="28" s="1" a="1"/>
  <c r="F139" i="28" s="1"/>
  <c r="F52" i="9" a="1"/>
  <c r="F52" i="9" s="1"/>
  <c r="D297" i="30" a="1"/>
  <c r="D297" i="30" s="1"/>
  <c r="AB296" i="30"/>
  <c r="AE61" i="34"/>
  <c r="AE63" i="34"/>
  <c r="F97" i="26" a="1"/>
  <c r="F97" i="26" s="1"/>
  <c r="F98" i="26" s="1" a="1"/>
  <c r="F98" i="26" s="1"/>
  <c r="F99" i="26" s="1" a="1"/>
  <c r="F99" i="26" s="1"/>
  <c r="F40" i="22" a="1"/>
  <c r="F40" i="22" s="1"/>
  <c r="T40" i="22" s="1"/>
  <c r="T39" i="22"/>
  <c r="D153" i="29" a="1"/>
  <c r="D153" i="29" s="1"/>
  <c r="AB152" i="29"/>
  <c r="AF61" i="34"/>
  <c r="AF63" i="34"/>
  <c r="F62" i="30" a="1"/>
  <c r="F62" i="30" s="1"/>
  <c r="F63" i="30" s="1" a="1"/>
  <c r="F63" i="30" s="1"/>
  <c r="BO61" i="30"/>
  <c r="D153" i="30" a="1"/>
  <c r="D153" i="30" s="1"/>
  <c r="AB152" i="30"/>
  <c r="D297" i="29" a="1"/>
  <c r="D297" i="29" s="1"/>
  <c r="AB296" i="29"/>
  <c r="F47" i="29" a="1"/>
  <c r="F47" i="29" s="1"/>
  <c r="F75" i="19" a="1"/>
  <c r="F75" i="19" s="1"/>
  <c r="K74" i="19"/>
  <c r="F46" i="26" a="1"/>
  <c r="F46" i="26" s="1"/>
  <c r="F47" i="26" s="1" a="1"/>
  <c r="F47" i="26" s="1"/>
  <c r="F48" i="26" s="1" a="1"/>
  <c r="F48" i="26" s="1"/>
  <c r="AB57" i="18" a="1"/>
  <c r="AB57" i="18" s="1"/>
  <c r="V57" i="18" a="1"/>
  <c r="V57" i="18" s="1"/>
  <c r="F42" i="18" a="1"/>
  <c r="F42" i="18" s="1"/>
  <c r="F46" i="14" a="1"/>
  <c r="F46" i="14" s="1"/>
  <c r="AG98" i="26" s="1"/>
  <c r="K39" i="20"/>
  <c r="F40" i="20" a="1"/>
  <c r="F40" i="20" s="1"/>
  <c r="F206" i="29" a="1"/>
  <c r="F206" i="29" s="1"/>
  <c r="F207" i="29" s="1" a="1"/>
  <c r="F207" i="29" s="1"/>
  <c r="F44" i="8" a="1"/>
  <c r="F44" i="8" s="1"/>
  <c r="U43" i="8"/>
  <c r="F59" i="20" a="1"/>
  <c r="F59" i="20" s="1"/>
  <c r="K58" i="20"/>
  <c r="F40" i="19" a="1"/>
  <c r="F40" i="19" s="1"/>
  <c r="K39" i="19"/>
  <c r="AN46" i="28"/>
  <c r="F47" i="28" a="1"/>
  <c r="F47" i="28" s="1"/>
  <c r="F48" i="28" s="1" a="1"/>
  <c r="F48" i="28" s="1"/>
  <c r="F49" i="28" s="1" a="1"/>
  <c r="F49" i="28" s="1"/>
  <c r="F50" i="28" s="1" a="1"/>
  <c r="F50" i="28" s="1"/>
  <c r="F51" i="28" s="1" a="1"/>
  <c r="F51" i="28" s="1"/>
  <c r="F52" i="28" s="1" a="1"/>
  <c r="F52" i="28" s="1"/>
  <c r="F53" i="28" s="1" a="1"/>
  <c r="F53" i="28" s="1"/>
  <c r="F54" i="28" s="1" a="1"/>
  <c r="F54" i="28" s="1"/>
  <c r="F54" i="22" a="1"/>
  <c r="F54" i="22" s="1"/>
  <c r="T53" i="22"/>
  <c r="AG38" i="31" l="1"/>
  <c r="AI88" i="31"/>
  <c r="AK39" i="31"/>
  <c r="AJ39" i="31"/>
  <c r="AG90" i="31"/>
  <c r="AG88" i="31"/>
  <c r="AI91" i="31"/>
  <c r="AG91" i="31"/>
  <c r="AI40" i="31"/>
  <c r="AH89" i="31"/>
  <c r="AI89" i="31"/>
  <c r="AH91" i="31"/>
  <c r="AK38" i="31"/>
  <c r="AJ40" i="31"/>
  <c r="AH90" i="31"/>
  <c r="AI34" i="28"/>
  <c r="AL34" i="28" s="1"/>
  <c r="AG39" i="31"/>
  <c r="AG89" i="31"/>
  <c r="AG40" i="31"/>
  <c r="AH31" i="31"/>
  <c r="AI39" i="31"/>
  <c r="AK40" i="31"/>
  <c r="AI90" i="31"/>
  <c r="AH39" i="31"/>
  <c r="F60" i="20" a="1"/>
  <c r="F60" i="20" s="1"/>
  <c r="K59" i="20"/>
  <c r="U44" i="8"/>
  <c r="F45" i="8" a="1"/>
  <c r="F45" i="8" s="1"/>
  <c r="F208" i="29" a="1"/>
  <c r="F208" i="29" s="1"/>
  <c r="F41" i="20" a="1"/>
  <c r="F41" i="20" s="1"/>
  <c r="K40" i="20"/>
  <c r="AG45" i="26"/>
  <c r="D298" i="29"/>
  <c r="AB297" i="29"/>
  <c r="AB153" i="29"/>
  <c r="D154" i="29"/>
  <c r="AG97" i="26"/>
  <c r="AB297" i="30"/>
  <c r="D298" i="30"/>
  <c r="F53" i="9" a="1"/>
  <c r="F53" i="9" s="1"/>
  <c r="AG46" i="26"/>
  <c r="F64" i="30" a="1"/>
  <c r="F64" i="30" s="1"/>
  <c r="F100" i="26" a="1"/>
  <c r="F100" i="26" s="1"/>
  <c r="T139" i="28"/>
  <c r="F140" i="28" a="1"/>
  <c r="F140" i="28" s="1"/>
  <c r="BO52" i="30"/>
  <c r="AG86" i="31"/>
  <c r="F49" i="26" a="1"/>
  <c r="F49" i="26" s="1"/>
  <c r="T75" i="19"/>
  <c r="T76" i="19" s="1" a="1"/>
  <c r="T76" i="19" s="1"/>
  <c r="T77" i="19" s="1" a="1"/>
  <c r="T77" i="19" s="1"/>
  <c r="F76" i="19" a="1"/>
  <c r="F76" i="19" s="1"/>
  <c r="F77" i="19" s="1" a="1"/>
  <c r="F77" i="19" s="1"/>
  <c r="F78" i="19" s="1" a="1"/>
  <c r="F78" i="19" s="1"/>
  <c r="F48" i="29" a="1"/>
  <c r="F48" i="29" s="1"/>
  <c r="F208" i="30" a="1"/>
  <c r="F208" i="30" s="1"/>
  <c r="T54" i="28"/>
  <c r="F55" i="28" a="1"/>
  <c r="F55" i="28" s="1"/>
  <c r="T54" i="22"/>
  <c r="AG35" i="26"/>
  <c r="AF35" i="26"/>
  <c r="F41" i="19" a="1"/>
  <c r="F41" i="19" s="1"/>
  <c r="K40" i="19"/>
  <c r="BO63" i="30" s="1"/>
  <c r="T46" i="14"/>
  <c r="AI85" i="31"/>
  <c r="AI86" i="31"/>
  <c r="AI84" i="31"/>
  <c r="AI34" i="31"/>
  <c r="AH83" i="31"/>
  <c r="AH37" i="31"/>
  <c r="AG34" i="28"/>
  <c r="AK31" i="31"/>
  <c r="AH84" i="31"/>
  <c r="AH33" i="31"/>
  <c r="AJ31" i="31"/>
  <c r="AE34" i="28"/>
  <c r="AE119" i="28"/>
  <c r="AJ34" i="28"/>
  <c r="AI82" i="31"/>
  <c r="AG82" i="31"/>
  <c r="AI83" i="31"/>
  <c r="AG35" i="31"/>
  <c r="AF119" i="28"/>
  <c r="AH36" i="31"/>
  <c r="AG83" i="31"/>
  <c r="AK34" i="28"/>
  <c r="AH35" i="31"/>
  <c r="AK35" i="31"/>
  <c r="AI33" i="31"/>
  <c r="AG119" i="28"/>
  <c r="AK119" i="28"/>
  <c r="AK32" i="31"/>
  <c r="AG85" i="31"/>
  <c r="AG34" i="31"/>
  <c r="AI31" i="31"/>
  <c r="AI35" i="31"/>
  <c r="AJ32" i="31"/>
  <c r="AJ119" i="28"/>
  <c r="AH82" i="31"/>
  <c r="AH38" i="31"/>
  <c r="AK34" i="31"/>
  <c r="AG33" i="31"/>
  <c r="AI37" i="31"/>
  <c r="AI36" i="31"/>
  <c r="AI32" i="31"/>
  <c r="AH32" i="31"/>
  <c r="AK33" i="31"/>
  <c r="AG32" i="31"/>
  <c r="AJ34" i="31"/>
  <c r="AJ33" i="31"/>
  <c r="AJ35" i="31"/>
  <c r="AH34" i="31"/>
  <c r="AI119" i="28"/>
  <c r="AH87" i="31"/>
  <c r="AG31" i="31"/>
  <c r="AF34" i="28"/>
  <c r="AG84" i="31"/>
  <c r="AJ37" i="31"/>
  <c r="AJ36" i="31"/>
  <c r="AG87" i="31"/>
  <c r="AG37" i="31"/>
  <c r="AI38" i="31"/>
  <c r="AH85" i="31"/>
  <c r="AJ38" i="31"/>
  <c r="AI87" i="31"/>
  <c r="AH86" i="31"/>
  <c r="AK37" i="31"/>
  <c r="AG36" i="31"/>
  <c r="AK36" i="31"/>
  <c r="AH88" i="31"/>
  <c r="AH40" i="31"/>
  <c r="T42" i="18"/>
  <c r="T43" i="18" s="1" a="1"/>
  <c r="T43" i="18" s="1"/>
  <c r="F43" i="18" a="1"/>
  <c r="F43" i="18" s="1"/>
  <c r="AB52" i="19" a="1"/>
  <c r="AB52" i="19" s="1"/>
  <c r="V52" i="19" a="1"/>
  <c r="V52" i="19" s="1"/>
  <c r="AG47" i="26"/>
  <c r="D154" i="30"/>
  <c r="AB153" i="30"/>
  <c r="AG96" i="26"/>
  <c r="AG95" i="26" l="1"/>
  <c r="F54" i="9" a="1"/>
  <c r="F54" i="9" s="1"/>
  <c r="AM173" i="30" s="1"/>
  <c r="AI73" i="19"/>
  <c r="AG39" i="19"/>
  <c r="AH119" i="28"/>
  <c r="F49" i="29" a="1"/>
  <c r="F49" i="29" s="1"/>
  <c r="F50" i="26" a="1"/>
  <c r="F50" i="26" s="1"/>
  <c r="AQ173" i="30"/>
  <c r="BA29" i="29"/>
  <c r="AS29" i="29"/>
  <c r="AF37" i="30"/>
  <c r="AF35" i="30" s="1"/>
  <c r="AF30" i="30" s="1"/>
  <c r="AW173" i="30"/>
  <c r="AI181" i="30"/>
  <c r="AI179" i="30" s="1"/>
  <c r="AI174" i="30" s="1"/>
  <c r="F42" i="20" a="1"/>
  <c r="F42" i="20" s="1"/>
  <c r="K41" i="20"/>
  <c r="F46" i="8" a="1"/>
  <c r="F46" i="8" s="1"/>
  <c r="U45" i="8"/>
  <c r="T41" i="19"/>
  <c r="T42" i="19" s="1" a="1"/>
  <c r="T42" i="19" s="1"/>
  <c r="T43" i="19" s="1" a="1"/>
  <c r="T43" i="19" s="1"/>
  <c r="F42" i="19" a="1"/>
  <c r="F42" i="19" s="1"/>
  <c r="K60" i="20"/>
  <c r="F61" i="20" a="1"/>
  <c r="F61" i="20" s="1"/>
  <c r="D155" i="30" a="1"/>
  <c r="D155" i="30" s="1"/>
  <c r="AB154" i="30" a="1"/>
  <c r="AB154" i="30" s="1"/>
  <c r="F44" i="18" a="1"/>
  <c r="F44" i="18" s="1"/>
  <c r="AL119" i="28"/>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56" i="28" a="1"/>
  <c r="F56" i="28" s="1"/>
  <c r="F57" i="28" s="1" a="1"/>
  <c r="F57" i="28" s="1"/>
  <c r="F58" i="28" s="1" a="1"/>
  <c r="F58" i="28" s="1"/>
  <c r="F59" i="28" s="1" a="1"/>
  <c r="F59" i="28" s="1"/>
  <c r="F209" i="30" a="1"/>
  <c r="F209" i="30" s="1"/>
  <c r="AF208" i="30"/>
  <c r="AF206" i="30" s="1"/>
  <c r="AF197" i="30" s="1"/>
  <c r="AG208" i="30"/>
  <c r="AI208" i="30"/>
  <c r="AI206" i="30" s="1"/>
  <c r="AI197" i="30" s="1"/>
  <c r="AE208" i="30"/>
  <c r="AE206" i="30" s="1"/>
  <c r="AE197" i="30" s="1"/>
  <c r="T78" i="19"/>
  <c r="T79" i="19" s="1" a="1"/>
  <c r="T79" i="19" s="1"/>
  <c r="T80" i="19" s="1" a="1"/>
  <c r="T80" i="19" s="1"/>
  <c r="F79" i="19" a="1"/>
  <c r="F79" i="19" s="1"/>
  <c r="F80" i="19" s="1" a="1"/>
  <c r="F80" i="19" s="1"/>
  <c r="F81" i="19" s="1" a="1"/>
  <c r="F81" i="19" s="1"/>
  <c r="T140" i="28"/>
  <c r="F141" i="28" a="1"/>
  <c r="F141" i="28" s="1"/>
  <c r="F101" i="26" a="1"/>
  <c r="F101" i="26" s="1"/>
  <c r="F65" i="30" a="1"/>
  <c r="F65" i="30" s="1"/>
  <c r="AF64" i="30"/>
  <c r="AF62" i="30" s="1"/>
  <c r="AF53" i="30" s="1"/>
  <c r="AI64" i="30"/>
  <c r="AI62" i="30" s="1"/>
  <c r="AI53" i="30" s="1"/>
  <c r="AG64" i="30"/>
  <c r="AE64" i="30"/>
  <c r="AE62" i="30" s="1"/>
  <c r="AE53" i="30" s="1"/>
  <c r="BA29" i="30"/>
  <c r="AN29" i="29"/>
  <c r="AD88" i="31"/>
  <c r="AO29" i="29"/>
  <c r="AB298" i="30" a="1"/>
  <c r="AB298" i="30" s="1"/>
  <c r="D299" i="30" a="1"/>
  <c r="D299" i="30" s="1"/>
  <c r="AB154" i="29" a="1"/>
  <c r="AB154" i="29" s="1"/>
  <c r="D155" i="29" a="1"/>
  <c r="D155" i="29" s="1"/>
  <c r="AG44" i="26"/>
  <c r="F209" i="29" a="1"/>
  <c r="F209" i="29" s="1"/>
  <c r="AH34" i="28"/>
  <c r="V46" i="20" a="1"/>
  <c r="V46" i="20" s="1"/>
  <c r="AB46" i="20" a="1"/>
  <c r="AB46" i="20" s="1"/>
  <c r="AQ29" i="29"/>
  <c r="AD85" i="31"/>
  <c r="AD86" i="31"/>
  <c r="AZ29" i="29"/>
  <c r="AL29" i="29"/>
  <c r="AR29" i="29"/>
  <c r="AD36" i="31"/>
  <c r="AB298" i="29" a="1"/>
  <c r="AB298" i="29" s="1"/>
  <c r="D299" i="29" a="1"/>
  <c r="D299" i="29" s="1"/>
  <c r="AG73" i="19" l="1"/>
  <c r="AH39" i="19"/>
  <c r="AJ73" i="19"/>
  <c r="AF39" i="19"/>
  <c r="AJ39" i="19"/>
  <c r="AD90" i="31"/>
  <c r="AF73" i="19"/>
  <c r="AT173" i="30"/>
  <c r="AI39" i="19"/>
  <c r="AE39" i="19"/>
  <c r="BO65" i="30"/>
  <c r="F66" i="30" a="1"/>
  <c r="F66" i="30" s="1"/>
  <c r="AH64" i="30"/>
  <c r="AG62" i="30"/>
  <c r="AB155" i="29"/>
  <c r="D156" i="29" a="1"/>
  <c r="D156" i="29" s="1"/>
  <c r="F102" i="26"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AH208" i="30"/>
  <c r="AG206" i="30"/>
  <c r="AN59" i="28"/>
  <c r="F60" i="28" a="1"/>
  <c r="F60" i="28" s="1"/>
  <c r="F45" i="18" a="1"/>
  <c r="F45" i="18" s="1"/>
  <c r="F62" i="20" a="1"/>
  <c r="F62" i="20" s="1"/>
  <c r="K61" i="20"/>
  <c r="F43" i="20" a="1"/>
  <c r="F43" i="20" s="1"/>
  <c r="K42" i="20"/>
  <c r="AF28" i="30"/>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43" i="19" a="1"/>
  <c r="F43" i="19" s="1"/>
  <c r="U46" i="8"/>
  <c r="F47" i="8" a="1"/>
  <c r="F47" i="8" s="1"/>
  <c r="BC29" i="29"/>
  <c r="AY173" i="29"/>
  <c r="AS173" i="30"/>
  <c r="BB29" i="29"/>
  <c r="BC29" i="30"/>
  <c r="AQ29" i="30"/>
  <c r="AO173" i="30"/>
  <c r="AZ173" i="29"/>
  <c r="AP29" i="29"/>
  <c r="AX32" i="24"/>
  <c r="BC173" i="30"/>
  <c r="AY173" i="30"/>
  <c r="AV40" i="24"/>
  <c r="BB173" i="30"/>
  <c r="AU173" i="29"/>
  <c r="AU32" i="24"/>
  <c r="AJ29" i="30"/>
  <c r="BA173" i="30"/>
  <c r="AY29" i="30"/>
  <c r="BC173" i="29"/>
  <c r="AT29" i="30"/>
  <c r="AI29" i="30"/>
  <c r="AE37" i="30"/>
  <c r="AE35" i="30" s="1"/>
  <c r="AE30" i="30" s="1"/>
  <c r="AE28" i="30" s="1"/>
  <c r="AX29" i="30"/>
  <c r="AG37" i="30"/>
  <c r="AE52" i="30"/>
  <c r="AS40" i="24"/>
  <c r="AW32" i="24"/>
  <c r="AQ32" i="24"/>
  <c r="AF32" i="24"/>
  <c r="AS32" i="24"/>
  <c r="AH32" i="24"/>
  <c r="AG181" i="30"/>
  <c r="AO40" i="24"/>
  <c r="AM173" i="29"/>
  <c r="AL173" i="29"/>
  <c r="AD33" i="31"/>
  <c r="AZ29" i="30"/>
  <c r="AT32" i="24"/>
  <c r="AJ32" i="24"/>
  <c r="BA173" i="29"/>
  <c r="AS173" i="29"/>
  <c r="AF52" i="30"/>
  <c r="AP173" i="29"/>
  <c r="AV32" i="24"/>
  <c r="AP40" i="24"/>
  <c r="AM40" i="24"/>
  <c r="AD84" i="31"/>
  <c r="BB29" i="30"/>
  <c r="AE196" i="30"/>
  <c r="AI37" i="30"/>
  <c r="AI35" i="30" s="1"/>
  <c r="AI30" i="30" s="1"/>
  <c r="AD34" i="31"/>
  <c r="AZ173" i="30"/>
  <c r="AR173" i="29"/>
  <c r="AX173" i="30"/>
  <c r="AK173" i="29"/>
  <c r="AO29" i="30"/>
  <c r="AW173" i="29"/>
  <c r="AD83" i="31"/>
  <c r="AI173" i="30"/>
  <c r="AF40" i="24"/>
  <c r="AH40" i="24"/>
  <c r="AK29" i="30"/>
  <c r="AU29" i="29"/>
  <c r="AN32" i="24"/>
  <c r="AR32" i="24"/>
  <c r="AD82" i="31"/>
  <c r="AF181" i="30"/>
  <c r="AF179" i="30" s="1"/>
  <c r="AF174" i="30" s="1"/>
  <c r="AF172" i="30" s="1"/>
  <c r="BB173" i="29"/>
  <c r="AU40" i="24"/>
  <c r="AM29" i="30"/>
  <c r="AY29" i="29"/>
  <c r="AD38" i="31"/>
  <c r="AL32" i="24"/>
  <c r="AO173" i="29"/>
  <c r="AQ173" i="29"/>
  <c r="AX40" i="24"/>
  <c r="AR40" i="24"/>
  <c r="AQ40" i="24"/>
  <c r="AV173" i="30"/>
  <c r="AL40" i="24"/>
  <c r="AN173" i="29"/>
  <c r="AM32" i="24"/>
  <c r="AK40" i="24"/>
  <c r="AD31" i="31"/>
  <c r="AG196" i="30"/>
  <c r="AD37" i="31"/>
  <c r="AR29" i="30"/>
  <c r="AU173" i="30"/>
  <c r="AK173" i="30"/>
  <c r="AT40" i="24"/>
  <c r="AX29" i="29"/>
  <c r="AP32" i="24"/>
  <c r="AE32" i="24"/>
  <c r="AE33" i="24" s="1" a="1"/>
  <c r="AE33" i="24" s="1"/>
  <c r="AI32" i="24"/>
  <c r="AN173" i="30"/>
  <c r="AL173" i="30"/>
  <c r="AG40" i="24"/>
  <c r="AU29" i="30"/>
  <c r="AO32" i="24"/>
  <c r="AJ173" i="30"/>
  <c r="AN40" i="24"/>
  <c r="AP173" i="30"/>
  <c r="AK32" i="24"/>
  <c r="AS29" i="30"/>
  <c r="AW40" i="24"/>
  <c r="AR173" i="30"/>
  <c r="AI40" i="24"/>
  <c r="AP29" i="30"/>
  <c r="AI33" i="19"/>
  <c r="AV29" i="30"/>
  <c r="AE181" i="30"/>
  <c r="AE179" i="30" s="1"/>
  <c r="AE174" i="30" s="1"/>
  <c r="AE172" i="30" s="1"/>
  <c r="AV173" i="29"/>
  <c r="AG32" i="24"/>
  <c r="AJ40" i="24"/>
  <c r="AN29" i="30"/>
  <c r="AE40" i="24"/>
  <c r="AE41" i="24" s="1" a="1"/>
  <c r="AE41" i="24" s="1"/>
  <c r="AD35" i="31"/>
  <c r="AD32" i="31"/>
  <c r="AG64" i="19"/>
  <c r="AG52" i="30"/>
  <c r="AH52" i="30" s="1"/>
  <c r="AF196" i="30"/>
  <c r="AI196" i="30"/>
  <c r="AI52" i="30"/>
  <c r="AW29" i="30"/>
  <c r="AH33" i="19"/>
  <c r="AG33" i="19"/>
  <c r="AJ33" i="19"/>
  <c r="AE33" i="19"/>
  <c r="AJ64" i="19"/>
  <c r="AI64" i="19"/>
  <c r="AD39" i="31"/>
  <c r="AD91" i="31"/>
  <c r="AD89" i="31"/>
  <c r="AF33" i="19"/>
  <c r="AM29" i="29"/>
  <c r="AW29" i="29"/>
  <c r="AD87" i="31"/>
  <c r="AD40" i="31"/>
  <c r="AL29" i="30"/>
  <c r="AX173" i="29"/>
  <c r="AK29" i="29"/>
  <c r="AV29" i="29"/>
  <c r="AB299" i="29"/>
  <c r="D300" i="29" a="1"/>
  <c r="D300" i="29" s="1"/>
  <c r="V39" i="21" a="1"/>
  <c r="V39" i="21" s="1"/>
  <c r="AB39" i="21" a="1"/>
  <c r="AB39" i="21" s="1"/>
  <c r="F210" i="29" a="1"/>
  <c r="F210" i="29" s="1"/>
  <c r="AB299" i="30"/>
  <c r="D300" i="30" a="1"/>
  <c r="D300" i="30" s="1"/>
  <c r="T141" i="28"/>
  <c r="F142" i="28" a="1"/>
  <c r="F142" i="28" s="1"/>
  <c r="T81" i="19"/>
  <c r="T82" i="19" s="1" a="1"/>
  <c r="T82" i="19" s="1"/>
  <c r="T83" i="19" s="1" a="1"/>
  <c r="T83" i="19" s="1"/>
  <c r="F82" i="19" a="1"/>
  <c r="F82" i="19" s="1"/>
  <c r="F210" i="30" a="1"/>
  <c r="F210" i="30" s="1"/>
  <c r="D156" i="30" a="1"/>
  <c r="D156" i="30" s="1"/>
  <c r="AB155" i="30"/>
  <c r="F50" i="29" a="1"/>
  <c r="F50" i="29" s="1"/>
  <c r="F83" i="19" l="1" a="1"/>
  <c r="F83" i="19" s="1"/>
  <c r="K82" i="19"/>
  <c r="AJ82" i="19"/>
  <c r="AI82" i="19"/>
  <c r="F211" i="30" a="1"/>
  <c r="F211" i="30" s="1"/>
  <c r="D301" i="29" a="1"/>
  <c r="D301" i="29" s="1"/>
  <c r="AB300" i="29"/>
  <c r="AF33" i="24"/>
  <c r="AE34" i="24"/>
  <c r="AH196" i="30"/>
  <c r="F48" i="8" a="1"/>
  <c r="F48" i="8" s="1"/>
  <c r="U47" i="8"/>
  <c r="F44" i="19" a="1"/>
  <c r="F44" i="19" s="1"/>
  <c r="K62" i="20"/>
  <c r="F63" i="20" a="1"/>
  <c r="F63" i="20" s="1"/>
  <c r="F46" i="18" a="1"/>
  <c r="F46" i="18" s="1"/>
  <c r="T45" i="18"/>
  <c r="T46" i="18" s="1" a="1"/>
  <c r="T46" i="18" s="1"/>
  <c r="F67" i="30" a="1"/>
  <c r="F67" i="30" s="1"/>
  <c r="BO66" i="30"/>
  <c r="AF41" i="24"/>
  <c r="AE42" i="24"/>
  <c r="AH181" i="30"/>
  <c r="AG179" i="30"/>
  <c r="AH37" i="30"/>
  <c r="AG35" i="30"/>
  <c r="K67" i="26"/>
  <c r="F68" i="26" a="1"/>
  <c r="F68" i="26" s="1"/>
  <c r="AG197" i="30"/>
  <c r="AH197" i="30" s="1"/>
  <c r="AH206" i="30"/>
  <c r="D157" i="29" a="1"/>
  <c r="D157" i="29" s="1"/>
  <c r="AB156" i="29"/>
  <c r="AG53" i="30"/>
  <c r="AH53" i="30" s="1"/>
  <c r="AH62" i="30"/>
  <c r="V41" i="22" a="1"/>
  <c r="V41" i="22" s="1"/>
  <c r="AB41" i="22" a="1"/>
  <c r="AB41" i="22" s="1"/>
  <c r="AI172" i="30"/>
  <c r="F44" i="20" a="1"/>
  <c r="F44" i="20" s="1"/>
  <c r="K43" i="20"/>
  <c r="AB300" i="30"/>
  <c r="D301" i="30" a="1"/>
  <c r="D301" i="30" s="1"/>
  <c r="F51" i="29" a="1"/>
  <c r="F51" i="29" s="1"/>
  <c r="D157" i="30" a="1"/>
  <c r="D157" i="30" s="1"/>
  <c r="AB156" i="30"/>
  <c r="T142" i="28"/>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T198" i="28" s="1" a="1"/>
  <c r="T198" i="28" s="1"/>
  <c r="F143" i="28" a="1"/>
  <c r="F143" i="28" s="1"/>
  <c r="F144" i="28" s="1" a="1"/>
  <c r="F144" i="28" s="1"/>
  <c r="F145" i="28" s="1" a="1"/>
  <c r="F145" i="28" s="1"/>
  <c r="F146" i="28" s="1" a="1"/>
  <c r="F146" i="28" s="1"/>
  <c r="F211" i="29" a="1"/>
  <c r="F211" i="29" s="1"/>
  <c r="AI28" i="30"/>
  <c r="AN60" i="28"/>
  <c r="F61" i="28" a="1"/>
  <c r="F61" i="28" s="1"/>
  <c r="F62" i="28" s="1" a="1"/>
  <c r="F62" i="28" s="1"/>
  <c r="F119" i="26" a="1"/>
  <c r="F119" i="26" s="1"/>
  <c r="K118" i="26"/>
  <c r="F52" i="29" l="1" a="1"/>
  <c r="F52" i="29" s="1"/>
  <c r="BO51" i="29"/>
  <c r="AB301" i="30"/>
  <c r="D302" i="30" a="1"/>
  <c r="D302" i="30" s="1"/>
  <c r="D158" i="29" a="1"/>
  <c r="D158" i="29" s="1"/>
  <c r="AB157" i="29"/>
  <c r="BO67" i="30"/>
  <c r="F68" i="30" a="1"/>
  <c r="F68" i="30" s="1"/>
  <c r="F212" i="30" a="1"/>
  <c r="F212" i="30" s="1"/>
  <c r="F63" i="28" a="1"/>
  <c r="F63" i="28" s="1"/>
  <c r="F64" i="28" s="1" a="1"/>
  <c r="F64" i="28" s="1"/>
  <c r="AN62" i="28"/>
  <c r="AT28" i="30"/>
  <c r="BD28" i="30"/>
  <c r="AJ28" i="30"/>
  <c r="F212" i="29" a="1"/>
  <c r="F212" i="29" s="1"/>
  <c r="AB157" i="30"/>
  <c r="D158" i="30" a="1"/>
  <c r="D158" i="30" s="1"/>
  <c r="AT172" i="30"/>
  <c r="BD172" i="30"/>
  <c r="AJ172" i="30"/>
  <c r="AH35" i="30"/>
  <c r="AG30" i="30"/>
  <c r="F47" i="18" a="1"/>
  <c r="F47" i="18" s="1"/>
  <c r="T44" i="19"/>
  <c r="T45" i="19" s="1" a="1"/>
  <c r="T45" i="19" s="1"/>
  <c r="T46" i="19" s="1" a="1"/>
  <c r="T46" i="19" s="1"/>
  <c r="F45" i="19" a="1"/>
  <c r="F45" i="19" s="1"/>
  <c r="F84" i="19" a="1"/>
  <c r="F84" i="19" s="1"/>
  <c r="K83" i="19"/>
  <c r="F147" i="28" a="1"/>
  <c r="F147" i="28" s="1"/>
  <c r="AG41" i="24"/>
  <c r="AF42" i="24"/>
  <c r="K63" i="20"/>
  <c r="F64" i="20" a="1"/>
  <c r="F64" i="20" s="1"/>
  <c r="AI209" i="29" s="1"/>
  <c r="AG33" i="24"/>
  <c r="AF34" i="24"/>
  <c r="K119" i="26"/>
  <c r="F120" i="26" a="1"/>
  <c r="F120" i="26" s="1"/>
  <c r="K44" i="20"/>
  <c r="F45" i="20" a="1"/>
  <c r="F45" i="20" s="1"/>
  <c r="V58" i="23" a="1"/>
  <c r="V58" i="23" s="1"/>
  <c r="AB58" i="23" a="1"/>
  <c r="AB58" i="23" s="1"/>
  <c r="AF86" i="26"/>
  <c r="AG86" i="26"/>
  <c r="K68" i="26"/>
  <c r="F69" i="26" a="1"/>
  <c r="F69" i="26" s="1"/>
  <c r="AG174" i="30"/>
  <c r="AH179" i="30"/>
  <c r="U48" i="8"/>
  <c r="F49" i="8" a="1"/>
  <c r="F49" i="8" s="1"/>
  <c r="AB301" i="29"/>
  <c r="D302" i="29" a="1"/>
  <c r="D302" i="29" s="1"/>
  <c r="AE204" i="29" l="1"/>
  <c r="AI202" i="29"/>
  <c r="BD202" i="29" s="1"/>
  <c r="AF204" i="29"/>
  <c r="AG209" i="29"/>
  <c r="AE209" i="29"/>
  <c r="AJ205" i="29"/>
  <c r="AF209" i="29"/>
  <c r="AF205" i="29"/>
  <c r="AE203" i="29"/>
  <c r="AF203" i="29"/>
  <c r="AI204" i="29"/>
  <c r="BD204" i="29" s="1"/>
  <c r="AT203" i="29"/>
  <c r="AG204" i="29"/>
  <c r="AB302" i="29"/>
  <c r="D303" i="29" a="1"/>
  <c r="D303" i="29" s="1"/>
  <c r="AH174" i="30"/>
  <c r="AG172" i="30"/>
  <c r="AJ209" i="29"/>
  <c r="AT209" i="29"/>
  <c r="BD209" i="29" s="1"/>
  <c r="AJ204" i="29"/>
  <c r="K120" i="26"/>
  <c r="F121" i="26" a="1"/>
  <c r="F121" i="26" s="1"/>
  <c r="AG34" i="24"/>
  <c r="AH33" i="24"/>
  <c r="AG42" i="24"/>
  <c r="AH41" i="24"/>
  <c r="F148" i="28" a="1"/>
  <c r="F148" i="28" s="1"/>
  <c r="F149" i="28" s="1" a="1"/>
  <c r="F149" i="28" s="1"/>
  <c r="AG28" i="30"/>
  <c r="AH30" i="30"/>
  <c r="AU172" i="30"/>
  <c r="BE172" i="30"/>
  <c r="AB158" i="30"/>
  <c r="D159" i="30" a="1"/>
  <c r="D159" i="30" s="1"/>
  <c r="AI212" i="29"/>
  <c r="BD212" i="29" s="1"/>
  <c r="AE212" i="29"/>
  <c r="F213" i="29" a="1"/>
  <c r="F213" i="29" s="1"/>
  <c r="AT212" i="29"/>
  <c r="AG212" i="29"/>
  <c r="AJ212" i="29"/>
  <c r="AF212" i="29"/>
  <c r="AF211" i="29"/>
  <c r="BE28" i="30"/>
  <c r="AU28" i="30"/>
  <c r="AK62" i="28"/>
  <c r="F69" i="30" a="1"/>
  <c r="F69" i="30" s="1"/>
  <c r="BO68" i="30"/>
  <c r="F53" i="29" a="1"/>
  <c r="F53" i="29" s="1"/>
  <c r="BO52" i="29"/>
  <c r="K64" i="20"/>
  <c r="AJ199" i="29"/>
  <c r="AG199" i="29"/>
  <c r="AJ198" i="29"/>
  <c r="AT198" i="29"/>
  <c r="AI198" i="29"/>
  <c r="AE199" i="29"/>
  <c r="AG198" i="29"/>
  <c r="AF199" i="29"/>
  <c r="AE198" i="29"/>
  <c r="AT199" i="29"/>
  <c r="AF198" i="29"/>
  <c r="AT202" i="29"/>
  <c r="AG200" i="29"/>
  <c r="AF200" i="29"/>
  <c r="AE200" i="29"/>
  <c r="AT200" i="29"/>
  <c r="AI199" i="29"/>
  <c r="BD199" i="29" s="1"/>
  <c r="AJ200" i="29"/>
  <c r="AI200" i="29"/>
  <c r="BD200" i="29" s="1"/>
  <c r="AT204" i="29"/>
  <c r="AT201" i="29"/>
  <c r="AG202" i="29"/>
  <c r="AE201" i="29"/>
  <c r="AE202" i="29"/>
  <c r="AF201" i="29"/>
  <c r="AJ201" i="29"/>
  <c r="AI201" i="29"/>
  <c r="BD201" i="29" s="1"/>
  <c r="AG201" i="29"/>
  <c r="AF202" i="29"/>
  <c r="AJ202" i="29"/>
  <c r="AE211" i="29"/>
  <c r="AJ211" i="29"/>
  <c r="AF62" i="28"/>
  <c r="F65" i="28" a="1"/>
  <c r="F65" i="28" s="1"/>
  <c r="AN64" i="28"/>
  <c r="AG203" i="29"/>
  <c r="AH203" i="29" s="1"/>
  <c r="AJ203" i="29"/>
  <c r="K45" i="20"/>
  <c r="BO209" i="30" s="1"/>
  <c r="AG210" i="29"/>
  <c r="AG205" i="29"/>
  <c r="AT205" i="29"/>
  <c r="AJ210" i="29"/>
  <c r="AE210" i="29"/>
  <c r="AF210" i="29"/>
  <c r="AT210" i="29"/>
  <c r="AI210" i="29"/>
  <c r="BD210" i="29" s="1"/>
  <c r="F48" i="18" a="1"/>
  <c r="F48" i="18" s="1"/>
  <c r="T47" i="18"/>
  <c r="T48" i="18" s="1" a="1"/>
  <c r="T48" i="18" s="1"/>
  <c r="AK172" i="30"/>
  <c r="AI205" i="29"/>
  <c r="AG211" i="29"/>
  <c r="AH211" i="29" s="1"/>
  <c r="AI211" i="29"/>
  <c r="BD211" i="29" s="1"/>
  <c r="AK28" i="30"/>
  <c r="AE62" i="28"/>
  <c r="AJ62" i="28"/>
  <c r="AB302" i="30"/>
  <c r="D303" i="30" a="1"/>
  <c r="D303" i="30" s="1"/>
  <c r="F50" i="8" a="1"/>
  <c r="F50" i="8" s="1"/>
  <c r="U49" i="8"/>
  <c r="F70" i="26" a="1"/>
  <c r="F70" i="26" s="1"/>
  <c r="AG69" i="26"/>
  <c r="K69" i="26"/>
  <c r="AB35" i="24" a="1"/>
  <c r="AB35" i="24" s="1"/>
  <c r="V35" i="24" a="1"/>
  <c r="V35" i="24" s="1"/>
  <c r="AI203" i="29"/>
  <c r="BD203" i="29" s="1"/>
  <c r="BO204" i="30"/>
  <c r="T84" i="19"/>
  <c r="T85" i="19" s="1" a="1"/>
  <c r="T85" i="19" s="1"/>
  <c r="T86" i="19" s="1" a="1"/>
  <c r="T86" i="19" s="1"/>
  <c r="F85" i="19" a="1"/>
  <c r="F85" i="19" s="1"/>
  <c r="F86" i="19" s="1" a="1"/>
  <c r="F86" i="19" s="1"/>
  <c r="F87" i="19" s="1" a="1"/>
  <c r="F87" i="19" s="1"/>
  <c r="F46" i="19" a="1"/>
  <c r="F46" i="19" s="1"/>
  <c r="K45" i="19"/>
  <c r="AF45" i="19"/>
  <c r="AE45" i="19"/>
  <c r="AH45" i="19"/>
  <c r="AJ45" i="19"/>
  <c r="AI45" i="19"/>
  <c r="AG45" i="19"/>
  <c r="AE205" i="29"/>
  <c r="AT211" i="29"/>
  <c r="AI62" i="28"/>
  <c r="AG62" i="28"/>
  <c r="F213" i="30" a="1"/>
  <c r="F213" i="30" s="1"/>
  <c r="D159" i="29" a="1"/>
  <c r="D159" i="29" s="1"/>
  <c r="AB158" i="29"/>
  <c r="AH205" i="29" l="1"/>
  <c r="AH204" i="29"/>
  <c r="BO212" i="30"/>
  <c r="AH212" i="29"/>
  <c r="BO211" i="29"/>
  <c r="BO210" i="29"/>
  <c r="BO211" i="30"/>
  <c r="AH209" i="29"/>
  <c r="AH200" i="29"/>
  <c r="BD205" i="29"/>
  <c r="D160" i="29" a="1"/>
  <c r="D160" i="29" s="1"/>
  <c r="AB159" i="29"/>
  <c r="F71" i="26" a="1"/>
  <c r="F71" i="26" s="1"/>
  <c r="AG70" i="26"/>
  <c r="K70" i="26"/>
  <c r="D304" i="30" a="1"/>
  <c r="D304" i="30" s="1"/>
  <c r="AB303" i="30"/>
  <c r="AH201" i="29"/>
  <c r="BO198" i="30"/>
  <c r="BO199" i="29"/>
  <c r="BO200" i="30"/>
  <c r="BO199" i="30"/>
  <c r="BO200" i="29"/>
  <c r="BO202" i="30"/>
  <c r="BO201" i="29"/>
  <c r="BO202" i="29"/>
  <c r="BO201" i="30"/>
  <c r="BO203" i="30"/>
  <c r="BO203" i="29"/>
  <c r="BO204" i="29"/>
  <c r="BO205" i="29"/>
  <c r="BO205" i="30"/>
  <c r="BF28" i="30"/>
  <c r="AV28" i="30"/>
  <c r="AT213" i="29"/>
  <c r="AG213" i="29"/>
  <c r="F214" i="29" a="1"/>
  <c r="F214" i="29" s="1"/>
  <c r="AJ213" i="29"/>
  <c r="AF213" i="29"/>
  <c r="AI213" i="29"/>
  <c r="AE213" i="29"/>
  <c r="AB159" i="30"/>
  <c r="D160" i="30" a="1"/>
  <c r="D160" i="30" s="1"/>
  <c r="F150" i="28" a="1"/>
  <c r="F150" i="28" s="1"/>
  <c r="F151" i="28" s="1" a="1"/>
  <c r="F151" i="28" s="1"/>
  <c r="AK149" i="28"/>
  <c r="AG149" i="28"/>
  <c r="AJ149" i="28"/>
  <c r="AF149" i="28"/>
  <c r="AN149" i="28"/>
  <c r="AI149" i="28"/>
  <c r="AE149" i="28"/>
  <c r="AI41" i="24"/>
  <c r="AH42" i="24"/>
  <c r="AB303" i="29"/>
  <c r="D304" i="29" a="1"/>
  <c r="D304" i="29" s="1"/>
  <c r="AL62" i="28"/>
  <c r="F214" i="30" a="1"/>
  <c r="F214" i="30" s="1"/>
  <c r="BO213" i="30"/>
  <c r="BO64" i="30"/>
  <c r="AB29" i="25" a="1"/>
  <c r="AB29" i="25" s="1"/>
  <c r="V29" i="25" a="1"/>
  <c r="V29" i="25" s="1"/>
  <c r="AL28" i="30"/>
  <c r="AH210" i="29"/>
  <c r="AH198" i="29"/>
  <c r="AG121" i="26"/>
  <c r="K121" i="26"/>
  <c r="F122" i="26" a="1"/>
  <c r="F122" i="26" s="1"/>
  <c r="F47" i="19" a="1"/>
  <c r="F47" i="19" s="1"/>
  <c r="K46" i="19"/>
  <c r="U50" i="8"/>
  <c r="F51" i="8" a="1"/>
  <c r="F51" i="8" s="1"/>
  <c r="AL172" i="30"/>
  <c r="AN69" i="28"/>
  <c r="AN65" i="28"/>
  <c r="F66" i="28" a="1"/>
  <c r="F66" i="28" s="1"/>
  <c r="AH202" i="29"/>
  <c r="AH199" i="29"/>
  <c r="BO69" i="30"/>
  <c r="F70" i="30" a="1"/>
  <c r="F70" i="30" s="1"/>
  <c r="AH28" i="30"/>
  <c r="AI33" i="24"/>
  <c r="AH34" i="24"/>
  <c r="AH172" i="30"/>
  <c r="AH62" i="28"/>
  <c r="T87" i="19"/>
  <c r="T88" i="19" s="1" a="1"/>
  <c r="T88" i="19" s="1"/>
  <c r="F88" i="19" a="1"/>
  <c r="F88" i="19" s="1"/>
  <c r="F49" i="18" a="1"/>
  <c r="F49" i="18" s="1"/>
  <c r="BD198" i="29"/>
  <c r="F54" i="29" a="1"/>
  <c r="F54" i="29" s="1"/>
  <c r="BO212" i="29"/>
  <c r="BF172" i="30"/>
  <c r="AV172" i="30"/>
  <c r="BO210" i="30"/>
  <c r="BD213" i="29" l="1"/>
  <c r="K88" i="19"/>
  <c r="AH88" i="19"/>
  <c r="AH52" i="19" s="1"/>
  <c r="AJ88" i="19"/>
  <c r="AJ52" i="19" s="1"/>
  <c r="AF88" i="19"/>
  <c r="AF52" i="19" s="1"/>
  <c r="AE88" i="19"/>
  <c r="AE52" i="19" s="1"/>
  <c r="AI88" i="19"/>
  <c r="AI52" i="19" s="1"/>
  <c r="AG88" i="19"/>
  <c r="AG52" i="19" s="1"/>
  <c r="AM172" i="30"/>
  <c r="B30" i="25"/>
  <c r="B31" i="25" s="1" a="1"/>
  <c r="B31" i="25" s="1"/>
  <c r="V78" i="26" a="1"/>
  <c r="V78" i="26" s="1"/>
  <c r="AB78" i="26" a="1"/>
  <c r="AB78" i="26" s="1"/>
  <c r="AG120" i="26"/>
  <c r="AW28" i="30"/>
  <c r="BG28" i="30"/>
  <c r="BG172" i="30"/>
  <c r="AW172" i="30"/>
  <c r="AJ54" i="29"/>
  <c r="AF54" i="29"/>
  <c r="BO54" i="29"/>
  <c r="AI54" i="29"/>
  <c r="AE54" i="29"/>
  <c r="F55" i="29" a="1"/>
  <c r="F55" i="29" s="1"/>
  <c r="AT54" i="29"/>
  <c r="AG54" i="29"/>
  <c r="T47" i="19"/>
  <c r="T48" i="19" s="1" a="1"/>
  <c r="T48" i="19" s="1"/>
  <c r="T49" i="19" s="1" a="1"/>
  <c r="T49" i="19" s="1"/>
  <c r="F48" i="19" a="1"/>
  <c r="F48" i="19" s="1"/>
  <c r="AM28" i="30"/>
  <c r="AJ41" i="24"/>
  <c r="AI42" i="24"/>
  <c r="F152" i="28" a="1"/>
  <c r="F152" i="28" s="1"/>
  <c r="F215" i="29" a="1"/>
  <c r="F215" i="29" s="1"/>
  <c r="AT214" i="29"/>
  <c r="AG214" i="29"/>
  <c r="AJ214" i="29"/>
  <c r="AF214" i="29"/>
  <c r="BO214" i="29"/>
  <c r="AI214" i="29"/>
  <c r="BD214" i="29" s="1"/>
  <c r="AE214" i="29"/>
  <c r="F72" i="26" a="1"/>
  <c r="F72" i="26" s="1"/>
  <c r="K71" i="26"/>
  <c r="AB160" i="29"/>
  <c r="D161" i="29"/>
  <c r="F50" i="18" a="1"/>
  <c r="F50" i="18" s="1"/>
  <c r="AJ33" i="24"/>
  <c r="AI34" i="24"/>
  <c r="AN66" i="28"/>
  <c r="AI66" i="28"/>
  <c r="AL66" i="28" s="1"/>
  <c r="AE66" i="28"/>
  <c r="F67" i="28" a="1"/>
  <c r="F67" i="28" s="1"/>
  <c r="AK66" i="28"/>
  <c r="AG66" i="28"/>
  <c r="AJ66" i="28"/>
  <c r="AF66" i="28"/>
  <c r="F52" i="8" a="1"/>
  <c r="F52" i="8" s="1"/>
  <c r="U51" i="8"/>
  <c r="D305" i="29"/>
  <c r="AB304" i="29"/>
  <c r="AH213" i="29"/>
  <c r="D305" i="30"/>
  <c r="AB304" i="30"/>
  <c r="F71" i="30" a="1"/>
  <c r="F71" i="30" s="1"/>
  <c r="BO70" i="30"/>
  <c r="K122" i="26"/>
  <c r="F123" i="26" a="1"/>
  <c r="F123" i="26" s="1"/>
  <c r="BO214" i="30"/>
  <c r="F215" i="30" a="1"/>
  <c r="F215" i="30" s="1"/>
  <c r="AL149" i="28"/>
  <c r="AH149" i="28"/>
  <c r="D161" i="30"/>
  <c r="AB160" i="30"/>
  <c r="AH214" i="29" l="1"/>
  <c r="U52" i="8"/>
  <c r="F53" i="8" a="1"/>
  <c r="F53" i="8" s="1"/>
  <c r="F124" i="26" a="1"/>
  <c r="F124" i="26" s="1"/>
  <c r="K123" i="26"/>
  <c r="F68" i="28" a="1"/>
  <c r="F68" i="28" s="1"/>
  <c r="AK67" i="28"/>
  <c r="AG67" i="28"/>
  <c r="AJ67" i="28"/>
  <c r="AF67" i="28"/>
  <c r="AN67" i="28"/>
  <c r="AI67" i="28"/>
  <c r="AL67" i="28" s="1"/>
  <c r="AE67" i="28"/>
  <c r="F73" i="26" a="1"/>
  <c r="F73" i="26" s="1"/>
  <c r="K72" i="26"/>
  <c r="D162" i="30"/>
  <c r="AB161" i="30" a="1"/>
  <c r="AB161" i="30" s="1"/>
  <c r="D306" i="29"/>
  <c r="AB305" i="29" a="1"/>
  <c r="AB305" i="29" s="1"/>
  <c r="AK33" i="24"/>
  <c r="AJ34" i="24"/>
  <c r="D162" i="29"/>
  <c r="AB161" i="29" a="1"/>
  <c r="AB161" i="29" s="1"/>
  <c r="F216" i="29" a="1"/>
  <c r="F216" i="29" s="1"/>
  <c r="AT215" i="29"/>
  <c r="AG215" i="29"/>
  <c r="AJ215" i="29"/>
  <c r="AF215" i="29"/>
  <c r="BO215" i="29"/>
  <c r="AI215" i="29"/>
  <c r="BD215" i="29" s="1"/>
  <c r="AE215" i="29"/>
  <c r="AN156" i="28"/>
  <c r="F153" i="28" a="1"/>
  <c r="F153" i="28" s="1"/>
  <c r="AN28" i="30"/>
  <c r="AD85" i="27" a="1"/>
  <c r="AD85" i="27" s="1"/>
  <c r="V85" i="27" a="1"/>
  <c r="V85" i="27" s="1"/>
  <c r="F216" i="30" a="1"/>
  <c r="F216" i="30" s="1"/>
  <c r="BO215" i="30"/>
  <c r="D306" i="30"/>
  <c r="AB305" i="30" a="1"/>
  <c r="AB305" i="30" s="1"/>
  <c r="AH66" i="28"/>
  <c r="BO55" i="29"/>
  <c r="AI55" i="29"/>
  <c r="BD55" i="29" s="1"/>
  <c r="AE55" i="29"/>
  <c r="F56" i="29" a="1"/>
  <c r="F56" i="29" s="1"/>
  <c r="AT55" i="29"/>
  <c r="AG55" i="29"/>
  <c r="AJ55" i="29"/>
  <c r="AF55" i="29"/>
  <c r="AN172" i="30"/>
  <c r="BO71" i="30"/>
  <c r="F72" i="30" a="1"/>
  <c r="F72" i="30" s="1"/>
  <c r="F49" i="19" a="1"/>
  <c r="F49" i="19" s="1"/>
  <c r="T50" i="18"/>
  <c r="T51" i="18" s="1" a="1"/>
  <c r="T51" i="18" s="1"/>
  <c r="F51" i="18" a="1"/>
  <c r="F51" i="18" s="1"/>
  <c r="F52" i="18" s="1" a="1"/>
  <c r="F52" i="18" s="1"/>
  <c r="AK41" i="24"/>
  <c r="AJ42" i="24"/>
  <c r="AH54" i="29"/>
  <c r="BD54" i="29"/>
  <c r="AX172" i="30"/>
  <c r="BH172" i="30"/>
  <c r="AX28" i="30"/>
  <c r="BH28" i="30"/>
  <c r="AH55" i="29" l="1"/>
  <c r="AH215" i="29"/>
  <c r="BI28" i="30"/>
  <c r="AY28" i="30"/>
  <c r="T52" i="18"/>
  <c r="T53" i="18" s="1" a="1"/>
  <c r="T53" i="18" s="1"/>
  <c r="T54" i="18" s="1" a="1"/>
  <c r="T54" i="18" s="1"/>
  <c r="T55" i="18" s="1" a="1"/>
  <c r="T55" i="18" s="1"/>
  <c r="T56" i="18" s="1" a="1"/>
  <c r="T56" i="18" s="1"/>
  <c r="F53" i="18" a="1"/>
  <c r="F53" i="18" s="1"/>
  <c r="F54" i="18" s="1" a="1"/>
  <c r="F54" i="18" s="1"/>
  <c r="F55" i="18" s="1" a="1"/>
  <c r="F55" i="18" s="1"/>
  <c r="F56" i="18" s="1" a="1"/>
  <c r="F56" i="18" s="1"/>
  <c r="AB306" i="30" a="1"/>
  <c r="AB306" i="30" s="1"/>
  <c r="D307" i="30" a="1"/>
  <c r="D307" i="30" s="1"/>
  <c r="AB162" i="30" a="1"/>
  <c r="AB162" i="30" s="1"/>
  <c r="D163" i="30" a="1"/>
  <c r="D163" i="30" s="1"/>
  <c r="AH67" i="28"/>
  <c r="K124" i="26"/>
  <c r="F125" i="26" a="1"/>
  <c r="F125" i="26" s="1"/>
  <c r="F50" i="19" a="1"/>
  <c r="F50" i="19" s="1"/>
  <c r="AB162" i="29" a="1"/>
  <c r="AB162" i="29" s="1"/>
  <c r="D163" i="29" a="1"/>
  <c r="D163" i="29" s="1"/>
  <c r="AB306" i="29" a="1"/>
  <c r="AB306" i="29" s="1"/>
  <c r="D307" i="29" a="1"/>
  <c r="D307" i="29" s="1"/>
  <c r="F54" i="8" a="1"/>
  <c r="F54" i="8" s="1"/>
  <c r="U53" i="8"/>
  <c r="AK42" i="24"/>
  <c r="AL41" i="24"/>
  <c r="BO72" i="30"/>
  <c r="F73" i="30" a="1"/>
  <c r="F73" i="30" s="1"/>
  <c r="F74" i="30" s="1" a="1"/>
  <c r="F74" i="30" s="1"/>
  <c r="F75" i="30" s="1" a="1"/>
  <c r="F75" i="30" s="1"/>
  <c r="F76" i="30" s="1" a="1"/>
  <c r="F76" i="30" s="1"/>
  <c r="AO172" i="30"/>
  <c r="F57" i="29" a="1"/>
  <c r="F57" i="29" s="1"/>
  <c r="AT56" i="29"/>
  <c r="AG56" i="29"/>
  <c r="AJ56" i="29"/>
  <c r="AF56" i="29"/>
  <c r="BO56" i="29"/>
  <c r="AI56" i="29"/>
  <c r="BD56" i="29" s="1"/>
  <c r="AE56" i="29"/>
  <c r="BO216" i="30"/>
  <c r="F217" i="30" a="1"/>
  <c r="F217" i="30" s="1"/>
  <c r="F218" i="30" s="1" a="1"/>
  <c r="F218" i="30" s="1"/>
  <c r="F219" i="30" s="1" a="1"/>
  <c r="F219" i="30" s="1"/>
  <c r="F220" i="30" s="1" a="1"/>
  <c r="F220" i="30" s="1"/>
  <c r="V112" i="28" a="1"/>
  <c r="V112" i="28" s="1"/>
  <c r="AB86" i="27"/>
  <c r="AB112" i="28" a="1"/>
  <c r="AB112" i="28" s="1"/>
  <c r="AJ216" i="29"/>
  <c r="AF216" i="29"/>
  <c r="BO216" i="29"/>
  <c r="AI216" i="29"/>
  <c r="AE216" i="29"/>
  <c r="F217" i="29" a="1"/>
  <c r="F217" i="29" s="1"/>
  <c r="AT216" i="29"/>
  <c r="AG216" i="29"/>
  <c r="K73" i="26"/>
  <c r="F74" i="26" a="1"/>
  <c r="F74" i="26" s="1"/>
  <c r="F69" i="28" a="1"/>
  <c r="F69" i="28" s="1"/>
  <c r="AK68" i="28"/>
  <c r="AG68" i="28"/>
  <c r="AJ68" i="28"/>
  <c r="AF68" i="28"/>
  <c r="AN68" i="28"/>
  <c r="AI68" i="28"/>
  <c r="AL68" i="28" s="1"/>
  <c r="AE68" i="28"/>
  <c r="AY172" i="30"/>
  <c r="BI172" i="30"/>
  <c r="AO28" i="30"/>
  <c r="AN153" i="28"/>
  <c r="AI153" i="28"/>
  <c r="AE153" i="28"/>
  <c r="F154" i="28" a="1"/>
  <c r="F154" i="28" s="1"/>
  <c r="AK153" i="28"/>
  <c r="AG153" i="28"/>
  <c r="AJ153" i="28"/>
  <c r="AF153" i="28"/>
  <c r="AK34" i="24"/>
  <c r="AL33" i="24"/>
  <c r="AH68" i="28" l="1"/>
  <c r="AH153" i="28"/>
  <c r="AL153" i="28"/>
  <c r="AM33" i="24"/>
  <c r="AL34" i="24"/>
  <c r="AJ69" i="28"/>
  <c r="AF69" i="28"/>
  <c r="AI69" i="28"/>
  <c r="AL69" i="28" s="1"/>
  <c r="AE69" i="28"/>
  <c r="F70" i="28" a="1"/>
  <c r="F70" i="28" s="1"/>
  <c r="AK69" i="28"/>
  <c r="AG69" i="28"/>
  <c r="AH216" i="29"/>
  <c r="BD216" i="29"/>
  <c r="T220" i="30"/>
  <c r="F221" i="30" a="1"/>
  <c r="F221" i="30" s="1"/>
  <c r="BJ28" i="30"/>
  <c r="AZ28" i="30"/>
  <c r="F75" i="26" a="1"/>
  <c r="F75" i="26" s="1"/>
  <c r="K74" i="26"/>
  <c r="F58" i="29" a="1"/>
  <c r="F58" i="29" s="1"/>
  <c r="AT57" i="29"/>
  <c r="AG57" i="29"/>
  <c r="AJ57" i="29"/>
  <c r="AF57" i="29"/>
  <c r="BO57" i="29"/>
  <c r="AI57" i="29"/>
  <c r="BD57" i="29" s="1"/>
  <c r="AE57" i="29"/>
  <c r="T76" i="30"/>
  <c r="F77" i="30" a="1"/>
  <c r="F77" i="30" s="1"/>
  <c r="AB163" i="29"/>
  <c r="D164" i="29" a="1"/>
  <c r="D164" i="29" s="1"/>
  <c r="F218" i="29" a="1"/>
  <c r="F218" i="29" s="1"/>
  <c r="F219" i="29" s="1" a="1"/>
  <c r="F219" i="29" s="1"/>
  <c r="AP172" i="30"/>
  <c r="U54" i="8"/>
  <c r="F55" i="8" a="1"/>
  <c r="F55" i="8" s="1"/>
  <c r="T50" i="19"/>
  <c r="T51" i="19" s="1" a="1"/>
  <c r="T51" i="19" s="1"/>
  <c r="F51" i="19" a="1"/>
  <c r="F51" i="19" s="1"/>
  <c r="AE36" i="29" s="1"/>
  <c r="AB163" i="30"/>
  <c r="D164" i="30" a="1"/>
  <c r="D164" i="30" s="1"/>
  <c r="AE36" i="28"/>
  <c r="AG121" i="28"/>
  <c r="AG123" i="28"/>
  <c r="AI36" i="28"/>
  <c r="AL36" i="28" s="1"/>
  <c r="AE123" i="28"/>
  <c r="AJ36" i="28"/>
  <c r="AE38" i="28"/>
  <c r="AK38" i="28"/>
  <c r="AF39" i="28"/>
  <c r="AF123" i="28"/>
  <c r="AJ123" i="28"/>
  <c r="AK123" i="28"/>
  <c r="AG122" i="28"/>
  <c r="AF122" i="28"/>
  <c r="AJ38" i="28"/>
  <c r="AI38" i="28"/>
  <c r="AL38" i="28" s="1"/>
  <c r="AI122" i="28"/>
  <c r="AL122" i="28" s="1"/>
  <c r="AF38" i="28"/>
  <c r="AJ39" i="28"/>
  <c r="AE39" i="28"/>
  <c r="AF125" i="28"/>
  <c r="AG124" i="28"/>
  <c r="AG38" i="28"/>
  <c r="AF124" i="28"/>
  <c r="AE124" i="28"/>
  <c r="AK39" i="28"/>
  <c r="AI39" i="28"/>
  <c r="AL39" i="28" s="1"/>
  <c r="AK124" i="28"/>
  <c r="AK125" i="28"/>
  <c r="AE40" i="28"/>
  <c r="AG39" i="28"/>
  <c r="AE125" i="28"/>
  <c r="AJ40" i="28"/>
  <c r="AG36" i="28"/>
  <c r="AJ124" i="28"/>
  <c r="AI125" i="28"/>
  <c r="AL125" i="28" s="1"/>
  <c r="AJ125" i="28"/>
  <c r="AG125" i="28"/>
  <c r="AK40" i="28"/>
  <c r="AF40" i="28"/>
  <c r="AI124" i="28"/>
  <c r="AL124" i="28" s="1"/>
  <c r="AI40" i="28"/>
  <c r="AL40" i="28" s="1"/>
  <c r="AG41" i="28"/>
  <c r="AI41" i="28"/>
  <c r="AL41" i="28" s="1"/>
  <c r="AK126" i="28"/>
  <c r="AF121" i="28"/>
  <c r="AE42" i="28"/>
  <c r="AI127" i="28"/>
  <c r="AL127" i="28" s="1"/>
  <c r="AG40" i="28"/>
  <c r="AF41" i="28"/>
  <c r="AE35" i="28"/>
  <c r="AG126" i="28"/>
  <c r="AE126" i="28"/>
  <c r="AF126" i="28"/>
  <c r="AJ127" i="28"/>
  <c r="AI126" i="28"/>
  <c r="AL126" i="28" s="1"/>
  <c r="AF127" i="28"/>
  <c r="AG84" i="26"/>
  <c r="AK41" i="28"/>
  <c r="AG37" i="28"/>
  <c r="AJ41" i="28"/>
  <c r="AK120" i="28"/>
  <c r="AE121" i="28"/>
  <c r="AE41" i="28"/>
  <c r="AJ126" i="28"/>
  <c r="AI35" i="28"/>
  <c r="AG42" i="28"/>
  <c r="AE37" i="28"/>
  <c r="AI123" i="28"/>
  <c r="AL123" i="28" s="1"/>
  <c r="AK127" i="28"/>
  <c r="AE127" i="28"/>
  <c r="AI42" i="28"/>
  <c r="AL42" i="28" s="1"/>
  <c r="AK35" i="28"/>
  <c r="AJ42" i="28"/>
  <c r="AJ120" i="28"/>
  <c r="AF42" i="28"/>
  <c r="AG127" i="28"/>
  <c r="AH127" i="28" s="1"/>
  <c r="AE120" i="28"/>
  <c r="AK42" i="28"/>
  <c r="AK121" i="28"/>
  <c r="AJ122" i="28"/>
  <c r="AJ121" i="28"/>
  <c r="AI120" i="28"/>
  <c r="AJ37" i="28"/>
  <c r="AG33" i="26"/>
  <c r="AF33" i="26"/>
  <c r="AF32" i="26" s="1"/>
  <c r="AF30" i="26" s="1"/>
  <c r="AF28" i="26" s="1"/>
  <c r="AF77" i="26" s="1"/>
  <c r="AF35" i="28"/>
  <c r="AF37" i="28"/>
  <c r="AF36" i="28"/>
  <c r="AG35" i="28"/>
  <c r="AG120" i="28"/>
  <c r="AJ35" i="28"/>
  <c r="AK37" i="28"/>
  <c r="AI121" i="28"/>
  <c r="AL121" i="28" s="1"/>
  <c r="AF84" i="26"/>
  <c r="AF83" i="26" s="1"/>
  <c r="AF81" i="26" s="1"/>
  <c r="AF79" i="26" s="1"/>
  <c r="AF128" i="26" s="1"/>
  <c r="AE122" i="28"/>
  <c r="AK122" i="28"/>
  <c r="AF120" i="28"/>
  <c r="AI37" i="28"/>
  <c r="AL37" i="28" s="1"/>
  <c r="AK36" i="28"/>
  <c r="F155" i="28" a="1"/>
  <c r="F155" i="28" s="1"/>
  <c r="AK154" i="28"/>
  <c r="AG154" i="28"/>
  <c r="AJ154" i="28"/>
  <c r="AF154" i="28"/>
  <c r="AN154" i="28"/>
  <c r="AI154" i="28"/>
  <c r="AL154" i="28" s="1"/>
  <c r="AE154" i="28"/>
  <c r="AP28" i="30"/>
  <c r="BJ172" i="30"/>
  <c r="AZ172" i="30"/>
  <c r="V171" i="29" a="1"/>
  <c r="V171" i="29" s="1"/>
  <c r="AB171" i="29" a="1"/>
  <c r="AB171" i="29" s="1"/>
  <c r="H173" i="28"/>
  <c r="H172" i="28"/>
  <c r="AH56" i="29"/>
  <c r="AM41" i="24"/>
  <c r="AL42" i="24"/>
  <c r="D308" i="29" a="1"/>
  <c r="D308" i="29" s="1"/>
  <c r="AB307" i="29"/>
  <c r="K125" i="26"/>
  <c r="F126" i="26" a="1"/>
  <c r="F126" i="26" s="1"/>
  <c r="AJ196" i="29"/>
  <c r="AB307" i="30"/>
  <c r="D308" i="30" a="1"/>
  <c r="D308" i="30" s="1"/>
  <c r="AF130" i="28"/>
  <c r="AE48" i="20"/>
  <c r="AF152" i="28"/>
  <c r="AF118" i="28" l="1"/>
  <c r="AF43" i="21"/>
  <c r="AF39" i="21" s="1"/>
  <c r="AF217" i="29" s="1"/>
  <c r="AJ28" i="20"/>
  <c r="AJ181" i="29"/>
  <c r="AH47" i="20"/>
  <c r="AH29" i="20"/>
  <c r="AJ131" i="28"/>
  <c r="AJ207" i="29"/>
  <c r="AT52" i="29"/>
  <c r="AF28" i="20"/>
  <c r="AE28" i="20"/>
  <c r="AE131" i="28"/>
  <c r="AI131" i="28"/>
  <c r="AI65" i="28"/>
  <c r="AL65" i="28" s="1"/>
  <c r="AE43" i="21"/>
  <c r="AE39" i="21" s="1"/>
  <c r="AE217" i="29" s="1"/>
  <c r="AH28" i="20"/>
  <c r="AG36" i="29"/>
  <c r="AE65" i="28"/>
  <c r="AT195" i="29"/>
  <c r="AI147" i="28"/>
  <c r="AF29" i="20"/>
  <c r="AE51" i="29"/>
  <c r="AG130" i="28"/>
  <c r="AG65" i="28"/>
  <c r="AI45" i="28"/>
  <c r="AL45" i="28" s="1"/>
  <c r="AK131" i="28"/>
  <c r="AI195" i="29"/>
  <c r="AK151" i="28"/>
  <c r="AH125" i="28"/>
  <c r="AJ51" i="29"/>
  <c r="AJ130" i="28"/>
  <c r="AE195" i="29"/>
  <c r="AK65" i="28"/>
  <c r="AE181" i="29"/>
  <c r="AI196" i="29"/>
  <c r="AI48" i="20"/>
  <c r="AF146" i="28"/>
  <c r="AF52" i="29"/>
  <c r="AF47" i="20"/>
  <c r="AK45" i="28"/>
  <c r="AE146" i="28"/>
  <c r="AG181" i="29"/>
  <c r="AF45" i="28"/>
  <c r="AI181" i="29"/>
  <c r="AH43" i="21"/>
  <c r="AH39" i="21" s="1"/>
  <c r="AI217" i="29" s="1"/>
  <c r="AJ180" i="29"/>
  <c r="AE64" i="28"/>
  <c r="AT36" i="29"/>
  <c r="AJ48" i="20"/>
  <c r="AF181" i="29"/>
  <c r="AJ65" i="28"/>
  <c r="AE180" i="29"/>
  <c r="AJ45" i="28"/>
  <c r="AH57" i="29"/>
  <c r="AH39" i="28"/>
  <c r="AJ33" i="28"/>
  <c r="AH40" i="28"/>
  <c r="AT180" i="29"/>
  <c r="AI130" i="28"/>
  <c r="AF48" i="20"/>
  <c r="AF46" i="20" s="1"/>
  <c r="AF195" i="29"/>
  <c r="AE47" i="20"/>
  <c r="AG147" i="28"/>
  <c r="AH38" i="28"/>
  <c r="AE60" i="28"/>
  <c r="AG195" i="29"/>
  <c r="AJ64" i="28"/>
  <c r="AJ147" i="28"/>
  <c r="AJ151" i="28"/>
  <c r="AJ146" i="28"/>
  <c r="AH124" i="28"/>
  <c r="AG29" i="20"/>
  <c r="AH69" i="28"/>
  <c r="AH154" i="28"/>
  <c r="AF33" i="28"/>
  <c r="AJ118" i="28"/>
  <c r="AH42" i="28"/>
  <c r="AE33" i="28"/>
  <c r="AH41" i="28"/>
  <c r="AH123" i="28"/>
  <c r="AB308" i="30"/>
  <c r="D309" i="30" a="1"/>
  <c r="D309" i="30" s="1"/>
  <c r="AN41" i="24"/>
  <c r="AM42" i="24"/>
  <c r="AB171" i="30" a="1"/>
  <c r="AB171" i="30" s="1"/>
  <c r="V171" i="30" a="1"/>
  <c r="V171" i="30" s="1"/>
  <c r="AQ28" i="30"/>
  <c r="D309" i="29" a="1"/>
  <c r="D309" i="29" s="1"/>
  <c r="AB308" i="29"/>
  <c r="BK172" i="30"/>
  <c r="BA172" i="30"/>
  <c r="F156" i="28" a="1"/>
  <c r="F156" i="28" s="1"/>
  <c r="AK155" i="28"/>
  <c r="AG155" i="28"/>
  <c r="AJ155" i="28"/>
  <c r="AF155" i="28"/>
  <c r="AN155" i="28"/>
  <c r="AI155" i="28"/>
  <c r="AL155" i="28" s="1"/>
  <c r="AE155" i="28"/>
  <c r="AK33" i="28"/>
  <c r="AH122" i="28"/>
  <c r="AB164" i="30"/>
  <c r="D165" i="30" a="1"/>
  <c r="D165" i="30" s="1"/>
  <c r="AH130" i="28"/>
  <c r="AK146" i="28"/>
  <c r="AG180" i="29"/>
  <c r="AJ58" i="29"/>
  <c r="AF58" i="29"/>
  <c r="BO58" i="29"/>
  <c r="AI58" i="29"/>
  <c r="BD58" i="29" s="1"/>
  <c r="AE58" i="29"/>
  <c r="F59" i="29" a="1"/>
  <c r="F59" i="29" s="1"/>
  <c r="AT58" i="29"/>
  <c r="AG58" i="29"/>
  <c r="AN70" i="28"/>
  <c r="AI70" i="28"/>
  <c r="AL70" i="28" s="1"/>
  <c r="AE70" i="28"/>
  <c r="F71" i="28" a="1"/>
  <c r="F71" i="28" s="1"/>
  <c r="AK70" i="28"/>
  <c r="AG70" i="28"/>
  <c r="AJ70" i="28"/>
  <c r="AF70" i="28"/>
  <c r="K126" i="26"/>
  <c r="F127" i="26" a="1"/>
  <c r="F127" i="26" s="1"/>
  <c r="AH37" i="28"/>
  <c r="AH126" i="28"/>
  <c r="AJ129" i="28"/>
  <c r="K51" i="19"/>
  <c r="AI51" i="19"/>
  <c r="AE51" i="19"/>
  <c r="AE27" i="19" s="1"/>
  <c r="AH51" i="19"/>
  <c r="AH27" i="19" s="1"/>
  <c r="AJ51" i="19"/>
  <c r="AF51" i="19"/>
  <c r="AG51" i="19"/>
  <c r="AG27" i="19" s="1"/>
  <c r="AF37" i="29"/>
  <c r="AG37" i="29"/>
  <c r="AT207" i="29"/>
  <c r="AE207" i="29"/>
  <c r="AJ37" i="29"/>
  <c r="AT37" i="29"/>
  <c r="AT35" i="29" s="1"/>
  <c r="AT30" i="29" s="1"/>
  <c r="AG207" i="29"/>
  <c r="AI207" i="29"/>
  <c r="AF207" i="29"/>
  <c r="AJ52" i="29"/>
  <c r="AJ50" i="29" s="1"/>
  <c r="AJ47" i="29" s="1"/>
  <c r="AT208" i="29"/>
  <c r="AG208" i="29"/>
  <c r="AJ208" i="29"/>
  <c r="AE59" i="28"/>
  <c r="AJ59" i="28"/>
  <c r="AI146" i="28"/>
  <c r="AI59" i="28"/>
  <c r="AE46" i="28"/>
  <c r="AF46" i="28"/>
  <c r="AF44" i="28" s="1"/>
  <c r="AF28" i="28" s="1"/>
  <c r="AJ46" i="28"/>
  <c r="AF208" i="29"/>
  <c r="AG59" i="28"/>
  <c r="AI208" i="29"/>
  <c r="BD208" i="29" s="1"/>
  <c r="AG51" i="29"/>
  <c r="AF59" i="28"/>
  <c r="AK59" i="28"/>
  <c r="AG46" i="28"/>
  <c r="AH46" i="28" s="1"/>
  <c r="AI46" i="28"/>
  <c r="AL46" i="28" s="1"/>
  <c r="AK60" i="28"/>
  <c r="AG43" i="21"/>
  <c r="AG39" i="21" s="1"/>
  <c r="AG217" i="29" s="1"/>
  <c r="AH217" i="29" s="1"/>
  <c r="AE151" i="28"/>
  <c r="AJ195" i="29"/>
  <c r="AJ194" i="29" s="1"/>
  <c r="AJ191" i="29" s="1"/>
  <c r="AJ152" i="28"/>
  <c r="AF65" i="28"/>
  <c r="AH65" i="28" s="1"/>
  <c r="AT181" i="29"/>
  <c r="AI51" i="29"/>
  <c r="AI43" i="21"/>
  <c r="AI39" i="21" s="1"/>
  <c r="AJ217" i="29" s="1"/>
  <c r="AF196" i="29"/>
  <c r="AF147" i="28"/>
  <c r="AH147" i="28" s="1"/>
  <c r="AE29" i="20"/>
  <c r="AE27" i="20" s="1"/>
  <c r="AE45" i="28"/>
  <c r="AT51" i="29"/>
  <c r="AK64" i="28"/>
  <c r="AI151" i="28"/>
  <c r="AG64" i="28"/>
  <c r="AH48" i="20"/>
  <c r="AI36" i="29"/>
  <c r="AI37" i="29"/>
  <c r="BD37" i="29" s="1"/>
  <c r="AF64" i="28"/>
  <c r="AI28" i="20"/>
  <c r="AI60" i="28"/>
  <c r="AL60" i="28" s="1"/>
  <c r="AI29" i="20"/>
  <c r="AF131" i="28"/>
  <c r="AF129" i="28" s="1"/>
  <c r="AF113" i="28" s="1"/>
  <c r="AJ60" i="28"/>
  <c r="AE196" i="29"/>
  <c r="AF180" i="29"/>
  <c r="AE37" i="29"/>
  <c r="AE35" i="29" s="1"/>
  <c r="AE30" i="29" s="1"/>
  <c r="AE52" i="29"/>
  <c r="AI52" i="29"/>
  <c r="BD52" i="29" s="1"/>
  <c r="AG151" i="28"/>
  <c r="AF51" i="29"/>
  <c r="AF50" i="29" s="1"/>
  <c r="AF47" i="29" s="1"/>
  <c r="AE147" i="28"/>
  <c r="AJ36" i="29"/>
  <c r="AG131" i="28"/>
  <c r="AF36" i="29"/>
  <c r="AF35" i="29" s="1"/>
  <c r="AF30" i="29" s="1"/>
  <c r="AG152" i="28"/>
  <c r="AH152" i="28" s="1"/>
  <c r="AG146" i="28"/>
  <c r="AG196" i="29"/>
  <c r="AK152" i="28"/>
  <c r="AG28" i="20"/>
  <c r="AE130" i="28"/>
  <c r="AI180" i="29"/>
  <c r="AG60" i="28"/>
  <c r="AE208" i="29"/>
  <c r="AI64" i="28"/>
  <c r="AK46" i="28"/>
  <c r="AK130" i="28"/>
  <c r="AJ29" i="20"/>
  <c r="AJ27" i="20" s="1"/>
  <c r="AI152" i="28"/>
  <c r="AK147" i="28"/>
  <c r="AI47" i="20"/>
  <c r="AG45" i="28"/>
  <c r="AJ43" i="21"/>
  <c r="AJ39" i="21" s="1"/>
  <c r="AT217" i="29" s="1"/>
  <c r="AF151" i="28"/>
  <c r="AF150" i="28" s="1"/>
  <c r="AJ47" i="20"/>
  <c r="AF60" i="28"/>
  <c r="AG48" i="20"/>
  <c r="AQ172" i="30"/>
  <c r="AB164" i="29"/>
  <c r="D165" i="29" a="1"/>
  <c r="D165" i="29" s="1"/>
  <c r="AE152" i="28"/>
  <c r="AH120" i="28"/>
  <c r="AG118" i="28"/>
  <c r="AL120" i="28"/>
  <c r="AI118" i="28"/>
  <c r="AI129" i="28"/>
  <c r="AE46" i="20"/>
  <c r="F76" i="26" a="1"/>
  <c r="F76" i="26" s="1"/>
  <c r="K75" i="26"/>
  <c r="AG47" i="20"/>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222" i="30" a="1"/>
  <c r="F222" i="30" s="1"/>
  <c r="F223" i="30" s="1" a="1"/>
  <c r="F223" i="30" s="1"/>
  <c r="F224" i="30" s="1" a="1"/>
  <c r="F224" i="30" s="1"/>
  <c r="AN33" i="24"/>
  <c r="AM34" i="24"/>
  <c r="AH35" i="28"/>
  <c r="AG33" i="28"/>
  <c r="AE118" i="28"/>
  <c r="AL35" i="28"/>
  <c r="AI33" i="28"/>
  <c r="AK118" i="28"/>
  <c r="AH36" i="28"/>
  <c r="AH121" i="28"/>
  <c r="AI194" i="29"/>
  <c r="BD195" i="29"/>
  <c r="AJ63" i="28"/>
  <c r="AJ61" i="28" s="1"/>
  <c r="F56" i="8" a="1"/>
  <c r="F56" i="8" s="1"/>
  <c r="U55" i="8"/>
  <c r="F220" i="29" a="1"/>
  <c r="F220" i="29" s="1"/>
  <c r="T219" i="29"/>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BA28" i="30"/>
  <c r="BK28" i="30"/>
  <c r="AT196" i="29"/>
  <c r="AT194" i="29" s="1"/>
  <c r="AT191" i="29" s="1"/>
  <c r="AG52" i="29"/>
  <c r="AJ113" i="28" l="1"/>
  <c r="AK150" i="28"/>
  <c r="AE44" i="28"/>
  <c r="AJ206" i="29"/>
  <c r="AJ197" i="29" s="1"/>
  <c r="AI46" i="20"/>
  <c r="AF63" i="28"/>
  <c r="AL147" i="28"/>
  <c r="AK44" i="28"/>
  <c r="AJ179" i="29"/>
  <c r="AJ174" i="29" s="1"/>
  <c r="AJ172" i="29" s="1"/>
  <c r="AE129" i="28"/>
  <c r="AE194" i="29"/>
  <c r="AE191" i="29" s="1"/>
  <c r="BD181" i="29"/>
  <c r="AF194" i="29"/>
  <c r="AF191" i="29" s="1"/>
  <c r="AE58" i="28"/>
  <c r="AE56" i="28" s="1"/>
  <c r="AG31" i="21"/>
  <c r="AG27" i="21" s="1"/>
  <c r="AF61" i="28"/>
  <c r="AE31" i="21"/>
  <c r="AE27" i="21" s="1"/>
  <c r="AT179" i="29"/>
  <c r="AT174" i="29" s="1"/>
  <c r="AH181" i="29"/>
  <c r="AE63" i="28"/>
  <c r="AE61" i="28" s="1"/>
  <c r="AF179" i="29"/>
  <c r="AF174" i="29" s="1"/>
  <c r="AE179" i="29"/>
  <c r="AE174" i="29" s="1"/>
  <c r="AH27" i="20"/>
  <c r="AH52" i="29"/>
  <c r="AK129" i="28"/>
  <c r="AK113" i="28" s="1"/>
  <c r="AE50" i="29"/>
  <c r="AE47" i="29" s="1"/>
  <c r="AG27" i="20"/>
  <c r="AL152" i="28"/>
  <c r="AJ44" i="28"/>
  <c r="AJ28" i="28" s="1"/>
  <c r="AG35" i="29"/>
  <c r="AG30" i="29" s="1"/>
  <c r="AH46" i="20"/>
  <c r="AH196" i="29"/>
  <c r="AJ150" i="28"/>
  <c r="AK63" i="28"/>
  <c r="AK61" i="28" s="1"/>
  <c r="BD217" i="29"/>
  <c r="AJ46" i="20"/>
  <c r="AE145" i="28"/>
  <c r="AE143" i="28" s="1"/>
  <c r="AT50" i="29"/>
  <c r="AT47" i="29" s="1"/>
  <c r="AF145" i="28"/>
  <c r="AF143" i="28" s="1"/>
  <c r="AL131" i="28"/>
  <c r="AL129" i="28"/>
  <c r="AF27" i="20"/>
  <c r="AJ145" i="28"/>
  <c r="AJ143" i="28" s="1"/>
  <c r="AH195" i="29"/>
  <c r="AH131" i="28"/>
  <c r="AL130" i="28"/>
  <c r="AE28" i="28"/>
  <c r="AE113" i="28"/>
  <c r="AJ35" i="29"/>
  <c r="AJ30" i="29" s="1"/>
  <c r="AH36" i="29"/>
  <c r="AH31" i="21"/>
  <c r="AH27" i="21" s="1"/>
  <c r="AH58" i="29"/>
  <c r="BD196" i="29"/>
  <c r="F221" i="29" a="1"/>
  <c r="F221" i="29" s="1"/>
  <c r="T220" i="29"/>
  <c r="AG46" i="20"/>
  <c r="AH60" i="28"/>
  <c r="AI27" i="20"/>
  <c r="AE150" i="28"/>
  <c r="AJ58" i="28"/>
  <c r="AJ56" i="28" s="1"/>
  <c r="AG206" i="29"/>
  <c r="AH207" i="29"/>
  <c r="AT206" i="29"/>
  <c r="AT197" i="29" s="1"/>
  <c r="AF27" i="19"/>
  <c r="AF31" i="21"/>
  <c r="AF27" i="21" s="1"/>
  <c r="AI27" i="19"/>
  <c r="AI31" i="21"/>
  <c r="AI27" i="21" s="1"/>
  <c r="AB165" i="30"/>
  <c r="D166" i="30" a="1"/>
  <c r="D166" i="30" s="1"/>
  <c r="AJ156" i="28"/>
  <c r="AF156" i="28"/>
  <c r="AI156" i="28"/>
  <c r="AL156" i="28" s="1"/>
  <c r="AE156" i="28"/>
  <c r="F157" i="28" a="1"/>
  <c r="F157" i="28" s="1"/>
  <c r="AK156" i="28"/>
  <c r="AG156" i="28"/>
  <c r="AB309" i="30"/>
  <c r="D310" i="30" a="1"/>
  <c r="D310" i="30" s="1"/>
  <c r="BO80" i="30"/>
  <c r="BB80" i="30"/>
  <c r="AX80" i="30"/>
  <c r="AT80" i="30"/>
  <c r="AP80" i="30"/>
  <c r="AL80" i="30"/>
  <c r="BA80" i="30"/>
  <c r="AW80" i="30"/>
  <c r="AS80" i="30"/>
  <c r="AO80" i="30"/>
  <c r="AK80" i="30"/>
  <c r="AG80" i="30"/>
  <c r="F81" i="30" a="1"/>
  <c r="F81" i="30" s="1"/>
  <c r="AZ80" i="30"/>
  <c r="AV80" i="30"/>
  <c r="AR80" i="30"/>
  <c r="AN80" i="30"/>
  <c r="AJ80" i="30"/>
  <c r="AF80" i="30"/>
  <c r="BC80" i="30"/>
  <c r="AY80" i="30"/>
  <c r="AU80" i="30"/>
  <c r="AQ80" i="30"/>
  <c r="AM80" i="30"/>
  <c r="AI80" i="30"/>
  <c r="AE80" i="30"/>
  <c r="AI191" i="29"/>
  <c r="BD191" i="29" s="1"/>
  <c r="BD194" i="29"/>
  <c r="AH33" i="28"/>
  <c r="AO33" i="24"/>
  <c r="AN34" i="24"/>
  <c r="AB165" i="29"/>
  <c r="D166" i="29" a="1"/>
  <c r="D166" i="29" s="1"/>
  <c r="AI179" i="29"/>
  <c r="BD180" i="29"/>
  <c r="AG63" i="28"/>
  <c r="AH64" i="28"/>
  <c r="AK58" i="28"/>
  <c r="AK56" i="28" s="1"/>
  <c r="AH59" i="28"/>
  <c r="AG58" i="28"/>
  <c r="AH37" i="29"/>
  <c r="AJ27" i="19"/>
  <c r="AJ31" i="21"/>
  <c r="AJ27" i="21" s="1"/>
  <c r="AN130" i="28"/>
  <c r="AN131" i="28"/>
  <c r="BO207" i="30"/>
  <c r="BO208" i="30"/>
  <c r="AN147" i="28"/>
  <c r="AN151" i="28"/>
  <c r="AN146" i="28"/>
  <c r="BO180" i="30"/>
  <c r="BO195" i="30"/>
  <c r="AN152" i="28"/>
  <c r="BO181" i="30"/>
  <c r="BO196" i="30"/>
  <c r="F72" i="28" a="1"/>
  <c r="F72" i="28" s="1"/>
  <c r="AK71" i="28"/>
  <c r="AG71" i="28"/>
  <c r="AJ71" i="28"/>
  <c r="AF71" i="28"/>
  <c r="AN71" i="28"/>
  <c r="AI71" i="28"/>
  <c r="AL71" i="28" s="1"/>
  <c r="AE71" i="28"/>
  <c r="AG179" i="29"/>
  <c r="AH180" i="29"/>
  <c r="AI44" i="28"/>
  <c r="AL44" i="28" s="1"/>
  <c r="BB172" i="30"/>
  <c r="BL172" i="30"/>
  <c r="AB309" i="29"/>
  <c r="D310" i="29" a="1"/>
  <c r="D310" i="29" s="1"/>
  <c r="AB81" i="31" a="1"/>
  <c r="AB81" i="31" s="1"/>
  <c r="V81" i="31" a="1"/>
  <c r="V81" i="31" s="1"/>
  <c r="BB28" i="30"/>
  <c r="BL28" i="30"/>
  <c r="U56" i="8"/>
  <c r="F57" i="8" a="1"/>
  <c r="F57" i="8" s="1"/>
  <c r="AL33" i="28"/>
  <c r="F225" i="30" a="1"/>
  <c r="F225" i="30" s="1"/>
  <c r="AZ224" i="30"/>
  <c r="AV224" i="30"/>
  <c r="AR224" i="30"/>
  <c r="AN224" i="30"/>
  <c r="AJ224" i="30"/>
  <c r="AF224" i="30"/>
  <c r="BA224" i="30"/>
  <c r="AU224" i="30"/>
  <c r="AP224" i="30"/>
  <c r="AK224" i="30"/>
  <c r="AE224" i="30"/>
  <c r="BO224" i="30"/>
  <c r="BC224" i="30"/>
  <c r="AX224" i="30"/>
  <c r="AS224" i="30"/>
  <c r="AM224" i="30"/>
  <c r="AY224" i="30"/>
  <c r="AO224" i="30"/>
  <c r="AW224" i="30"/>
  <c r="AL224" i="30"/>
  <c r="AT224" i="30"/>
  <c r="AI224" i="30"/>
  <c r="BB224" i="30"/>
  <c r="AQ224" i="30"/>
  <c r="AG224" i="30"/>
  <c r="F77" i="26" a="1"/>
  <c r="F77" i="26" s="1"/>
  <c r="K77" i="26" s="1"/>
  <c r="K76" i="26"/>
  <c r="AH118" i="28"/>
  <c r="AG44" i="28"/>
  <c r="AH44" i="28" s="1"/>
  <c r="AH45" i="28"/>
  <c r="AI63" i="28"/>
  <c r="AL64" i="28"/>
  <c r="AG150" i="28"/>
  <c r="AH151" i="28"/>
  <c r="AI150" i="28"/>
  <c r="AL151" i="28"/>
  <c r="AF58" i="28"/>
  <c r="AF56" i="28" s="1"/>
  <c r="AI58" i="28"/>
  <c r="AL59" i="28"/>
  <c r="AF206" i="29"/>
  <c r="AF197" i="29" s="1"/>
  <c r="K127" i="26"/>
  <c r="F128" i="26" a="1"/>
  <c r="F128" i="26" s="1"/>
  <c r="K128" i="26" s="1"/>
  <c r="AK145" i="28"/>
  <c r="AK143" i="28" s="1"/>
  <c r="AH155" i="28"/>
  <c r="AR28" i="30"/>
  <c r="AL118" i="28"/>
  <c r="AI113" i="28"/>
  <c r="AR172" i="30"/>
  <c r="AH146" i="28"/>
  <c r="AG145" i="28"/>
  <c r="AI35" i="29"/>
  <c r="BD36" i="29"/>
  <c r="BD51" i="29"/>
  <c r="AI50" i="29"/>
  <c r="AH51" i="29"/>
  <c r="AG50" i="29"/>
  <c r="AI145" i="28"/>
  <c r="AL146" i="28"/>
  <c r="AH208" i="29"/>
  <c r="AI206" i="29"/>
  <c r="BD207" i="29"/>
  <c r="AE206" i="29"/>
  <c r="AE197" i="29" s="1"/>
  <c r="AE172" i="29" s="1"/>
  <c r="AG194" i="29"/>
  <c r="AH70" i="28"/>
  <c r="BO59" i="29"/>
  <c r="AI59" i="29"/>
  <c r="BD59" i="29" s="1"/>
  <c r="AE59" i="29"/>
  <c r="F60" i="29" a="1"/>
  <c r="F60" i="29" s="1"/>
  <c r="AT59" i="29"/>
  <c r="AG59" i="29"/>
  <c r="AJ59" i="29"/>
  <c r="AF59" i="29"/>
  <c r="AG129" i="28"/>
  <c r="AH129" i="28" s="1"/>
  <c r="AK28" i="28"/>
  <c r="AO41" i="24"/>
  <c r="AN42" i="24"/>
  <c r="AF172" i="29" l="1"/>
  <c r="AH35" i="29"/>
  <c r="AT172" i="29"/>
  <c r="AU172" i="29" s="1"/>
  <c r="BE172" i="29" s="1"/>
  <c r="AH71" i="28"/>
  <c r="F61" i="29" a="1"/>
  <c r="F61" i="29" s="1"/>
  <c r="AT60" i="29"/>
  <c r="AG60" i="29"/>
  <c r="AJ60" i="29"/>
  <c r="AF60" i="29"/>
  <c r="BO60" i="29"/>
  <c r="AI60" i="29"/>
  <c r="BD60" i="29" s="1"/>
  <c r="AE60" i="29"/>
  <c r="BD206" i="29"/>
  <c r="AI197" i="29"/>
  <c r="BD197" i="29" s="1"/>
  <c r="AH50" i="29"/>
  <c r="AG47" i="29"/>
  <c r="AH47" i="29" s="1"/>
  <c r="AH150" i="28"/>
  <c r="AH59" i="29"/>
  <c r="BD50" i="29"/>
  <c r="AI47" i="29"/>
  <c r="BD47" i="29" s="1"/>
  <c r="AL58" i="28"/>
  <c r="AI56" i="28"/>
  <c r="AL56" i="28" s="1"/>
  <c r="AL63" i="28"/>
  <c r="AI61" i="28"/>
  <c r="AL61" i="28" s="1"/>
  <c r="AH224" i="30"/>
  <c r="BE224" i="30"/>
  <c r="BJ224" i="30"/>
  <c r="BK224" i="30"/>
  <c r="F58" i="8" a="1"/>
  <c r="F58" i="8" s="1"/>
  <c r="U57" i="8"/>
  <c r="BM28" i="30"/>
  <c r="BC28" i="30"/>
  <c r="AB310" i="29"/>
  <c r="D311" i="29"/>
  <c r="AK172" i="29"/>
  <c r="AG56" i="28"/>
  <c r="AH56" i="28" s="1"/>
  <c r="AH58" i="28"/>
  <c r="AH63" i="28"/>
  <c r="AG61" i="28"/>
  <c r="AH61" i="28" s="1"/>
  <c r="D167" i="29"/>
  <c r="AB166" i="29"/>
  <c r="AO34" i="24"/>
  <c r="AP33" i="24"/>
  <c r="AH80" i="30"/>
  <c r="BH80" i="30"/>
  <c r="BE80" i="30"/>
  <c r="AH156" i="28"/>
  <c r="BF224" i="30"/>
  <c r="F226" i="30" a="1"/>
  <c r="F226" i="30" s="1"/>
  <c r="AZ225" i="30"/>
  <c r="BK225" i="30" s="1"/>
  <c r="AV225" i="30"/>
  <c r="BG225" i="30" s="1"/>
  <c r="AR225" i="30"/>
  <c r="AN225" i="30"/>
  <c r="AJ225" i="30"/>
  <c r="AF225" i="30"/>
  <c r="BO225" i="30"/>
  <c r="BC225" i="30"/>
  <c r="AX225" i="30"/>
  <c r="BI225" i="30" s="1"/>
  <c r="AS225" i="30"/>
  <c r="AM225" i="30"/>
  <c r="BA225" i="30"/>
  <c r="BL225" i="30" s="1"/>
  <c r="AU225" i="30"/>
  <c r="BF225" i="30" s="1"/>
  <c r="AP225" i="30"/>
  <c r="AK225" i="30"/>
  <c r="AE225" i="30"/>
  <c r="BB225" i="30"/>
  <c r="BM225" i="30" s="1"/>
  <c r="AQ225" i="30"/>
  <c r="AG225" i="30"/>
  <c r="AY225" i="30"/>
  <c r="BJ225" i="30" s="1"/>
  <c r="AO225" i="30"/>
  <c r="AW225" i="30"/>
  <c r="BH225" i="30" s="1"/>
  <c r="AL225" i="30"/>
  <c r="AT225" i="30"/>
  <c r="BE225" i="30" s="1"/>
  <c r="AI225" i="30"/>
  <c r="BD225" i="30" s="1"/>
  <c r="AG28" i="28"/>
  <c r="BG80" i="30"/>
  <c r="BL80" i="30"/>
  <c r="BI80" i="30"/>
  <c r="AH30" i="29"/>
  <c r="F222" i="29" a="1"/>
  <c r="F222" i="29" s="1"/>
  <c r="T221" i="29"/>
  <c r="AL145" i="28"/>
  <c r="AI143" i="28"/>
  <c r="AL143" i="28" s="1"/>
  <c r="AG143" i="28"/>
  <c r="AH143" i="28" s="1"/>
  <c r="AH145" i="28"/>
  <c r="AL113" i="28"/>
  <c r="BH224" i="30"/>
  <c r="BL224" i="30"/>
  <c r="AI28" i="28"/>
  <c r="BF80" i="30"/>
  <c r="BK80" i="30"/>
  <c r="BM80" i="30"/>
  <c r="AB310" i="30"/>
  <c r="D311" i="30"/>
  <c r="AN157" i="28"/>
  <c r="AI157" i="28"/>
  <c r="AI148" i="28" s="1"/>
  <c r="AE157" i="28"/>
  <c r="AE148" i="28" s="1"/>
  <c r="F158" i="28" a="1"/>
  <c r="F158" i="28" s="1"/>
  <c r="AK157" i="28"/>
  <c r="AK148" i="28" s="1"/>
  <c r="AG157" i="28"/>
  <c r="AJ157" i="28"/>
  <c r="AJ148" i="28" s="1"/>
  <c r="AF157" i="28"/>
  <c r="AF148" i="28" s="1"/>
  <c r="BM224" i="30"/>
  <c r="AO42" i="24"/>
  <c r="AP41" i="24"/>
  <c r="AH194" i="29"/>
  <c r="AG191" i="29"/>
  <c r="AH191" i="29" s="1"/>
  <c r="BD35" i="29"/>
  <c r="AI30" i="29"/>
  <c r="AS172" i="30"/>
  <c r="AS28" i="30"/>
  <c r="AL150" i="28"/>
  <c r="AG113" i="28"/>
  <c r="BD224" i="30"/>
  <c r="BI224" i="30"/>
  <c r="BG224" i="30"/>
  <c r="V81" i="32" a="1"/>
  <c r="V81" i="32" s="1"/>
  <c r="AB81" i="32" a="1"/>
  <c r="AB81" i="32" s="1"/>
  <c r="BC172" i="30"/>
  <c r="BM172" i="30"/>
  <c r="AG174" i="29"/>
  <c r="AH179" i="29"/>
  <c r="F73" i="28" a="1"/>
  <c r="F73" i="28" s="1"/>
  <c r="AK72" i="28"/>
  <c r="AG72" i="28"/>
  <c r="AJ72" i="28"/>
  <c r="AF72" i="28"/>
  <c r="AN72" i="28"/>
  <c r="AI72" i="28"/>
  <c r="AL72" i="28" s="1"/>
  <c r="AE72" i="28"/>
  <c r="AI174" i="29"/>
  <c r="BD179" i="29"/>
  <c r="BD80" i="30"/>
  <c r="BJ80" i="30"/>
  <c r="BO81" i="30"/>
  <c r="BB81" i="30"/>
  <c r="BM81" i="30" s="1"/>
  <c r="AX81" i="30"/>
  <c r="BI81" i="30" s="1"/>
  <c r="AT81" i="30"/>
  <c r="BE81" i="30" s="1"/>
  <c r="AP81" i="30"/>
  <c r="AL81" i="30"/>
  <c r="BA81" i="30"/>
  <c r="BL81" i="30" s="1"/>
  <c r="AW81" i="30"/>
  <c r="BH81" i="30" s="1"/>
  <c r="AS81" i="30"/>
  <c r="AO81" i="30"/>
  <c r="AK81" i="30"/>
  <c r="AG81" i="30"/>
  <c r="F82" i="30" a="1"/>
  <c r="F82" i="30" s="1"/>
  <c r="AZ81" i="30"/>
  <c r="BK81" i="30" s="1"/>
  <c r="AV81" i="30"/>
  <c r="BG81" i="30" s="1"/>
  <c r="AR81" i="30"/>
  <c r="AN81" i="30"/>
  <c r="AJ81" i="30"/>
  <c r="AF81" i="30"/>
  <c r="BC81" i="30"/>
  <c r="AY81" i="30"/>
  <c r="BJ81" i="30" s="1"/>
  <c r="AU81" i="30"/>
  <c r="BF81" i="30" s="1"/>
  <c r="AQ81" i="30"/>
  <c r="AM81" i="30"/>
  <c r="AI81" i="30"/>
  <c r="BD81" i="30" s="1"/>
  <c r="AE81" i="30"/>
  <c r="AB166" i="30"/>
  <c r="D167" i="30"/>
  <c r="AH206" i="29"/>
  <c r="AG197" i="29"/>
  <c r="AH197" i="29" s="1"/>
  <c r="AH225" i="30" l="1"/>
  <c r="AH72" i="28"/>
  <c r="AH157" i="28"/>
  <c r="F227" i="30" a="1"/>
  <c r="F227" i="30" s="1"/>
  <c r="AZ226" i="30"/>
  <c r="AV226" i="30"/>
  <c r="AR226" i="30"/>
  <c r="AN226" i="30"/>
  <c r="AJ226" i="30"/>
  <c r="AF226" i="30"/>
  <c r="BB226" i="30"/>
  <c r="AW226" i="30"/>
  <c r="AQ226" i="30"/>
  <c r="AL226" i="30"/>
  <c r="AG226" i="30"/>
  <c r="BA226" i="30"/>
  <c r="AU226" i="30"/>
  <c r="BF226" i="30" s="1"/>
  <c r="AP226" i="30"/>
  <c r="AK226" i="30"/>
  <c r="AE226" i="30"/>
  <c r="BO226" i="30"/>
  <c r="BC226" i="30"/>
  <c r="AX226" i="30"/>
  <c r="AS226" i="30"/>
  <c r="AM226" i="30"/>
  <c r="AY226" i="30"/>
  <c r="BJ226" i="30" s="1"/>
  <c r="AT226" i="30"/>
  <c r="BE226" i="30" s="1"/>
  <c r="AO226" i="30"/>
  <c r="AI226" i="30"/>
  <c r="AQ33" i="24"/>
  <c r="AP34" i="24"/>
  <c r="AL172" i="29"/>
  <c r="U58" i="8"/>
  <c r="F59" i="8" a="1"/>
  <c r="F59" i="8" s="1"/>
  <c r="U59" i="8" s="1"/>
  <c r="AG148" i="28"/>
  <c r="AH148" i="28" s="1"/>
  <c r="AI172" i="29"/>
  <c r="BD174" i="29"/>
  <c r="AJ73" i="28"/>
  <c r="AF73" i="28"/>
  <c r="AN73" i="28"/>
  <c r="AI73" i="28"/>
  <c r="AL73" i="28" s="1"/>
  <c r="AE73" i="28"/>
  <c r="F74" i="28" a="1"/>
  <c r="F74" i="28" s="1"/>
  <c r="AK73" i="28"/>
  <c r="AG73" i="28"/>
  <c r="BD30" i="29"/>
  <c r="AQ41" i="24"/>
  <c r="AP42" i="24"/>
  <c r="F159" i="28" a="1"/>
  <c r="F159" i="28" s="1"/>
  <c r="AK158" i="28"/>
  <c r="AG158" i="28"/>
  <c r="AJ158" i="28"/>
  <c r="AF158" i="28"/>
  <c r="AN158" i="28"/>
  <c r="AI158" i="28"/>
  <c r="AL158" i="28" s="1"/>
  <c r="AE158" i="28"/>
  <c r="AB311" i="30" a="1"/>
  <c r="AB311" i="30" s="1"/>
  <c r="D312" i="30" a="1"/>
  <c r="D312" i="30" s="1"/>
  <c r="AL28" i="28"/>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G223" i="29" a="1"/>
  <c r="G223" i="29" s="1"/>
  <c r="F223" i="29" a="1"/>
  <c r="F223" i="29" s="1"/>
  <c r="F224" i="29" s="1" a="1"/>
  <c r="F224" i="29" s="1"/>
  <c r="F62" i="29" a="1"/>
  <c r="F62" i="29" s="1"/>
  <c r="F63" i="29" s="1" a="1"/>
  <c r="F63" i="29" s="1"/>
  <c r="AT61" i="29"/>
  <c r="AG61" i="29"/>
  <c r="AJ61" i="29"/>
  <c r="AF61" i="29"/>
  <c r="BO61" i="29"/>
  <c r="AI61" i="29"/>
  <c r="BD61" i="29" s="1"/>
  <c r="AE61" i="29"/>
  <c r="AB167" i="30" a="1"/>
  <c r="AB167" i="30" s="1"/>
  <c r="D168" i="30" a="1"/>
  <c r="D168" i="30" s="1"/>
  <c r="BO82" i="30"/>
  <c r="BB82" i="30"/>
  <c r="BM82" i="30" s="1"/>
  <c r="AX82" i="30"/>
  <c r="BI82" i="30" s="1"/>
  <c r="AT82" i="30"/>
  <c r="BE82" i="30" s="1"/>
  <c r="AP82" i="30"/>
  <c r="AL82" i="30"/>
  <c r="BA82" i="30"/>
  <c r="BL82" i="30" s="1"/>
  <c r="AW82" i="30"/>
  <c r="BH82" i="30" s="1"/>
  <c r="AS82" i="30"/>
  <c r="AO82" i="30"/>
  <c r="AK82" i="30"/>
  <c r="AG82" i="30"/>
  <c r="F83" i="30" a="1"/>
  <c r="F83" i="30" s="1"/>
  <c r="AZ82" i="30"/>
  <c r="BK82" i="30" s="1"/>
  <c r="AV82" i="30"/>
  <c r="BG82" i="30" s="1"/>
  <c r="AR82" i="30"/>
  <c r="AN82" i="30"/>
  <c r="AJ82" i="30"/>
  <c r="AF82" i="30"/>
  <c r="BC82" i="30"/>
  <c r="AY82" i="30"/>
  <c r="BJ82" i="30" s="1"/>
  <c r="AU82" i="30"/>
  <c r="BF82" i="30" s="1"/>
  <c r="AQ82" i="30"/>
  <c r="AM82" i="30"/>
  <c r="AI82" i="30"/>
  <c r="BD82" i="30" s="1"/>
  <c r="AE82" i="30"/>
  <c r="AH113" i="28"/>
  <c r="AH28" i="28"/>
  <c r="AB311" i="29" a="1"/>
  <c r="AB311" i="29" s="1"/>
  <c r="D312" i="29" a="1"/>
  <c r="D312" i="29" s="1"/>
  <c r="AV172" i="29"/>
  <c r="AH81" i="30"/>
  <c r="AH174" i="29"/>
  <c r="AG172" i="29"/>
  <c r="AB116" i="33" a="1"/>
  <c r="AB116" i="33" s="1"/>
  <c r="V116" i="33" a="1"/>
  <c r="V116" i="33" s="1"/>
  <c r="AL148" i="28"/>
  <c r="AL157" i="28"/>
  <c r="AB167" i="29" a="1"/>
  <c r="AB167" i="29" s="1"/>
  <c r="D168" i="29" a="1"/>
  <c r="D168" i="29" s="1"/>
  <c r="AH60" i="29"/>
  <c r="AH61" i="29" l="1"/>
  <c r="AH82" i="30"/>
  <c r="AH226" i="30"/>
  <c r="AH158" i="28"/>
  <c r="AH172" i="29"/>
  <c r="AW172" i="29"/>
  <c r="AB168" i="29"/>
  <c r="D169" i="29" a="1"/>
  <c r="D169" i="29" s="1"/>
  <c r="AB46" i="34" a="1"/>
  <c r="AB46" i="34" s="1"/>
  <c r="V46" i="34" a="1"/>
  <c r="V46" i="34" s="1"/>
  <c r="BF172" i="29"/>
  <c r="AJ63" i="29"/>
  <c r="AF63" i="29"/>
  <c r="BO63" i="29"/>
  <c r="AI63" i="29"/>
  <c r="AE63" i="29"/>
  <c r="F64" i="29" a="1"/>
  <c r="F64" i="29" s="1"/>
  <c r="AT63" i="29"/>
  <c r="AG63" i="29"/>
  <c r="AB312" i="30"/>
  <c r="D313" i="30" a="1"/>
  <c r="D313" i="30" s="1"/>
  <c r="AH73" i="28"/>
  <c r="BI226" i="30"/>
  <c r="BM226" i="30"/>
  <c r="F160" i="28" a="1"/>
  <c r="F160" i="28" s="1"/>
  <c r="AK159" i="28"/>
  <c r="AG159" i="28"/>
  <c r="AJ159" i="28"/>
  <c r="AF159" i="28"/>
  <c r="AN159" i="28"/>
  <c r="AI159" i="28"/>
  <c r="AL159" i="28" s="1"/>
  <c r="AE159" i="28"/>
  <c r="BD172" i="29"/>
  <c r="AR33" i="24"/>
  <c r="AQ34" i="24"/>
  <c r="BG226" i="30"/>
  <c r="BO83" i="30"/>
  <c r="BB83" i="30"/>
  <c r="AX83" i="30"/>
  <c r="BI83" i="30" s="1"/>
  <c r="AT83" i="30"/>
  <c r="AP83" i="30"/>
  <c r="AL83" i="30"/>
  <c r="BA83" i="30"/>
  <c r="BL83" i="30" s="1"/>
  <c r="AW83" i="30"/>
  <c r="AS83" i="30"/>
  <c r="AO83" i="30"/>
  <c r="AK83" i="30"/>
  <c r="AG83" i="30"/>
  <c r="F84" i="30" a="1"/>
  <c r="F84" i="30" s="1"/>
  <c r="AZ83" i="30"/>
  <c r="BK83" i="30" s="1"/>
  <c r="AV83" i="30"/>
  <c r="AR83" i="30"/>
  <c r="AN83" i="30"/>
  <c r="AJ83" i="30"/>
  <c r="AF83" i="30"/>
  <c r="BC83" i="30"/>
  <c r="AY83" i="30"/>
  <c r="BJ83" i="30" s="1"/>
  <c r="AU83" i="30"/>
  <c r="BF83" i="30" s="1"/>
  <c r="AQ83" i="30"/>
  <c r="AM83" i="30"/>
  <c r="AI83" i="30"/>
  <c r="BD83" i="30" s="1"/>
  <c r="AE83" i="30"/>
  <c r="AK74" i="28"/>
  <c r="AG74" i="28"/>
  <c r="F75" i="28" a="1"/>
  <c r="F75" i="28" s="1"/>
  <c r="AJ74" i="28"/>
  <c r="AF74" i="28"/>
  <c r="AI74" i="28"/>
  <c r="AE74" i="28"/>
  <c r="AM172" i="29"/>
  <c r="BD226" i="30"/>
  <c r="BK226" i="30"/>
  <c r="AB312" i="29"/>
  <c r="D313" i="29" a="1"/>
  <c r="D313" i="29" s="1"/>
  <c r="AB168" i="30"/>
  <c r="D169" i="30" a="1"/>
  <c r="D169" i="30" s="1"/>
  <c r="BB224" i="29"/>
  <c r="AX224" i="29"/>
  <c r="AT224" i="29"/>
  <c r="AP224" i="29"/>
  <c r="AL224" i="29"/>
  <c r="BA224" i="29"/>
  <c r="AW224" i="29"/>
  <c r="AS224" i="29"/>
  <c r="AO224" i="29"/>
  <c r="AK224" i="29"/>
  <c r="AG224" i="29"/>
  <c r="AZ224" i="29"/>
  <c r="AV224" i="29"/>
  <c r="AR224" i="29"/>
  <c r="AN224" i="29"/>
  <c r="AJ224" i="29"/>
  <c r="AF224" i="29"/>
  <c r="F225" i="29" a="1"/>
  <c r="F225" i="29" s="1"/>
  <c r="BC224" i="29"/>
  <c r="AY224" i="29"/>
  <c r="AU224" i="29"/>
  <c r="AQ224" i="29"/>
  <c r="AM224" i="29"/>
  <c r="AI224" i="29"/>
  <c r="AE224" i="29"/>
  <c r="AR41" i="24"/>
  <c r="AQ42" i="24"/>
  <c r="BL226" i="30"/>
  <c r="BH226" i="30"/>
  <c r="F228" i="30" a="1"/>
  <c r="F228" i="30" s="1"/>
  <c r="AZ227" i="30"/>
  <c r="BK227" i="30" s="1"/>
  <c r="AV227" i="30"/>
  <c r="BG227" i="30" s="1"/>
  <c r="AR227" i="30"/>
  <c r="AN227" i="30"/>
  <c r="AJ227" i="30"/>
  <c r="AF227" i="30"/>
  <c r="AY227" i="30"/>
  <c r="AT227" i="30"/>
  <c r="AO227" i="30"/>
  <c r="AI227" i="30"/>
  <c r="BD227" i="30" s="1"/>
  <c r="BO227" i="30"/>
  <c r="BC227" i="30"/>
  <c r="AX227" i="30"/>
  <c r="BI227" i="30" s="1"/>
  <c r="AS227" i="30"/>
  <c r="AM227" i="30"/>
  <c r="BB227" i="30"/>
  <c r="BM227" i="30" s="1"/>
  <c r="AW227" i="30"/>
  <c r="BH227" i="30" s="1"/>
  <c r="AQ227" i="30"/>
  <c r="AL227" i="30"/>
  <c r="AG227" i="30"/>
  <c r="BA227" i="30"/>
  <c r="BL227" i="30" s="1"/>
  <c r="AU227" i="30"/>
  <c r="AP227" i="30"/>
  <c r="AK227" i="30"/>
  <c r="AE227" i="30"/>
  <c r="AH159" i="28" l="1"/>
  <c r="BF224" i="29"/>
  <c r="BG224" i="29"/>
  <c r="BM224" i="29"/>
  <c r="F76" i="28" a="1"/>
  <c r="F76" i="28" s="1"/>
  <c r="AK75" i="28"/>
  <c r="AG75" i="28"/>
  <c r="AJ75" i="28"/>
  <c r="AF75" i="28"/>
  <c r="AN75" i="28"/>
  <c r="AI75" i="28"/>
  <c r="AL75" i="28" s="1"/>
  <c r="AE75" i="28"/>
  <c r="AH83" i="30"/>
  <c r="BH83" i="30"/>
  <c r="BE83" i="30"/>
  <c r="AB313" i="30"/>
  <c r="D314" i="30" a="1"/>
  <c r="D314" i="30" s="1"/>
  <c r="AB314" i="30" s="1"/>
  <c r="BO64" i="29"/>
  <c r="AI64" i="29"/>
  <c r="BD64" i="29" s="1"/>
  <c r="AE64" i="29"/>
  <c r="F65" i="29" a="1"/>
  <c r="F65" i="29" s="1"/>
  <c r="AT64" i="29"/>
  <c r="AG64" i="29"/>
  <c r="AJ64" i="29"/>
  <c r="AJ62" i="29" s="1"/>
  <c r="AF64" i="29"/>
  <c r="AF62" i="29" s="1"/>
  <c r="BD224" i="29"/>
  <c r="BJ224" i="29"/>
  <c r="BK224" i="29"/>
  <c r="AB169" i="30"/>
  <c r="D170" i="30" a="1"/>
  <c r="D170" i="30" s="1"/>
  <c r="AB170" i="30" s="1"/>
  <c r="AL74" i="28"/>
  <c r="AH74" i="28"/>
  <c r="BG83" i="30"/>
  <c r="AS33" i="24"/>
  <c r="AR34" i="24"/>
  <c r="AE62" i="29"/>
  <c r="AX172" i="29"/>
  <c r="BH172" i="29" s="1"/>
  <c r="BF227" i="30"/>
  <c r="BE227" i="30"/>
  <c r="BO228" i="30"/>
  <c r="AZ228" i="30"/>
  <c r="BK228" i="30" s="1"/>
  <c r="AV228" i="30"/>
  <c r="BG228" i="30" s="1"/>
  <c r="AR228" i="30"/>
  <c r="AN228" i="30"/>
  <c r="AJ228" i="30"/>
  <c r="AF228" i="30"/>
  <c r="BB228" i="30"/>
  <c r="BM228" i="30" s="1"/>
  <c r="AW228" i="30"/>
  <c r="BH228" i="30" s="1"/>
  <c r="AQ228" i="30"/>
  <c r="AL228" i="30"/>
  <c r="AG228" i="30"/>
  <c r="BA228" i="30"/>
  <c r="BL228" i="30" s="1"/>
  <c r="AU228" i="30"/>
  <c r="BF228" i="30" s="1"/>
  <c r="AP228" i="30"/>
  <c r="AK228" i="30"/>
  <c r="AE228" i="30"/>
  <c r="AY228" i="30"/>
  <c r="BJ228" i="30" s="1"/>
  <c r="AT228" i="30"/>
  <c r="BE228" i="30" s="1"/>
  <c r="AO228" i="30"/>
  <c r="AI228" i="30"/>
  <c r="BD228" i="30" s="1"/>
  <c r="F229" i="30" a="1"/>
  <c r="F229" i="30" s="1"/>
  <c r="F230" i="30" s="1" a="1"/>
  <c r="F230" i="30" s="1"/>
  <c r="F231" i="30" s="1" a="1"/>
  <c r="F231" i="30" s="1"/>
  <c r="BC228" i="30"/>
  <c r="AX228" i="30"/>
  <c r="BI228" i="30" s="1"/>
  <c r="AS228" i="30"/>
  <c r="AM228" i="30"/>
  <c r="AH224" i="29"/>
  <c r="BH224" i="29"/>
  <c r="BE224" i="29"/>
  <c r="AN172" i="29"/>
  <c r="BM83" i="30"/>
  <c r="AH63" i="29"/>
  <c r="AG62" i="29"/>
  <c r="AI62" i="29"/>
  <c r="BD63" i="29"/>
  <c r="BG172" i="29"/>
  <c r="AH227" i="30"/>
  <c r="BJ227" i="30"/>
  <c r="AS41" i="24"/>
  <c r="AR42" i="24"/>
  <c r="BC225" i="29"/>
  <c r="AY225" i="29"/>
  <c r="BJ225" i="29" s="1"/>
  <c r="AU225" i="29"/>
  <c r="BF225" i="29" s="1"/>
  <c r="AQ225" i="29"/>
  <c r="AM225" i="29"/>
  <c r="AI225" i="29"/>
  <c r="BD225" i="29" s="1"/>
  <c r="AE225" i="29"/>
  <c r="BO225" i="29"/>
  <c r="BB225" i="29"/>
  <c r="BM225" i="29" s="1"/>
  <c r="AX225" i="29"/>
  <c r="BI225" i="29" s="1"/>
  <c r="AT225" i="29"/>
  <c r="BE225" i="29" s="1"/>
  <c r="AP225" i="29"/>
  <c r="AL225" i="29"/>
  <c r="BA225" i="29"/>
  <c r="BL225" i="29" s="1"/>
  <c r="AW225" i="29"/>
  <c r="BH225" i="29" s="1"/>
  <c r="AS225" i="29"/>
  <c r="AO225" i="29"/>
  <c r="AK225" i="29"/>
  <c r="AG225" i="29"/>
  <c r="F226" i="29" a="1"/>
  <c r="F226" i="29" s="1"/>
  <c r="AZ225" i="29"/>
  <c r="BK225" i="29" s="1"/>
  <c r="AV225" i="29"/>
  <c r="BG225" i="29" s="1"/>
  <c r="AR225" i="29"/>
  <c r="AN225" i="29"/>
  <c r="AJ225" i="29"/>
  <c r="AF225" i="29"/>
  <c r="BL224" i="29"/>
  <c r="BI224" i="29"/>
  <c r="AB313" i="29"/>
  <c r="D314" i="29" a="1"/>
  <c r="D314" i="29" s="1"/>
  <c r="AB314" i="29" s="1"/>
  <c r="BO84" i="30"/>
  <c r="BB84" i="30"/>
  <c r="BM84" i="30" s="1"/>
  <c r="AX84" i="30"/>
  <c r="AT84" i="30"/>
  <c r="BE84" i="30" s="1"/>
  <c r="AP84" i="30"/>
  <c r="AL84" i="30"/>
  <c r="BA84" i="30"/>
  <c r="BL84" i="30" s="1"/>
  <c r="AW84" i="30"/>
  <c r="BH84" i="30" s="1"/>
  <c r="AS84" i="30"/>
  <c r="AO84" i="30"/>
  <c r="AK84" i="30"/>
  <c r="AG84" i="30"/>
  <c r="F85" i="30" a="1"/>
  <c r="F85" i="30" s="1"/>
  <c r="F86" i="30" s="1" a="1"/>
  <c r="F86" i="30" s="1"/>
  <c r="F87" i="30" s="1" a="1"/>
  <c r="F87" i="30" s="1"/>
  <c r="AZ84" i="30"/>
  <c r="BK84" i="30" s="1"/>
  <c r="AV84" i="30"/>
  <c r="BG84" i="30" s="1"/>
  <c r="AR84" i="30"/>
  <c r="AN84" i="30"/>
  <c r="AJ84" i="30"/>
  <c r="AF84" i="30"/>
  <c r="BC84" i="30"/>
  <c r="AY84" i="30"/>
  <c r="AU84" i="30"/>
  <c r="BF84" i="30" s="1"/>
  <c r="AQ84" i="30"/>
  <c r="AM84" i="30"/>
  <c r="AI84" i="30"/>
  <c r="BD84" i="30" s="1"/>
  <c r="AE84" i="30"/>
  <c r="AJ160" i="28"/>
  <c r="AF160" i="28"/>
  <c r="AN160" i="28"/>
  <c r="AI160" i="28"/>
  <c r="AE160" i="28"/>
  <c r="F161" i="28" a="1"/>
  <c r="F161" i="28" s="1"/>
  <c r="AK160" i="28"/>
  <c r="AG160" i="28"/>
  <c r="AT62" i="29"/>
  <c r="AB169" i="29"/>
  <c r="D170" i="29" a="1"/>
  <c r="D170" i="29" s="1"/>
  <c r="AB170" i="29" s="1"/>
  <c r="AH64" i="29" l="1"/>
  <c r="AH75" i="28"/>
  <c r="AH160" i="28"/>
  <c r="AL160" i="28"/>
  <c r="AH228" i="30"/>
  <c r="AK161" i="28"/>
  <c r="AG161" i="28"/>
  <c r="F162" i="28" a="1"/>
  <c r="F162" i="28" s="1"/>
  <c r="AJ161" i="28"/>
  <c r="AF161" i="28"/>
  <c r="AI161" i="28"/>
  <c r="AE161" i="28"/>
  <c r="AH84" i="30"/>
  <c r="AH225" i="29"/>
  <c r="AY172" i="29"/>
  <c r="BI172" i="29" s="1"/>
  <c r="F66" i="29" a="1"/>
  <c r="F66" i="29" s="1"/>
  <c r="AT65" i="29"/>
  <c r="AG65" i="29"/>
  <c r="AJ65" i="29"/>
  <c r="AF65" i="29"/>
  <c r="BO65" i="29"/>
  <c r="AI65" i="29"/>
  <c r="BD65" i="29" s="1"/>
  <c r="AE65" i="29"/>
  <c r="BI84" i="30"/>
  <c r="AS42" i="24"/>
  <c r="AT41" i="24"/>
  <c r="AK76" i="28"/>
  <c r="AG76" i="28"/>
  <c r="F77" i="28" a="1"/>
  <c r="F77" i="28" s="1"/>
  <c r="AJ76" i="28"/>
  <c r="AF76" i="28"/>
  <c r="AI76" i="28"/>
  <c r="AL76" i="28" s="1"/>
  <c r="AE76" i="28"/>
  <c r="BD62" i="29"/>
  <c r="AO172" i="29"/>
  <c r="BC231" i="30"/>
  <c r="AY231" i="30"/>
  <c r="AU231" i="30"/>
  <c r="BF231" i="30" s="1"/>
  <c r="AQ231" i="30"/>
  <c r="AM231" i="30"/>
  <c r="AI231" i="30"/>
  <c r="BD231" i="30" s="1"/>
  <c r="AE231" i="30"/>
  <c r="BA231" i="30"/>
  <c r="BL231" i="30" s="1"/>
  <c r="AV231" i="30"/>
  <c r="BG231" i="30" s="1"/>
  <c r="AP231" i="30"/>
  <c r="AK231" i="30"/>
  <c r="AF231" i="30"/>
  <c r="AX231" i="30"/>
  <c r="BI231" i="30" s="1"/>
  <c r="AR231" i="30"/>
  <c r="AJ231" i="30"/>
  <c r="AW231" i="30"/>
  <c r="AO231" i="30"/>
  <c r="F232" i="30" a="1"/>
  <c r="F232" i="30" s="1"/>
  <c r="BB231" i="30"/>
  <c r="AT231" i="30"/>
  <c r="BE231" i="30" s="1"/>
  <c r="AN231" i="30"/>
  <c r="AG231" i="30"/>
  <c r="BO231" i="30"/>
  <c r="AZ231" i="30"/>
  <c r="AS231" i="30"/>
  <c r="AL231" i="30"/>
  <c r="BJ84" i="30"/>
  <c r="F88" i="30" a="1"/>
  <c r="F88" i="30" s="1"/>
  <c r="AZ87" i="30"/>
  <c r="BK87" i="30" s="1"/>
  <c r="AV87" i="30"/>
  <c r="BG87" i="30" s="1"/>
  <c r="AR87" i="30"/>
  <c r="AN87" i="30"/>
  <c r="AJ87" i="30"/>
  <c r="AF87" i="30"/>
  <c r="BC87" i="30"/>
  <c r="AY87" i="30"/>
  <c r="BJ87" i="30" s="1"/>
  <c r="AU87" i="30"/>
  <c r="BF87" i="30" s="1"/>
  <c r="AQ87" i="30"/>
  <c r="AM87" i="30"/>
  <c r="AI87" i="30"/>
  <c r="BD87" i="30" s="1"/>
  <c r="AE87" i="30"/>
  <c r="BO87" i="30"/>
  <c r="BB87" i="30"/>
  <c r="BM87" i="30" s="1"/>
  <c r="AX87" i="30"/>
  <c r="BI87" i="30" s="1"/>
  <c r="AT87" i="30"/>
  <c r="BE87" i="30" s="1"/>
  <c r="AP87" i="30"/>
  <c r="AL87" i="30"/>
  <c r="BA87" i="30"/>
  <c r="BL87" i="30" s="1"/>
  <c r="AW87" i="30"/>
  <c r="BH87" i="30" s="1"/>
  <c r="AS87" i="30"/>
  <c r="AO87" i="30"/>
  <c r="AK87" i="30"/>
  <c r="AG87" i="30"/>
  <c r="BC226" i="29"/>
  <c r="AY226" i="29"/>
  <c r="BJ226" i="29" s="1"/>
  <c r="AU226" i="29"/>
  <c r="BF226" i="29" s="1"/>
  <c r="AQ226" i="29"/>
  <c r="AM226" i="29"/>
  <c r="AI226" i="29"/>
  <c r="BD226" i="29" s="1"/>
  <c r="AE226" i="29"/>
  <c r="BO226" i="29"/>
  <c r="BB226" i="29"/>
  <c r="BM226" i="29" s="1"/>
  <c r="AX226" i="29"/>
  <c r="AT226" i="29"/>
  <c r="BE226" i="29" s="1"/>
  <c r="AP226" i="29"/>
  <c r="AL226" i="29"/>
  <c r="BA226" i="29"/>
  <c r="AW226" i="29"/>
  <c r="BH226" i="29" s="1"/>
  <c r="AS226" i="29"/>
  <c r="AO226" i="29"/>
  <c r="AK226" i="29"/>
  <c r="AG226" i="29"/>
  <c r="F227" i="29" a="1"/>
  <c r="F227" i="29" s="1"/>
  <c r="AZ226" i="29"/>
  <c r="BK226" i="29" s="1"/>
  <c r="AV226" i="29"/>
  <c r="BG226" i="29" s="1"/>
  <c r="AR226" i="29"/>
  <c r="AN226" i="29"/>
  <c r="AJ226" i="29"/>
  <c r="AF226" i="29"/>
  <c r="AH62" i="29"/>
  <c r="AS34" i="24"/>
  <c r="AT33" i="24"/>
  <c r="AH87" i="30" l="1"/>
  <c r="AH65" i="29"/>
  <c r="BL226" i="29"/>
  <c r="BI226" i="29"/>
  <c r="BM231" i="30"/>
  <c r="AU41" i="24"/>
  <c r="AT42" i="24"/>
  <c r="F163" i="28" a="1"/>
  <c r="F163" i="28" s="1"/>
  <c r="AK162" i="28"/>
  <c r="AG162" i="28"/>
  <c r="AJ162" i="28"/>
  <c r="AF162" i="28"/>
  <c r="AN162" i="28"/>
  <c r="AI162" i="28"/>
  <c r="AL162" i="28" s="1"/>
  <c r="AE162" i="28"/>
  <c r="F89" i="30" a="1"/>
  <c r="F89" i="30" s="1"/>
  <c r="AZ88" i="30"/>
  <c r="BK88" i="30" s="1"/>
  <c r="AV88" i="30"/>
  <c r="BG88" i="30" s="1"/>
  <c r="AR88" i="30"/>
  <c r="AN88" i="30"/>
  <c r="AJ88" i="30"/>
  <c r="AF88" i="30"/>
  <c r="BC88" i="30"/>
  <c r="AY88" i="30"/>
  <c r="AU88" i="30"/>
  <c r="BF88" i="30" s="1"/>
  <c r="AQ88" i="30"/>
  <c r="AM88" i="30"/>
  <c r="AI88" i="30"/>
  <c r="BD88" i="30" s="1"/>
  <c r="AE88" i="30"/>
  <c r="BO88" i="30"/>
  <c r="BB88" i="30"/>
  <c r="BM88" i="30" s="1"/>
  <c r="AX88" i="30"/>
  <c r="BI88" i="30" s="1"/>
  <c r="AT88" i="30"/>
  <c r="BE88" i="30" s="1"/>
  <c r="AP88" i="30"/>
  <c r="AL88" i="30"/>
  <c r="BA88" i="30"/>
  <c r="BL88" i="30" s="1"/>
  <c r="AW88" i="30"/>
  <c r="BH88" i="30" s="1"/>
  <c r="AS88" i="30"/>
  <c r="AO88" i="30"/>
  <c r="AK88" i="30"/>
  <c r="AG88" i="30"/>
  <c r="AH88" i="30" s="1"/>
  <c r="AH231" i="30"/>
  <c r="BC232" i="30"/>
  <c r="AY232" i="30"/>
  <c r="BJ232" i="30" s="1"/>
  <c r="AU232" i="30"/>
  <c r="AQ232" i="30"/>
  <c r="AM232" i="30"/>
  <c r="AI232" i="30"/>
  <c r="AE232" i="30"/>
  <c r="BO232" i="30"/>
  <c r="AX232" i="30"/>
  <c r="BI232" i="30" s="1"/>
  <c r="AS232" i="30"/>
  <c r="AN232" i="30"/>
  <c r="F233" i="30" a="1"/>
  <c r="F233" i="30" s="1"/>
  <c r="BA232" i="30"/>
  <c r="AT232" i="30"/>
  <c r="BE232" i="30" s="1"/>
  <c r="AL232" i="30"/>
  <c r="AF232" i="30"/>
  <c r="AZ232" i="30"/>
  <c r="BK232" i="30" s="1"/>
  <c r="AR232" i="30"/>
  <c r="AK232" i="30"/>
  <c r="AW232" i="30"/>
  <c r="BH232" i="30" s="1"/>
  <c r="AP232" i="30"/>
  <c r="AJ232" i="30"/>
  <c r="BB232" i="30"/>
  <c r="BM232" i="30" s="1"/>
  <c r="AV232" i="30"/>
  <c r="BG232" i="30" s="1"/>
  <c r="AO232" i="30"/>
  <c r="AG232" i="30"/>
  <c r="BJ231" i="30"/>
  <c r="F78" i="28" a="1"/>
  <c r="F78" i="28" s="1"/>
  <c r="AK77" i="28"/>
  <c r="AG77" i="28"/>
  <c r="AJ77" i="28"/>
  <c r="AF77" i="28"/>
  <c r="AN77" i="28"/>
  <c r="AI77" i="28"/>
  <c r="AE77" i="28"/>
  <c r="AZ172" i="29"/>
  <c r="BJ172" i="29" s="1"/>
  <c r="AL161" i="28"/>
  <c r="AH161" i="28"/>
  <c r="BC227" i="29"/>
  <c r="AY227" i="29"/>
  <c r="BJ227" i="29" s="1"/>
  <c r="AU227" i="29"/>
  <c r="AQ227" i="29"/>
  <c r="AM227" i="29"/>
  <c r="AI227" i="29"/>
  <c r="BD227" i="29" s="1"/>
  <c r="AE227" i="29"/>
  <c r="BO227" i="29"/>
  <c r="BB227" i="29"/>
  <c r="BM227" i="29" s="1"/>
  <c r="AX227" i="29"/>
  <c r="BI227" i="29" s="1"/>
  <c r="AT227" i="29"/>
  <c r="BE227" i="29" s="1"/>
  <c r="AP227" i="29"/>
  <c r="AL227" i="29"/>
  <c r="BA227" i="29"/>
  <c r="BL227" i="29" s="1"/>
  <c r="AW227" i="29"/>
  <c r="BH227" i="29" s="1"/>
  <c r="AS227" i="29"/>
  <c r="AO227" i="29"/>
  <c r="AK227" i="29"/>
  <c r="AG227" i="29"/>
  <c r="F228" i="29" a="1"/>
  <c r="F228" i="29" s="1"/>
  <c r="AZ227" i="29"/>
  <c r="BK227" i="29" s="1"/>
  <c r="AV227" i="29"/>
  <c r="BG227" i="29" s="1"/>
  <c r="AR227" i="29"/>
  <c r="AN227" i="29"/>
  <c r="AJ227" i="29"/>
  <c r="AF227" i="29"/>
  <c r="AH76" i="28"/>
  <c r="AU33" i="24"/>
  <c r="AT34" i="24"/>
  <c r="AH226" i="29"/>
  <c r="BK231" i="30"/>
  <c r="BH231" i="30"/>
  <c r="AP172" i="29"/>
  <c r="F67" i="29" a="1"/>
  <c r="F67" i="29" s="1"/>
  <c r="AT66" i="29"/>
  <c r="AG66" i="29"/>
  <c r="AJ66" i="29"/>
  <c r="AF66" i="29"/>
  <c r="BO66" i="29"/>
  <c r="AI66" i="29"/>
  <c r="AE66" i="29"/>
  <c r="AH232" i="30" l="1"/>
  <c r="AH162" i="28"/>
  <c r="BD66" i="29"/>
  <c r="AH66" i="29"/>
  <c r="BC228" i="29"/>
  <c r="AY228" i="29"/>
  <c r="AU228" i="29"/>
  <c r="BF228" i="29" s="1"/>
  <c r="AQ228" i="29"/>
  <c r="AM228" i="29"/>
  <c r="AI228" i="29"/>
  <c r="BD228" i="29" s="1"/>
  <c r="AE228" i="29"/>
  <c r="BO228" i="29"/>
  <c r="BB228" i="29"/>
  <c r="BM228" i="29" s="1"/>
  <c r="AX228" i="29"/>
  <c r="BI228" i="29" s="1"/>
  <c r="AT228" i="29"/>
  <c r="BE228" i="29" s="1"/>
  <c r="AP228" i="29"/>
  <c r="AL228" i="29"/>
  <c r="BA228" i="29"/>
  <c r="BL228" i="29" s="1"/>
  <c r="AW228" i="29"/>
  <c r="BH228" i="29" s="1"/>
  <c r="AS228" i="29"/>
  <c r="AO228" i="29"/>
  <c r="AK228" i="29"/>
  <c r="AG228" i="29"/>
  <c r="F229" i="29" a="1"/>
  <c r="F229" i="29" s="1"/>
  <c r="F230" i="29" s="1" a="1"/>
  <c r="F230" i="29" s="1"/>
  <c r="F231" i="29" s="1" a="1"/>
  <c r="F231" i="29" s="1"/>
  <c r="AZ228" i="29"/>
  <c r="BK228" i="29" s="1"/>
  <c r="AV228" i="29"/>
  <c r="BG228" i="29" s="1"/>
  <c r="AR228" i="29"/>
  <c r="AN228" i="29"/>
  <c r="AJ228" i="29"/>
  <c r="AF228" i="29"/>
  <c r="BF232" i="30"/>
  <c r="AH227" i="29"/>
  <c r="BF227" i="29"/>
  <c r="BA172" i="29"/>
  <c r="AJ78" i="28"/>
  <c r="AF78" i="28"/>
  <c r="AN78" i="28"/>
  <c r="AI78" i="28"/>
  <c r="AL78" i="28" s="1"/>
  <c r="AE78" i="28"/>
  <c r="F79" i="28" a="1"/>
  <c r="F79" i="28" s="1"/>
  <c r="F80" i="28" s="1" a="1"/>
  <c r="F80" i="28" s="1"/>
  <c r="AK78" i="28"/>
  <c r="AG78" i="28"/>
  <c r="BD232" i="30"/>
  <c r="BL232" i="30"/>
  <c r="BJ88" i="30"/>
  <c r="F90" i="30" a="1"/>
  <c r="F90" i="30" s="1"/>
  <c r="AZ89" i="30"/>
  <c r="BK89" i="30" s="1"/>
  <c r="AV89" i="30"/>
  <c r="BG89" i="30" s="1"/>
  <c r="AR89" i="30"/>
  <c r="AN89" i="30"/>
  <c r="AJ89" i="30"/>
  <c r="AF89" i="30"/>
  <c r="BC89" i="30"/>
  <c r="AY89" i="30"/>
  <c r="BJ89" i="30" s="1"/>
  <c r="AU89" i="30"/>
  <c r="BF89" i="30" s="1"/>
  <c r="AQ89" i="30"/>
  <c r="AM89" i="30"/>
  <c r="AI89" i="30"/>
  <c r="BD89" i="30" s="1"/>
  <c r="AE89" i="30"/>
  <c r="BO89" i="30"/>
  <c r="BB89" i="30"/>
  <c r="BM89" i="30" s="1"/>
  <c r="AX89" i="30"/>
  <c r="BI89" i="30" s="1"/>
  <c r="AT89" i="30"/>
  <c r="BE89" i="30" s="1"/>
  <c r="AP89" i="30"/>
  <c r="AL89" i="30"/>
  <c r="BA89" i="30"/>
  <c r="BL89" i="30" s="1"/>
  <c r="AW89" i="30"/>
  <c r="BH89" i="30" s="1"/>
  <c r="AS89" i="30"/>
  <c r="AO89" i="30"/>
  <c r="AK89" i="30"/>
  <c r="AG89" i="30"/>
  <c r="AK163" i="28"/>
  <c r="AG163" i="28"/>
  <c r="F164" i="28" a="1"/>
  <c r="F164" i="28" s="1"/>
  <c r="AJ163" i="28"/>
  <c r="AF163" i="28"/>
  <c r="AI163" i="28"/>
  <c r="AL163" i="28" s="1"/>
  <c r="AE163" i="28"/>
  <c r="AQ172" i="29"/>
  <c r="AJ67" i="29"/>
  <c r="AF67" i="29"/>
  <c r="BO67" i="29"/>
  <c r="AI67" i="29"/>
  <c r="BD67" i="29" s="1"/>
  <c r="AE67" i="29"/>
  <c r="F68" i="29" a="1"/>
  <c r="F68" i="29" s="1"/>
  <c r="AT67" i="29"/>
  <c r="AG67" i="29"/>
  <c r="AV33" i="24"/>
  <c r="AU34" i="24"/>
  <c r="AL77" i="28"/>
  <c r="AH77" i="28"/>
  <c r="BC233" i="30"/>
  <c r="AY233" i="30"/>
  <c r="AU233" i="30"/>
  <c r="BF233" i="30" s="1"/>
  <c r="AQ233" i="30"/>
  <c r="AM233" i="30"/>
  <c r="AI233" i="30"/>
  <c r="BD233" i="30" s="1"/>
  <c r="AE233" i="30"/>
  <c r="BA233" i="30"/>
  <c r="BL233" i="30" s="1"/>
  <c r="AV233" i="30"/>
  <c r="BG233" i="30" s="1"/>
  <c r="AP233" i="30"/>
  <c r="AK233" i="30"/>
  <c r="AF233" i="30"/>
  <c r="AW233" i="30"/>
  <c r="AO233" i="30"/>
  <c r="F234" i="30" a="1"/>
  <c r="F234" i="30" s="1"/>
  <c r="BB233" i="30"/>
  <c r="BM233" i="30" s="1"/>
  <c r="AT233" i="30"/>
  <c r="BE233" i="30" s="1"/>
  <c r="AN233" i="30"/>
  <c r="AG233" i="30"/>
  <c r="BO233" i="30"/>
  <c r="AZ233" i="30"/>
  <c r="AS233" i="30"/>
  <c r="AL233" i="30"/>
  <c r="AX233" i="30"/>
  <c r="BI233" i="30" s="1"/>
  <c r="AR233" i="30"/>
  <c r="AJ233" i="30"/>
  <c r="AV41" i="24"/>
  <c r="AU42" i="24"/>
  <c r="AH89" i="30" l="1"/>
  <c r="AH78" i="28"/>
  <c r="AH233" i="30"/>
  <c r="AH67" i="29"/>
  <c r="AR172" i="29"/>
  <c r="AH163" i="28"/>
  <c r="BJ228" i="29"/>
  <c r="BC234" i="30"/>
  <c r="BC223" i="30" s="1"/>
  <c r="AY234" i="30"/>
  <c r="BJ234" i="30" s="1"/>
  <c r="AU234" i="30"/>
  <c r="AQ234" i="30"/>
  <c r="AQ223" i="30" s="1"/>
  <c r="AM234" i="30"/>
  <c r="AM223" i="30" s="1"/>
  <c r="AI234" i="30"/>
  <c r="AE234" i="30"/>
  <c r="AE223" i="30" s="1"/>
  <c r="BO234" i="30"/>
  <c r="AX234" i="30"/>
  <c r="AS234" i="30"/>
  <c r="AS223" i="30" s="1"/>
  <c r="AN234" i="30"/>
  <c r="AN223" i="30" s="1"/>
  <c r="AZ234" i="30"/>
  <c r="BK234" i="30" s="1"/>
  <c r="AR234" i="30"/>
  <c r="AR223" i="30" s="1"/>
  <c r="AK234" i="30"/>
  <c r="AK223" i="30" s="1"/>
  <c r="AW234" i="30"/>
  <c r="BH234" i="30" s="1"/>
  <c r="AP234" i="30"/>
  <c r="AP223" i="30" s="1"/>
  <c r="AJ234" i="30"/>
  <c r="AJ223" i="30" s="1"/>
  <c r="BB234" i="30"/>
  <c r="AV234" i="30"/>
  <c r="AO234" i="30"/>
  <c r="AO223" i="30" s="1"/>
  <c r="AG234" i="30"/>
  <c r="F235" i="30" a="1"/>
  <c r="F235" i="30" s="1"/>
  <c r="BA234" i="30"/>
  <c r="AT234" i="30"/>
  <c r="AL234" i="30"/>
  <c r="AL223" i="30" s="1"/>
  <c r="AF234" i="30"/>
  <c r="AF223" i="30" s="1"/>
  <c r="BB172" i="29"/>
  <c r="BJ233" i="30"/>
  <c r="AY223" i="30"/>
  <c r="AW33" i="24"/>
  <c r="AV34" i="24"/>
  <c r="BO68" i="29"/>
  <c r="AI68" i="29"/>
  <c r="BD68" i="29" s="1"/>
  <c r="AE68" i="29"/>
  <c r="F69" i="29" a="1"/>
  <c r="F69" i="29" s="1"/>
  <c r="AT68" i="29"/>
  <c r="AG68" i="29"/>
  <c r="AJ68" i="29"/>
  <c r="AF68" i="29"/>
  <c r="AN80" i="28"/>
  <c r="AI80" i="28"/>
  <c r="AE80" i="28"/>
  <c r="F81" i="28" a="1"/>
  <c r="F81" i="28" s="1"/>
  <c r="AK80" i="28"/>
  <c r="AG80" i="28"/>
  <c r="AJ80" i="28"/>
  <c r="AF80" i="28"/>
  <c r="BK172" i="29"/>
  <c r="BA231" i="29"/>
  <c r="AW231" i="29"/>
  <c r="AS231" i="29"/>
  <c r="AO231" i="29"/>
  <c r="AK231" i="29"/>
  <c r="AG231" i="29"/>
  <c r="F232" i="29" a="1"/>
  <c r="F232" i="29" s="1"/>
  <c r="AZ231" i="29"/>
  <c r="AV231" i="29"/>
  <c r="AR231" i="29"/>
  <c r="AN231" i="29"/>
  <c r="AJ231" i="29"/>
  <c r="AF231" i="29"/>
  <c r="BC231" i="29"/>
  <c r="AY231" i="29"/>
  <c r="BJ231" i="29" s="1"/>
  <c r="AU231" i="29"/>
  <c r="AQ231" i="29"/>
  <c r="AM231" i="29"/>
  <c r="AI231" i="29"/>
  <c r="AE231" i="29"/>
  <c r="BO231" i="29"/>
  <c r="BB231" i="29"/>
  <c r="AX231" i="29"/>
  <c r="AT231" i="29"/>
  <c r="BE231" i="29" s="1"/>
  <c r="AP231" i="29"/>
  <c r="AL231" i="29"/>
  <c r="AW41" i="24"/>
  <c r="AV42" i="24"/>
  <c r="BK233" i="30"/>
  <c r="BH233" i="30"/>
  <c r="F165" i="28" a="1"/>
  <c r="F165" i="28" s="1"/>
  <c r="AK164" i="28"/>
  <c r="AG164" i="28"/>
  <c r="AJ164" i="28"/>
  <c r="AF164" i="28"/>
  <c r="AN164" i="28"/>
  <c r="AI164" i="28"/>
  <c r="AE164" i="28"/>
  <c r="F91" i="30" a="1"/>
  <c r="F91" i="30" s="1"/>
  <c r="AZ90" i="30"/>
  <c r="AV90" i="30"/>
  <c r="AR90" i="30"/>
  <c r="AR79" i="30" s="1"/>
  <c r="AN90" i="30"/>
  <c r="AN79" i="30" s="1"/>
  <c r="AJ90" i="30"/>
  <c r="AJ79" i="30" s="1"/>
  <c r="AF90" i="30"/>
  <c r="AF79" i="30" s="1"/>
  <c r="BC90" i="30"/>
  <c r="BC79" i="30" s="1"/>
  <c r="AY90" i="30"/>
  <c r="AU90" i="30"/>
  <c r="AQ90" i="30"/>
  <c r="AQ79" i="30" s="1"/>
  <c r="AM90" i="30"/>
  <c r="AM79" i="30" s="1"/>
  <c r="AI90" i="30"/>
  <c r="AE90" i="30"/>
  <c r="AE79" i="30" s="1"/>
  <c r="BO90" i="30"/>
  <c r="BB90" i="30"/>
  <c r="AX90" i="30"/>
  <c r="AT90" i="30"/>
  <c r="AP90" i="30"/>
  <c r="AP79" i="30" s="1"/>
  <c r="AL90" i="30"/>
  <c r="AL79" i="30" s="1"/>
  <c r="BA90" i="30"/>
  <c r="AW90" i="30"/>
  <c r="AS90" i="30"/>
  <c r="AS79" i="30" s="1"/>
  <c r="AO90" i="30"/>
  <c r="AO79" i="30" s="1"/>
  <c r="AK90" i="30"/>
  <c r="AK79" i="30" s="1"/>
  <c r="AG90" i="30"/>
  <c r="AH228" i="29"/>
  <c r="AZ223" i="30" l="1"/>
  <c r="BK223" i="30" s="1"/>
  <c r="AW223" i="30"/>
  <c r="AH231" i="29"/>
  <c r="BL90" i="30"/>
  <c r="BA79" i="30"/>
  <c r="BJ90" i="30"/>
  <c r="AY79" i="30"/>
  <c r="BG90" i="30"/>
  <c r="AV79" i="30"/>
  <c r="AL164" i="28"/>
  <c r="AH164" i="28"/>
  <c r="AW42" i="24"/>
  <c r="AX41" i="24"/>
  <c r="AX42" i="24" s="1"/>
  <c r="BF231" i="29"/>
  <c r="BK231" i="29"/>
  <c r="BL234" i="30"/>
  <c r="BA223" i="30"/>
  <c r="BG234" i="30"/>
  <c r="AV223" i="30"/>
  <c r="BF234" i="30"/>
  <c r="AU223" i="30"/>
  <c r="AH90" i="30"/>
  <c r="AG79" i="30"/>
  <c r="BH90" i="30"/>
  <c r="AW79" i="30"/>
  <c r="BE90" i="30"/>
  <c r="AT79" i="30"/>
  <c r="BF90" i="30"/>
  <c r="AU79" i="30"/>
  <c r="BK90" i="30"/>
  <c r="AZ79" i="30"/>
  <c r="BI231" i="29"/>
  <c r="BD231" i="29"/>
  <c r="BA232" i="29"/>
  <c r="BL232" i="29" s="1"/>
  <c r="AW232" i="29"/>
  <c r="BH232" i="29" s="1"/>
  <c r="AS232" i="29"/>
  <c r="AO232" i="29"/>
  <c r="AK232" i="29"/>
  <c r="AG232" i="29"/>
  <c r="F233" i="29" a="1"/>
  <c r="F233" i="29" s="1"/>
  <c r="AZ232" i="29"/>
  <c r="BK232" i="29" s="1"/>
  <c r="AV232" i="29"/>
  <c r="BG232" i="29" s="1"/>
  <c r="AR232" i="29"/>
  <c r="AN232" i="29"/>
  <c r="AJ232" i="29"/>
  <c r="AF232" i="29"/>
  <c r="BC232" i="29"/>
  <c r="AY232" i="29"/>
  <c r="BJ232" i="29" s="1"/>
  <c r="AU232" i="29"/>
  <c r="BF232" i="29" s="1"/>
  <c r="AQ232" i="29"/>
  <c r="AM232" i="29"/>
  <c r="AI232" i="29"/>
  <c r="BD232" i="29" s="1"/>
  <c r="AE232" i="29"/>
  <c r="BO232" i="29"/>
  <c r="BB232" i="29"/>
  <c r="BM232" i="29" s="1"/>
  <c r="AX232" i="29"/>
  <c r="BI232" i="29" s="1"/>
  <c r="AT232" i="29"/>
  <c r="BE232" i="29" s="1"/>
  <c r="AP232" i="29"/>
  <c r="AL232" i="29"/>
  <c r="AN81" i="28"/>
  <c r="AK81" i="28"/>
  <c r="AK79" i="28" s="1"/>
  <c r="AG81" i="28"/>
  <c r="F82" i="28" a="1"/>
  <c r="F82" i="28" s="1"/>
  <c r="F83" i="28" s="1" a="1"/>
  <c r="F83" i="28" s="1"/>
  <c r="F84" i="28" s="1" a="1"/>
  <c r="F84" i="28" s="1"/>
  <c r="F85" i="28" s="1" a="1"/>
  <c r="F85" i="28" s="1"/>
  <c r="AJ81" i="28"/>
  <c r="AF81" i="28"/>
  <c r="AF79" i="28" s="1"/>
  <c r="AF93" i="28" s="1"/>
  <c r="AI81" i="28"/>
  <c r="AL81" i="28" s="1"/>
  <c r="AE81" i="28"/>
  <c r="AE79" i="28" s="1"/>
  <c r="AE93" i="28" s="1"/>
  <c r="F70" i="29" a="1"/>
  <c r="F70" i="29" s="1"/>
  <c r="AT69" i="29"/>
  <c r="AT53" i="29" s="1"/>
  <c r="AG69" i="29"/>
  <c r="AJ69" i="29"/>
  <c r="AJ53" i="29" s="1"/>
  <c r="AF69" i="29"/>
  <c r="AF53" i="29" s="1"/>
  <c r="BO69" i="29"/>
  <c r="AI69" i="29"/>
  <c r="AE69" i="29"/>
  <c r="AE53" i="29" s="1"/>
  <c r="BC235" i="30"/>
  <c r="AY235" i="30"/>
  <c r="BJ235" i="30" s="1"/>
  <c r="AU235" i="30"/>
  <c r="AQ235" i="30"/>
  <c r="AM235" i="30"/>
  <c r="AI235" i="30"/>
  <c r="AE235" i="30"/>
  <c r="BA235" i="30"/>
  <c r="BL235" i="30" s="1"/>
  <c r="AV235" i="30"/>
  <c r="AP235" i="30"/>
  <c r="AK235" i="30"/>
  <c r="AF235" i="30"/>
  <c r="F236" i="30" a="1"/>
  <c r="F236" i="30" s="1"/>
  <c r="BB235" i="30"/>
  <c r="BM235" i="30" s="1"/>
  <c r="AT235" i="30"/>
  <c r="BE235" i="30" s="1"/>
  <c r="AN235" i="30"/>
  <c r="AG235" i="30"/>
  <c r="BO235" i="30"/>
  <c r="AZ235" i="30"/>
  <c r="BK235" i="30" s="1"/>
  <c r="AS235" i="30"/>
  <c r="AL235" i="30"/>
  <c r="AX235" i="30"/>
  <c r="BI235" i="30" s="1"/>
  <c r="AR235" i="30"/>
  <c r="AJ235" i="30"/>
  <c r="AW235" i="30"/>
  <c r="BH235" i="30" s="1"/>
  <c r="AO235" i="30"/>
  <c r="BM234" i="30"/>
  <c r="BB223" i="30"/>
  <c r="BD234" i="30"/>
  <c r="AI223" i="30"/>
  <c r="BI90" i="30"/>
  <c r="AX79" i="30"/>
  <c r="F92" i="30" a="1"/>
  <c r="F92" i="30" s="1"/>
  <c r="AZ91" i="30"/>
  <c r="BK91" i="30" s="1"/>
  <c r="AV91" i="30"/>
  <c r="BG91" i="30" s="1"/>
  <c r="AR91" i="30"/>
  <c r="AN91" i="30"/>
  <c r="AJ91" i="30"/>
  <c r="AF91" i="30"/>
  <c r="BC91" i="30"/>
  <c r="AY91" i="30"/>
  <c r="BJ91" i="30" s="1"/>
  <c r="AU91" i="30"/>
  <c r="BF91" i="30" s="1"/>
  <c r="AQ91" i="30"/>
  <c r="AM91" i="30"/>
  <c r="AI91" i="30"/>
  <c r="BD91" i="30" s="1"/>
  <c r="AE91" i="30"/>
  <c r="BO91" i="30"/>
  <c r="BB91" i="30"/>
  <c r="BM91" i="30" s="1"/>
  <c r="AX91" i="30"/>
  <c r="BI91" i="30" s="1"/>
  <c r="AT91" i="30"/>
  <c r="BE91" i="30" s="1"/>
  <c r="AP91" i="30"/>
  <c r="AL91" i="30"/>
  <c r="BA91" i="30"/>
  <c r="BL91" i="30" s="1"/>
  <c r="AW91" i="30"/>
  <c r="BH91" i="30" s="1"/>
  <c r="AS91" i="30"/>
  <c r="AO91" i="30"/>
  <c r="AK91" i="30"/>
  <c r="AG91" i="30"/>
  <c r="AJ165" i="28"/>
  <c r="AF165" i="28"/>
  <c r="AN165" i="28"/>
  <c r="AI165" i="28"/>
  <c r="AE165" i="28"/>
  <c r="F166" i="28" a="1"/>
  <c r="F166" i="28" s="1"/>
  <c r="F167" i="28" s="1" a="1"/>
  <c r="F167" i="28" s="1"/>
  <c r="AK165" i="28"/>
  <c r="AG165" i="28"/>
  <c r="BM231" i="29"/>
  <c r="BH231" i="29"/>
  <c r="AJ79" i="28"/>
  <c r="AJ93" i="28" s="1"/>
  <c r="AW34" i="24"/>
  <c r="AX33" i="24"/>
  <c r="AX34" i="24" s="1"/>
  <c r="BC172" i="29"/>
  <c r="BM172" i="29" s="1"/>
  <c r="AH234" i="30"/>
  <c r="AG223" i="30"/>
  <c r="BI234" i="30"/>
  <c r="AX223" i="30"/>
  <c r="AS172" i="29"/>
  <c r="BD90" i="30"/>
  <c r="AI79" i="30"/>
  <c r="BM90" i="30"/>
  <c r="BB79" i="30"/>
  <c r="BH223" i="30"/>
  <c r="BG231" i="29"/>
  <c r="BL231" i="29"/>
  <c r="AH80" i="28"/>
  <c r="AG79" i="28"/>
  <c r="AL80" i="28"/>
  <c r="AH68" i="29"/>
  <c r="BJ223" i="30"/>
  <c r="BL172" i="29"/>
  <c r="BE234" i="30"/>
  <c r="AT223" i="30"/>
  <c r="AI79" i="28" l="1"/>
  <c r="AI93" i="28" s="1"/>
  <c r="AL93" i="28" s="1"/>
  <c r="AL165" i="28"/>
  <c r="AH91" i="30"/>
  <c r="AH165" i="28"/>
  <c r="BD235" i="30"/>
  <c r="AH235" i="30"/>
  <c r="AL79" i="28"/>
  <c r="BI223" i="30"/>
  <c r="AH79" i="28"/>
  <c r="AG93" i="28"/>
  <c r="AH93" i="28" s="1"/>
  <c r="BD79" i="30"/>
  <c r="AN167" i="28"/>
  <c r="AI167" i="28"/>
  <c r="AE167" i="28"/>
  <c r="F168" i="28" a="1"/>
  <c r="F168" i="28" s="1"/>
  <c r="AK167" i="28"/>
  <c r="AG167" i="28"/>
  <c r="AJ167" i="28"/>
  <c r="AF167" i="28"/>
  <c r="F93" i="30" a="1"/>
  <c r="F93" i="30" s="1"/>
  <c r="BO92" i="30"/>
  <c r="BD223" i="30"/>
  <c r="BM223" i="30"/>
  <c r="F71" i="29" a="1"/>
  <c r="F71" i="29" s="1"/>
  <c r="AT70" i="29"/>
  <c r="AG70" i="29"/>
  <c r="AJ70" i="29"/>
  <c r="AF70" i="29"/>
  <c r="BO70" i="29"/>
  <c r="AI70" i="29"/>
  <c r="BD70" i="29" s="1"/>
  <c r="AE70" i="29"/>
  <c r="AH223" i="30"/>
  <c r="BE223" i="30"/>
  <c r="BM79" i="30"/>
  <c r="BF235" i="30"/>
  <c r="AK85" i="28"/>
  <c r="F86" i="28" a="1"/>
  <c r="F86" i="28" s="1"/>
  <c r="BA233" i="29"/>
  <c r="AW233" i="29"/>
  <c r="BH233" i="29" s="1"/>
  <c r="AS233" i="29"/>
  <c r="AO233" i="29"/>
  <c r="AK233" i="29"/>
  <c r="AG233" i="29"/>
  <c r="F234" i="29" a="1"/>
  <c r="F234" i="29" s="1"/>
  <c r="AZ233" i="29"/>
  <c r="BK233" i="29" s="1"/>
  <c r="AV233" i="29"/>
  <c r="BG233" i="29" s="1"/>
  <c r="AR233" i="29"/>
  <c r="AN233" i="29"/>
  <c r="AJ233" i="29"/>
  <c r="AF233" i="29"/>
  <c r="BC233" i="29"/>
  <c r="AY233" i="29"/>
  <c r="BJ233" i="29" s="1"/>
  <c r="AU233" i="29"/>
  <c r="BF233" i="29" s="1"/>
  <c r="AQ233" i="29"/>
  <c r="AM233" i="29"/>
  <c r="AI233" i="29"/>
  <c r="BD233" i="29" s="1"/>
  <c r="AE233" i="29"/>
  <c r="BO233" i="29"/>
  <c r="BB233" i="29"/>
  <c r="BM233" i="29" s="1"/>
  <c r="AX233" i="29"/>
  <c r="BI233" i="29" s="1"/>
  <c r="AT233" i="29"/>
  <c r="BE233" i="29" s="1"/>
  <c r="AP233" i="29"/>
  <c r="AL233" i="29"/>
  <c r="BE79" i="30"/>
  <c r="AH79" i="30"/>
  <c r="BL223" i="30"/>
  <c r="BJ79" i="30"/>
  <c r="BI79" i="30"/>
  <c r="BD69" i="29"/>
  <c r="AI53" i="29"/>
  <c r="AH69" i="29"/>
  <c r="AG53" i="29"/>
  <c r="AH81" i="28"/>
  <c r="AH232" i="29"/>
  <c r="BF79" i="30"/>
  <c r="BG79" i="30"/>
  <c r="BO236" i="30"/>
  <c r="F237" i="30" a="1"/>
  <c r="F237" i="30" s="1"/>
  <c r="BG235" i="30"/>
  <c r="BK79" i="30"/>
  <c r="BH79" i="30"/>
  <c r="BF223" i="30"/>
  <c r="BG223" i="30"/>
  <c r="BL79" i="30"/>
  <c r="BD53" i="29" l="1"/>
  <c r="AH53" i="29"/>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H167" i="28"/>
  <c r="AL167" i="28"/>
  <c r="BC237" i="30"/>
  <c r="AY237" i="30"/>
  <c r="AU237" i="30"/>
  <c r="AQ237" i="30"/>
  <c r="AM237" i="30"/>
  <c r="AI237" i="30"/>
  <c r="AE237" i="30"/>
  <c r="BA237" i="30"/>
  <c r="AV237" i="30"/>
  <c r="AP237" i="30"/>
  <c r="AK237" i="30"/>
  <c r="AF237" i="30"/>
  <c r="BO237" i="30"/>
  <c r="AZ237" i="30"/>
  <c r="AS237" i="30"/>
  <c r="AL237" i="30"/>
  <c r="AX237" i="30"/>
  <c r="AR237" i="30"/>
  <c r="AJ237" i="30"/>
  <c r="AW237" i="30"/>
  <c r="AO237" i="30"/>
  <c r="F238" i="30" a="1"/>
  <c r="F238" i="30" s="1"/>
  <c r="BB237" i="30"/>
  <c r="AT237" i="30"/>
  <c r="AN237" i="30"/>
  <c r="AG237" i="30"/>
  <c r="BA234" i="29"/>
  <c r="BL234" i="29" s="1"/>
  <c r="AW234" i="29"/>
  <c r="AS234" i="29"/>
  <c r="AS223" i="29" s="1"/>
  <c r="AO234" i="29"/>
  <c r="AO223" i="29" s="1"/>
  <c r="AK234" i="29"/>
  <c r="AK223" i="29" s="1"/>
  <c r="AG234" i="29"/>
  <c r="AZ234" i="29"/>
  <c r="AV234" i="29"/>
  <c r="AR234" i="29"/>
  <c r="AR223" i="29" s="1"/>
  <c r="AN234" i="29"/>
  <c r="AN223" i="29" s="1"/>
  <c r="AJ234" i="29"/>
  <c r="AJ223" i="29" s="1"/>
  <c r="AF234" i="29"/>
  <c r="AF223" i="29" s="1"/>
  <c r="F235" i="29" a="1"/>
  <c r="F235" i="29" s="1"/>
  <c r="BC234" i="29"/>
  <c r="BC223" i="29" s="1"/>
  <c r="AY234" i="29"/>
  <c r="AU234" i="29"/>
  <c r="AQ234" i="29"/>
  <c r="AQ223" i="29" s="1"/>
  <c r="AM234" i="29"/>
  <c r="AM223" i="29" s="1"/>
  <c r="AI234" i="29"/>
  <c r="AE234" i="29"/>
  <c r="AE223" i="29" s="1"/>
  <c r="BB234" i="29"/>
  <c r="AX234" i="29"/>
  <c r="AT234" i="29"/>
  <c r="AP234" i="29"/>
  <c r="AP223" i="29" s="1"/>
  <c r="AL234" i="29"/>
  <c r="AL223" i="29" s="1"/>
  <c r="AH70" i="29"/>
  <c r="F94" i="30" a="1"/>
  <c r="F94" i="30" s="1"/>
  <c r="AZ93" i="30"/>
  <c r="AV93" i="30"/>
  <c r="AR93" i="30"/>
  <c r="AN93" i="30"/>
  <c r="AJ93" i="30"/>
  <c r="AF93" i="30"/>
  <c r="BC93" i="30"/>
  <c r="AY93" i="30"/>
  <c r="AU93" i="30"/>
  <c r="AQ93" i="30"/>
  <c r="AM93" i="30"/>
  <c r="AI93" i="30"/>
  <c r="AE93" i="30"/>
  <c r="BO93" i="30"/>
  <c r="BB93" i="30"/>
  <c r="AX93" i="30"/>
  <c r="AT93" i="30"/>
  <c r="AP93" i="30"/>
  <c r="AL93" i="30"/>
  <c r="BA93" i="30"/>
  <c r="AW93" i="30"/>
  <c r="AS93" i="30"/>
  <c r="AO93" i="30"/>
  <c r="AK93" i="30"/>
  <c r="AG93" i="30"/>
  <c r="AH233" i="29"/>
  <c r="F169" i="28" a="1"/>
  <c r="F169" i="28" s="1"/>
  <c r="F170" i="28" s="1" a="1"/>
  <c r="F170" i="28" s="1"/>
  <c r="F171" i="28" s="1" a="1"/>
  <c r="F171" i="28" s="1"/>
  <c r="F172" i="28" s="1" a="1"/>
  <c r="F172" i="28" s="1"/>
  <c r="AK168" i="28"/>
  <c r="AK166" i="28" s="1"/>
  <c r="AG168" i="28"/>
  <c r="AJ168" i="28"/>
  <c r="AJ166" i="28" s="1"/>
  <c r="AJ180" i="28" s="1"/>
  <c r="AF168" i="28"/>
  <c r="AF166" i="28" s="1"/>
  <c r="AF180" i="28" s="1"/>
  <c r="AN168" i="28"/>
  <c r="AI168" i="28"/>
  <c r="AL168" i="28" s="1"/>
  <c r="AE168" i="28"/>
  <c r="AE166" i="28" s="1"/>
  <c r="AE180" i="28" s="1"/>
  <c r="BL233" i="29"/>
  <c r="BA223" i="29"/>
  <c r="AJ71" i="29"/>
  <c r="AF71" i="29"/>
  <c r="BO71" i="29"/>
  <c r="AI71" i="29"/>
  <c r="BD71" i="29" s="1"/>
  <c r="AE71" i="29"/>
  <c r="F72" i="29" a="1"/>
  <c r="F72" i="29" s="1"/>
  <c r="AT71" i="29"/>
  <c r="AG71" i="29"/>
  <c r="AH71" i="29" l="1"/>
  <c r="BO72" i="29"/>
  <c r="AI72" i="29"/>
  <c r="BD72" i="29" s="1"/>
  <c r="AE72" i="29"/>
  <c r="F73" i="29" a="1"/>
  <c r="F73" i="29" s="1"/>
  <c r="AT72" i="29"/>
  <c r="AG72" i="29"/>
  <c r="AJ72" i="29"/>
  <c r="AF72" i="29"/>
  <c r="BL93" i="30"/>
  <c r="BI93" i="30"/>
  <c r="BD93" i="30"/>
  <c r="BJ93" i="30"/>
  <c r="F95" i="30" a="1"/>
  <c r="F95" i="30" s="1"/>
  <c r="AZ94" i="30"/>
  <c r="BK94" i="30" s="1"/>
  <c r="AV94" i="30"/>
  <c r="BG94" i="30" s="1"/>
  <c r="AR94" i="30"/>
  <c r="AN94" i="30"/>
  <c r="AJ94" i="30"/>
  <c r="AF94" i="30"/>
  <c r="BC94" i="30"/>
  <c r="AY94" i="30"/>
  <c r="BJ94" i="30" s="1"/>
  <c r="AU94" i="30"/>
  <c r="BF94" i="30" s="1"/>
  <c r="AQ94" i="30"/>
  <c r="AM94" i="30"/>
  <c r="AI94" i="30"/>
  <c r="BD94" i="30" s="1"/>
  <c r="AE94" i="30"/>
  <c r="BO94" i="30"/>
  <c r="BB94" i="30"/>
  <c r="BM94" i="30" s="1"/>
  <c r="AX94" i="30"/>
  <c r="BI94" i="30" s="1"/>
  <c r="AT94" i="30"/>
  <c r="BE94" i="30" s="1"/>
  <c r="AP94" i="30"/>
  <c r="AL94" i="30"/>
  <c r="BA94" i="30"/>
  <c r="BL94" i="30" s="1"/>
  <c r="AW94" i="30"/>
  <c r="BH94" i="30" s="1"/>
  <c r="AS94" i="30"/>
  <c r="AO94" i="30"/>
  <c r="AK94" i="30"/>
  <c r="AG94" i="30"/>
  <c r="BE234" i="29"/>
  <c r="AT223" i="29"/>
  <c r="BD234" i="29"/>
  <c r="AI223" i="29"/>
  <c r="BJ234" i="29"/>
  <c r="AY223" i="29"/>
  <c r="BK234" i="29"/>
  <c r="AZ223" i="29"/>
  <c r="BI237" i="30"/>
  <c r="BG237" i="30"/>
  <c r="AH168" i="28"/>
  <c r="BM93" i="30"/>
  <c r="BI234" i="29"/>
  <c r="AX223" i="29"/>
  <c r="AH234" i="29"/>
  <c r="AG223" i="29"/>
  <c r="BH234" i="29"/>
  <c r="AW223" i="29"/>
  <c r="BE237" i="30"/>
  <c r="BH237" i="30"/>
  <c r="BL237" i="30"/>
  <c r="AK96" i="28"/>
  <c r="AG96" i="28"/>
  <c r="AJ96" i="28"/>
  <c r="AF96" i="28"/>
  <c r="AE96" i="28"/>
  <c r="F97" i="28" a="1"/>
  <c r="F97" i="28" s="1"/>
  <c r="F98" i="28" s="1" a="1"/>
  <c r="F98" i="28" s="1"/>
  <c r="F99" i="28" s="1" a="1"/>
  <c r="F99" i="28" s="1"/>
  <c r="F100" i="28" s="1" a="1"/>
  <c r="F100" i="28" s="1"/>
  <c r="F101" i="28" s="1" a="1"/>
  <c r="F101" i="28" s="1"/>
  <c r="F102" i="28" s="1" a="1"/>
  <c r="F102" i="28" s="1"/>
  <c r="F103" i="28" s="1" a="1"/>
  <c r="F103" i="28" s="1"/>
  <c r="F104" i="28" s="1" a="1"/>
  <c r="F104" i="28" s="1"/>
  <c r="AI96" i="28"/>
  <c r="BL223" i="29"/>
  <c r="BG93" i="30"/>
  <c r="BM234" i="29"/>
  <c r="BB223" i="29"/>
  <c r="BO235" i="29"/>
  <c r="BB235" i="29"/>
  <c r="BM235" i="29" s="1"/>
  <c r="AX235" i="29"/>
  <c r="BI235" i="29" s="1"/>
  <c r="AT235" i="29"/>
  <c r="AP235" i="29"/>
  <c r="AL235" i="29"/>
  <c r="BA235" i="29"/>
  <c r="BL235" i="29" s="1"/>
  <c r="AW235" i="29"/>
  <c r="BH235" i="29" s="1"/>
  <c r="AS235" i="29"/>
  <c r="AO235" i="29"/>
  <c r="AK235" i="29"/>
  <c r="AG235" i="29"/>
  <c r="F236" i="29" a="1"/>
  <c r="F236" i="29" s="1"/>
  <c r="F237" i="29" s="1" a="1"/>
  <c r="F237" i="29" s="1"/>
  <c r="AZ235" i="29"/>
  <c r="BK235" i="29" s="1"/>
  <c r="AV235" i="29"/>
  <c r="AR235" i="29"/>
  <c r="AN235" i="29"/>
  <c r="AJ235" i="29"/>
  <c r="AF235" i="29"/>
  <c r="BC235" i="29"/>
  <c r="AY235" i="29"/>
  <c r="BJ235" i="29" s="1"/>
  <c r="AU235" i="29"/>
  <c r="AQ235" i="29"/>
  <c r="AM235" i="29"/>
  <c r="AI235" i="29"/>
  <c r="AE235" i="29"/>
  <c r="BM237" i="30"/>
  <c r="BF237" i="30"/>
  <c r="AI166" i="28"/>
  <c r="F173" i="28" a="1"/>
  <c r="F173" i="28" s="1"/>
  <c r="AK172" i="28"/>
  <c r="AH93" i="30"/>
  <c r="BH93" i="30"/>
  <c r="BE93" i="30"/>
  <c r="BF93" i="30"/>
  <c r="BK93" i="30"/>
  <c r="BF234" i="29"/>
  <c r="AU223" i="29"/>
  <c r="BG234" i="29"/>
  <c r="AV223" i="29"/>
  <c r="AH237" i="30"/>
  <c r="BC238" i="30"/>
  <c r="AY238" i="30"/>
  <c r="BJ238" i="30" s="1"/>
  <c r="AU238" i="30"/>
  <c r="AQ238" i="30"/>
  <c r="AM238" i="30"/>
  <c r="AI238" i="30"/>
  <c r="AE238" i="30"/>
  <c r="BO238" i="30"/>
  <c r="AX238" i="30"/>
  <c r="BI238" i="30" s="1"/>
  <c r="AS238" i="30"/>
  <c r="AN238" i="30"/>
  <c r="BB238" i="30"/>
  <c r="BM238" i="30" s="1"/>
  <c r="AV238" i="30"/>
  <c r="AO238" i="30"/>
  <c r="AG238" i="30"/>
  <c r="F239" i="30" a="1"/>
  <c r="F239" i="30" s="1"/>
  <c r="BA238" i="30"/>
  <c r="BL238" i="30" s="1"/>
  <c r="AT238" i="30"/>
  <c r="AL238" i="30"/>
  <c r="AF238" i="30"/>
  <c r="AZ238" i="30"/>
  <c r="BK238" i="30" s="1"/>
  <c r="AR238" i="30"/>
  <c r="AK238" i="30"/>
  <c r="AW238" i="30"/>
  <c r="BH238" i="30" s="1"/>
  <c r="AP238" i="30"/>
  <c r="AJ238" i="30"/>
  <c r="BK237" i="30"/>
  <c r="BD237" i="30"/>
  <c r="BJ237" i="30"/>
  <c r="AG166" i="28"/>
  <c r="AH235" i="29" l="1"/>
  <c r="BF235" i="29"/>
  <c r="BG238" i="30"/>
  <c r="AH238" i="30"/>
  <c r="AH94" i="30"/>
  <c r="AH72" i="29"/>
  <c r="BE238" i="30"/>
  <c r="AH166" i="28"/>
  <c r="AG180" i="28"/>
  <c r="AH180" i="28" s="1"/>
  <c r="BF238" i="30"/>
  <c r="BE235" i="29"/>
  <c r="AI102" i="28"/>
  <c r="AI97" i="28"/>
  <c r="AI99" i="28" s="1"/>
  <c r="AI100" i="28" s="1"/>
  <c r="AI103" i="28"/>
  <c r="AL103" i="28" s="1"/>
  <c r="AJ103" i="28"/>
  <c r="AJ97" i="28"/>
  <c r="AJ99" i="28" s="1"/>
  <c r="AJ100" i="28" s="1"/>
  <c r="AJ102" i="28"/>
  <c r="BH223" i="29"/>
  <c r="F96" i="30" a="1"/>
  <c r="F96" i="30" s="1"/>
  <c r="AZ95" i="30"/>
  <c r="AV95" i="30"/>
  <c r="AR95" i="30"/>
  <c r="AN95" i="30"/>
  <c r="AJ95" i="30"/>
  <c r="AF95" i="30"/>
  <c r="BC95" i="30"/>
  <c r="AY95" i="30"/>
  <c r="BJ95" i="30" s="1"/>
  <c r="AU95" i="30"/>
  <c r="AQ95" i="30"/>
  <c r="AM95" i="30"/>
  <c r="AI95" i="30"/>
  <c r="BD95" i="30" s="1"/>
  <c r="AE95" i="30"/>
  <c r="BO95" i="30"/>
  <c r="BB95" i="30"/>
  <c r="AX95" i="30"/>
  <c r="BI95" i="30" s="1"/>
  <c r="AT95" i="30"/>
  <c r="AP95" i="30"/>
  <c r="AL95" i="30"/>
  <c r="BA95" i="30"/>
  <c r="BL95" i="30" s="1"/>
  <c r="AW95" i="30"/>
  <c r="AS95" i="30"/>
  <c r="AO95" i="30"/>
  <c r="AK95" i="30"/>
  <c r="AG95" i="30"/>
  <c r="BD238" i="30"/>
  <c r="BF223" i="29"/>
  <c r="BG235" i="29"/>
  <c r="BM223" i="29"/>
  <c r="AJ104" i="28"/>
  <c r="AF104" i="28"/>
  <c r="F105" i="28" a="1"/>
  <c r="F105" i="28" s="1"/>
  <c r="F106" i="28" s="1" a="1"/>
  <c r="F106" i="28" s="1"/>
  <c r="F107" i="28" s="1" a="1"/>
  <c r="F107" i="28" s="1"/>
  <c r="F108" i="28" s="1" a="1"/>
  <c r="F108" i="28" s="1"/>
  <c r="F109" i="28" s="1" a="1"/>
  <c r="F109" i="28" s="1"/>
  <c r="F110" i="28" s="1" a="1"/>
  <c r="F110" i="28" s="1"/>
  <c r="F111" i="28" s="1" a="1"/>
  <c r="F111" i="28" s="1"/>
  <c r="AI104" i="28"/>
  <c r="AE104" i="28"/>
  <c r="AK104" i="28"/>
  <c r="AG104" i="28"/>
  <c r="AH96" i="28"/>
  <c r="AG102" i="28"/>
  <c r="AG97" i="28"/>
  <c r="AG99" i="28" s="1"/>
  <c r="AG103" i="28"/>
  <c r="BJ223" i="29"/>
  <c r="BE223" i="29"/>
  <c r="BG223" i="29"/>
  <c r="F174" i="28" a="1"/>
  <c r="F174" i="28" s="1"/>
  <c r="F175" i="28" s="1" a="1"/>
  <c r="F175" i="28" s="1"/>
  <c r="F176" i="28" s="1" a="1"/>
  <c r="F176" i="28" s="1"/>
  <c r="F177" i="28" s="1" a="1"/>
  <c r="F177" i="28" s="1"/>
  <c r="F178" i="28" s="1" a="1"/>
  <c r="F178" i="28" s="1"/>
  <c r="F179" i="28" s="1" a="1"/>
  <c r="F179" i="28" s="1"/>
  <c r="F180" i="28" s="1" a="1"/>
  <c r="F180" i="28" s="1"/>
  <c r="F181" i="28" s="1" a="1"/>
  <c r="F181" i="28" s="1"/>
  <c r="F182" i="28" s="1" a="1"/>
  <c r="F182" i="28" s="1"/>
  <c r="F183" i="28" s="1" a="1"/>
  <c r="F183" i="28" s="1"/>
  <c r="AK173" i="28"/>
  <c r="AK180" i="28" s="1"/>
  <c r="AE102" i="28"/>
  <c r="AE97" i="28"/>
  <c r="AE99" i="28" s="1"/>
  <c r="AE100" i="28" s="1"/>
  <c r="AE103" i="28"/>
  <c r="AK102" i="28"/>
  <c r="AK97" i="28"/>
  <c r="AK99" i="28" s="1"/>
  <c r="AK100" i="28" s="1"/>
  <c r="AK103" i="28"/>
  <c r="AH223" i="29"/>
  <c r="BK223" i="29"/>
  <c r="BC239" i="30"/>
  <c r="AY239" i="30"/>
  <c r="AU239" i="30"/>
  <c r="BF239" i="30" s="1"/>
  <c r="AQ239" i="30"/>
  <c r="AM239" i="30"/>
  <c r="AI239" i="30"/>
  <c r="AE239" i="30"/>
  <c r="BO239" i="30"/>
  <c r="BB239" i="30"/>
  <c r="BM239" i="30" s="1"/>
  <c r="AX239" i="30"/>
  <c r="BI239" i="30" s="1"/>
  <c r="AT239" i="30"/>
  <c r="BE239" i="30" s="1"/>
  <c r="AP239" i="30"/>
  <c r="AL239" i="30"/>
  <c r="AV239" i="30"/>
  <c r="BG239" i="30" s="1"/>
  <c r="AN239" i="30"/>
  <c r="AF239" i="30"/>
  <c r="AW239" i="30"/>
  <c r="BH239" i="30" s="1"/>
  <c r="AK239" i="30"/>
  <c r="F240" i="30" a="1"/>
  <c r="F240" i="30" s="1"/>
  <c r="AS239" i="30"/>
  <c r="AJ239" i="30"/>
  <c r="BA239" i="30"/>
  <c r="BL239" i="30" s="1"/>
  <c r="AR239" i="30"/>
  <c r="AG239" i="30"/>
  <c r="AH239" i="30" s="1"/>
  <c r="AZ239" i="30"/>
  <c r="AO239" i="30"/>
  <c r="AL166" i="28"/>
  <c r="AI180" i="28"/>
  <c r="BD235" i="29"/>
  <c r="BC237" i="29"/>
  <c r="AY237" i="29"/>
  <c r="AU237" i="29"/>
  <c r="AQ237" i="29"/>
  <c r="AM237" i="29"/>
  <c r="AI237" i="29"/>
  <c r="AE237" i="29"/>
  <c r="BO237" i="29"/>
  <c r="BB237" i="29"/>
  <c r="AX237" i="29"/>
  <c r="AT237" i="29"/>
  <c r="AP237" i="29"/>
  <c r="AL237" i="29"/>
  <c r="BA237" i="29"/>
  <c r="AW237" i="29"/>
  <c r="AS237" i="29"/>
  <c r="AO237" i="29"/>
  <c r="AK237" i="29"/>
  <c r="AG237" i="29"/>
  <c r="F238" i="29" a="1"/>
  <c r="F238" i="29" s="1"/>
  <c r="AZ237" i="29"/>
  <c r="AV237" i="29"/>
  <c r="AR237" i="29"/>
  <c r="AN237" i="29"/>
  <c r="AJ237" i="29"/>
  <c r="AF237" i="29"/>
  <c r="AF103" i="28"/>
  <c r="AF97" i="28"/>
  <c r="AF99" i="28" s="1"/>
  <c r="AF100" i="28" s="1"/>
  <c r="AF102" i="28"/>
  <c r="BI223" i="29"/>
  <c r="BD223" i="29"/>
  <c r="AT73" i="29"/>
  <c r="AT28" i="29" s="1"/>
  <c r="AG73" i="29"/>
  <c r="F74" i="29" a="1"/>
  <c r="F74" i="29" s="1"/>
  <c r="F75" i="29" s="1" a="1"/>
  <c r="F75" i="29" s="1"/>
  <c r="AJ73" i="29"/>
  <c r="AJ28" i="29" s="1"/>
  <c r="AF73" i="29"/>
  <c r="AF28" i="29" s="1"/>
  <c r="AI73" i="29"/>
  <c r="AE73" i="29"/>
  <c r="AE28" i="29" s="1"/>
  <c r="BD73" i="29" l="1"/>
  <c r="AI28" i="29"/>
  <c r="AH73" i="29"/>
  <c r="AG28" i="29"/>
  <c r="AH237" i="29"/>
  <c r="BH237" i="29"/>
  <c r="BE237" i="29"/>
  <c r="BF237" i="29"/>
  <c r="AL180" i="28"/>
  <c r="AJ183" i="28"/>
  <c r="AF183" i="28"/>
  <c r="F184" i="28" a="1"/>
  <c r="F184" i="28" s="1"/>
  <c r="F185" i="28" s="1" a="1"/>
  <c r="F185" i="28" s="1"/>
  <c r="F186" i="28" s="1" a="1"/>
  <c r="F186" i="28" s="1"/>
  <c r="F187" i="28" s="1" a="1"/>
  <c r="F187" i="28" s="1"/>
  <c r="F188" i="28" s="1" a="1"/>
  <c r="F188" i="28" s="1"/>
  <c r="F189" i="28" s="1" a="1"/>
  <c r="F189" i="28" s="1"/>
  <c r="F190" i="28" s="1" a="1"/>
  <c r="F190" i="28" s="1"/>
  <c r="F191" i="28" s="1" a="1"/>
  <c r="F191" i="28" s="1"/>
  <c r="AI183" i="28"/>
  <c r="AI186" i="28" s="1"/>
  <c r="AE183" i="28"/>
  <c r="AK183" i="28"/>
  <c r="AG183" i="28"/>
  <c r="AH97" i="28"/>
  <c r="AG105" i="28"/>
  <c r="AG106" i="28"/>
  <c r="AH104" i="28"/>
  <c r="AG108" i="28"/>
  <c r="AH95" i="30"/>
  <c r="BH95" i="30"/>
  <c r="BE95" i="30"/>
  <c r="BF95" i="30"/>
  <c r="BK95" i="30"/>
  <c r="BE28" i="29"/>
  <c r="AU28" i="29"/>
  <c r="BG237" i="29"/>
  <c r="BL237" i="29"/>
  <c r="BI237" i="29"/>
  <c r="BD237" i="29"/>
  <c r="BJ237" i="29"/>
  <c r="BC240" i="30"/>
  <c r="AY240" i="30"/>
  <c r="BJ240" i="30" s="1"/>
  <c r="AU240" i="30"/>
  <c r="AQ240" i="30"/>
  <c r="AM240" i="30"/>
  <c r="AI240" i="30"/>
  <c r="AE240" i="30"/>
  <c r="BO240" i="30"/>
  <c r="BB240" i="30"/>
  <c r="BM240" i="30" s="1"/>
  <c r="AX240" i="30"/>
  <c r="BI240" i="30" s="1"/>
  <c r="AT240" i="30"/>
  <c r="BE240" i="30" s="1"/>
  <c r="AP240" i="30"/>
  <c r="AL240" i="30"/>
  <c r="AV240" i="30"/>
  <c r="AN240" i="30"/>
  <c r="AF240" i="30"/>
  <c r="AZ240" i="30"/>
  <c r="BK240" i="30" s="1"/>
  <c r="AO240" i="30"/>
  <c r="AW240" i="30"/>
  <c r="BH240" i="30" s="1"/>
  <c r="AK240" i="30"/>
  <c r="F241" i="30" a="1"/>
  <c r="F241" i="30" s="1"/>
  <c r="AS240" i="30"/>
  <c r="AJ240" i="30"/>
  <c r="BA240" i="30"/>
  <c r="BL240" i="30" s="1"/>
  <c r="AR240" i="30"/>
  <c r="AG240" i="30"/>
  <c r="AH99" i="28"/>
  <c r="AG100" i="28"/>
  <c r="AH100" i="28" s="1"/>
  <c r="AK105" i="28"/>
  <c r="AK107" i="28" s="1"/>
  <c r="AK106" i="28"/>
  <c r="AK108" i="28"/>
  <c r="AF108" i="28"/>
  <c r="AF105" i="28"/>
  <c r="AF107" i="28" s="1"/>
  <c r="AF106" i="28"/>
  <c r="F97" i="30" a="1"/>
  <c r="F97" i="30" s="1"/>
  <c r="AZ96" i="30"/>
  <c r="BK96" i="30" s="1"/>
  <c r="AV96" i="30"/>
  <c r="BG96" i="30" s="1"/>
  <c r="AR96" i="30"/>
  <c r="AN96" i="30"/>
  <c r="AJ96" i="30"/>
  <c r="AF96" i="30"/>
  <c r="BC96" i="30"/>
  <c r="AY96" i="30"/>
  <c r="AU96" i="30"/>
  <c r="BF96" i="30" s="1"/>
  <c r="AQ96" i="30"/>
  <c r="AM96" i="30"/>
  <c r="AI96" i="30"/>
  <c r="AE96" i="30"/>
  <c r="BO96" i="30"/>
  <c r="BB96" i="30"/>
  <c r="BM96" i="30" s="1"/>
  <c r="AX96" i="30"/>
  <c r="AT96" i="30"/>
  <c r="BE96" i="30" s="1"/>
  <c r="AP96" i="30"/>
  <c r="AL96" i="30"/>
  <c r="BA96" i="30"/>
  <c r="AW96" i="30"/>
  <c r="BH96" i="30" s="1"/>
  <c r="AS96" i="30"/>
  <c r="AO96" i="30"/>
  <c r="AK96" i="30"/>
  <c r="AG96" i="30"/>
  <c r="AK28" i="29"/>
  <c r="BK237" i="29"/>
  <c r="BM237" i="29"/>
  <c r="BD239" i="30"/>
  <c r="BJ239" i="30"/>
  <c r="AH102" i="28"/>
  <c r="AE108" i="28"/>
  <c r="AE105" i="28"/>
  <c r="AE107" i="28" s="1"/>
  <c r="AE106" i="28"/>
  <c r="AJ108" i="28"/>
  <c r="AJ105" i="28"/>
  <c r="AJ107" i="28" s="1"/>
  <c r="AJ106" i="28"/>
  <c r="BM95" i="30"/>
  <c r="T75" i="29"/>
  <c r="F76" i="29" a="1"/>
  <c r="F76" i="29" s="1"/>
  <c r="BC238" i="29"/>
  <c r="AY238" i="29"/>
  <c r="BJ238" i="29" s="1"/>
  <c r="AU238" i="29"/>
  <c r="AQ238" i="29"/>
  <c r="AM238" i="29"/>
  <c r="AI238" i="29"/>
  <c r="AE238" i="29"/>
  <c r="BO238" i="29"/>
  <c r="BB238" i="29"/>
  <c r="BM238" i="29" s="1"/>
  <c r="AX238" i="29"/>
  <c r="BI238" i="29" s="1"/>
  <c r="AT238" i="29"/>
  <c r="AP238" i="29"/>
  <c r="AL238" i="29"/>
  <c r="BA238" i="29"/>
  <c r="BL238" i="29" s="1"/>
  <c r="AW238" i="29"/>
  <c r="BH238" i="29" s="1"/>
  <c r="AS238" i="29"/>
  <c r="AO238" i="29"/>
  <c r="AK238" i="29"/>
  <c r="AG238" i="29"/>
  <c r="F239" i="29" a="1"/>
  <c r="F239" i="29" s="1"/>
  <c r="AZ238" i="29"/>
  <c r="BK238" i="29" s="1"/>
  <c r="AV238" i="29"/>
  <c r="AR238" i="29"/>
  <c r="AN238" i="29"/>
  <c r="AJ238" i="29"/>
  <c r="AF238" i="29"/>
  <c r="BK239" i="30"/>
  <c r="AI108" i="28"/>
  <c r="AI105" i="28"/>
  <c r="AI107" i="28" s="1"/>
  <c r="AI106" i="28"/>
  <c r="BG95" i="30"/>
  <c r="AH240" i="30" l="1"/>
  <c r="BE238" i="29"/>
  <c r="AH96" i="30"/>
  <c r="BG238" i="29"/>
  <c r="BF240" i="30"/>
  <c r="AH106" i="28"/>
  <c r="AK184" i="28"/>
  <c r="AK186" i="28" s="1"/>
  <c r="AK187" i="28" s="1"/>
  <c r="AK189" i="28"/>
  <c r="AF184" i="28"/>
  <c r="AF186" i="28" s="1"/>
  <c r="AF187" i="28" s="1"/>
  <c r="AF189" i="28"/>
  <c r="BC239" i="29"/>
  <c r="AY239" i="29"/>
  <c r="BJ239" i="29" s="1"/>
  <c r="AU239" i="29"/>
  <c r="BF239" i="29" s="1"/>
  <c r="AQ239" i="29"/>
  <c r="AM239" i="29"/>
  <c r="AI239" i="29"/>
  <c r="BD239" i="29" s="1"/>
  <c r="AE239" i="29"/>
  <c r="BO239" i="29"/>
  <c r="BB239" i="29"/>
  <c r="BM239" i="29" s="1"/>
  <c r="AX239" i="29"/>
  <c r="BI239" i="29" s="1"/>
  <c r="AT239" i="29"/>
  <c r="BE239" i="29" s="1"/>
  <c r="AP239" i="29"/>
  <c r="AL239" i="29"/>
  <c r="BA239" i="29"/>
  <c r="BL239" i="29" s="1"/>
  <c r="AW239" i="29"/>
  <c r="BH239" i="29" s="1"/>
  <c r="AS239" i="29"/>
  <c r="AO239" i="29"/>
  <c r="AK239" i="29"/>
  <c r="AG239" i="29"/>
  <c r="F240" i="29" a="1"/>
  <c r="F240" i="29" s="1"/>
  <c r="AZ239" i="29"/>
  <c r="BK239" i="29" s="1"/>
  <c r="AV239" i="29"/>
  <c r="BG239" i="29" s="1"/>
  <c r="AR239" i="29"/>
  <c r="AN239" i="29"/>
  <c r="AJ239" i="29"/>
  <c r="AF239" i="29"/>
  <c r="AL28" i="29"/>
  <c r="BL96" i="30"/>
  <c r="BI96" i="30"/>
  <c r="BD96" i="30"/>
  <c r="BJ96" i="30"/>
  <c r="F98" i="30" a="1"/>
  <c r="F98" i="30" s="1"/>
  <c r="AZ97" i="30"/>
  <c r="BK97" i="30" s="1"/>
  <c r="AV97" i="30"/>
  <c r="AR97" i="30"/>
  <c r="AN97" i="30"/>
  <c r="AJ97" i="30"/>
  <c r="AF97" i="30"/>
  <c r="BC97" i="30"/>
  <c r="AY97" i="30"/>
  <c r="BJ97" i="30" s="1"/>
  <c r="AU97" i="30"/>
  <c r="BF97" i="30" s="1"/>
  <c r="AQ97" i="30"/>
  <c r="AM97" i="30"/>
  <c r="AI97" i="30"/>
  <c r="BD97" i="30" s="1"/>
  <c r="AE97" i="30"/>
  <c r="BO97" i="30"/>
  <c r="BB97" i="30"/>
  <c r="AX97" i="30"/>
  <c r="BI97" i="30" s="1"/>
  <c r="AT97" i="30"/>
  <c r="BE97" i="30" s="1"/>
  <c r="AP97" i="30"/>
  <c r="AL97" i="30"/>
  <c r="BA97" i="30"/>
  <c r="BL97" i="30" s="1"/>
  <c r="AW97" i="30"/>
  <c r="BH97" i="30" s="1"/>
  <c r="AS97" i="30"/>
  <c r="AO97" i="30"/>
  <c r="AK97" i="30"/>
  <c r="AG97" i="30"/>
  <c r="BG240" i="30"/>
  <c r="BD240" i="30"/>
  <c r="AV28" i="29"/>
  <c r="BF28" i="29"/>
  <c r="AH108" i="28"/>
  <c r="AH105" i="28"/>
  <c r="AE189" i="28"/>
  <c r="AE184" i="28"/>
  <c r="AE186" i="28" s="1"/>
  <c r="AE187" i="28" s="1"/>
  <c r="AJ189" i="28"/>
  <c r="AJ184" i="28"/>
  <c r="AJ186" i="28" s="1"/>
  <c r="AJ187" i="28" s="1"/>
  <c r="AH28" i="29"/>
  <c r="AH238" i="29"/>
  <c r="BF238" i="29"/>
  <c r="T76" i="29"/>
  <c r="F77" i="29" a="1"/>
  <c r="F77" i="29" s="1"/>
  <c r="BC241" i="30"/>
  <c r="AY241" i="30"/>
  <c r="AU241" i="30"/>
  <c r="AQ241" i="30"/>
  <c r="AM241" i="30"/>
  <c r="AI241" i="30"/>
  <c r="AE241" i="30"/>
  <c r="BO241" i="30"/>
  <c r="BB241" i="30"/>
  <c r="AX241" i="30"/>
  <c r="AT241" i="30"/>
  <c r="AP241" i="30"/>
  <c r="AL241" i="30"/>
  <c r="AV241" i="30"/>
  <c r="BG241" i="30" s="1"/>
  <c r="AN241" i="30"/>
  <c r="AF241" i="30"/>
  <c r="BA241" i="30"/>
  <c r="AR241" i="30"/>
  <c r="AG241" i="30"/>
  <c r="AZ241" i="30"/>
  <c r="AO241" i="30"/>
  <c r="AW241" i="30"/>
  <c r="BH241" i="30" s="1"/>
  <c r="AK241" i="30"/>
  <c r="F242" i="30" a="1"/>
  <c r="F242" i="30" s="1"/>
  <c r="AS241" i="30"/>
  <c r="AJ241" i="30"/>
  <c r="BD238" i="29"/>
  <c r="AG107" i="28"/>
  <c r="AH107" i="28" s="1"/>
  <c r="AG184" i="28"/>
  <c r="AH184" i="28" s="1"/>
  <c r="AG189" i="28"/>
  <c r="AH189" i="28" s="1"/>
  <c r="AH183" i="28"/>
  <c r="AK191" i="28"/>
  <c r="AK190" i="28" s="1"/>
  <c r="AL190" i="28" s="1"/>
  <c r="AG191" i="28"/>
  <c r="AJ191" i="28"/>
  <c r="AF191" i="28"/>
  <c r="AF190" i="28" s="1"/>
  <c r="F192" i="28" a="1"/>
  <c r="F192" i="28" s="1"/>
  <c r="F193" i="28" s="1" a="1"/>
  <c r="F193" i="28" s="1"/>
  <c r="F194" i="28" s="1" a="1"/>
  <c r="F194" i="28" s="1"/>
  <c r="F195" i="28" s="1" a="1"/>
  <c r="F195" i="28" s="1"/>
  <c r="F196" i="28" s="1" a="1"/>
  <c r="F196" i="28" s="1"/>
  <c r="F197" i="28" s="1" a="1"/>
  <c r="F197" i="28" s="1"/>
  <c r="F198" i="28" s="1" a="1"/>
  <c r="F198" i="28" s="1"/>
  <c r="AI191" i="28"/>
  <c r="AI194" i="28" s="1"/>
  <c r="AE191" i="28"/>
  <c r="BD28" i="29"/>
  <c r="AH97" i="30" l="1"/>
  <c r="AJ192" i="28"/>
  <c r="AJ194" i="28" s="1"/>
  <c r="AJ195" i="28"/>
  <c r="AJ193" i="28"/>
  <c r="BL241" i="30"/>
  <c r="BM241" i="30"/>
  <c r="AH103" i="28"/>
  <c r="AH239" i="29"/>
  <c r="AG193" i="28"/>
  <c r="AH191" i="28"/>
  <c r="AG192" i="28"/>
  <c r="AG194" i="28" s="1"/>
  <c r="AG186" i="28"/>
  <c r="BC242" i="30"/>
  <c r="AY242" i="30"/>
  <c r="BJ242" i="30" s="1"/>
  <c r="AU242" i="30"/>
  <c r="AQ242" i="30"/>
  <c r="AM242" i="30"/>
  <c r="AI242" i="30"/>
  <c r="BD242" i="30" s="1"/>
  <c r="AE242" i="30"/>
  <c r="BO242" i="30"/>
  <c r="BB242" i="30"/>
  <c r="BM242" i="30" s="1"/>
  <c r="AX242" i="30"/>
  <c r="BI242" i="30" s="1"/>
  <c r="AT242" i="30"/>
  <c r="BE242" i="30" s="1"/>
  <c r="AP242" i="30"/>
  <c r="AL242" i="30"/>
  <c r="AV242" i="30"/>
  <c r="AN242" i="30"/>
  <c r="AF242" i="30"/>
  <c r="F243" i="30" a="1"/>
  <c r="F243" i="30" s="1"/>
  <c r="AS242" i="30"/>
  <c r="AJ242" i="30"/>
  <c r="BA242" i="30"/>
  <c r="BL242" i="30" s="1"/>
  <c r="AR242" i="30"/>
  <c r="AG242" i="30"/>
  <c r="AZ242" i="30"/>
  <c r="BK242" i="30" s="1"/>
  <c r="AO242" i="30"/>
  <c r="AW242" i="30"/>
  <c r="BH242" i="30" s="1"/>
  <c r="AK242" i="30"/>
  <c r="BK241" i="30"/>
  <c r="F78" i="29" a="1"/>
  <c r="F78" i="29" s="1"/>
  <c r="T77" i="29"/>
  <c r="AW28" i="29"/>
  <c r="BG28" i="29"/>
  <c r="F99" i="30" a="1"/>
  <c r="F99" i="30" s="1"/>
  <c r="AZ98" i="30"/>
  <c r="AV98" i="30"/>
  <c r="BG98" i="30" s="1"/>
  <c r="AR98" i="30"/>
  <c r="AN98" i="30"/>
  <c r="AJ98" i="30"/>
  <c r="AF98" i="30"/>
  <c r="BC98" i="30"/>
  <c r="AY98" i="30"/>
  <c r="BJ98" i="30" s="1"/>
  <c r="AU98" i="30"/>
  <c r="BF98" i="30" s="1"/>
  <c r="AQ98" i="30"/>
  <c r="AM98" i="30"/>
  <c r="AI98" i="30"/>
  <c r="BD98" i="30" s="1"/>
  <c r="AE98" i="30"/>
  <c r="BO98" i="30"/>
  <c r="BB98" i="30"/>
  <c r="BM98" i="30" s="1"/>
  <c r="AX98" i="30"/>
  <c r="BI98" i="30" s="1"/>
  <c r="AT98" i="30"/>
  <c r="AP98" i="30"/>
  <c r="AL98" i="30"/>
  <c r="BA98" i="30"/>
  <c r="BL98" i="30" s="1"/>
  <c r="AW98" i="30"/>
  <c r="AS98" i="30"/>
  <c r="AO98" i="30"/>
  <c r="AK98" i="30"/>
  <c r="AG98" i="30"/>
  <c r="AE192" i="28"/>
  <c r="AE194" i="28" s="1"/>
  <c r="AE195" i="28"/>
  <c r="AE193" i="28"/>
  <c r="AH241" i="30"/>
  <c r="BE241" i="30"/>
  <c r="BF241" i="30"/>
  <c r="AJ190" i="28"/>
  <c r="AE190" i="28"/>
  <c r="BM97" i="30"/>
  <c r="AM28" i="29"/>
  <c r="AK195" i="28"/>
  <c r="AK193" i="28"/>
  <c r="AK192" i="28"/>
  <c r="AK194" i="28" s="1"/>
  <c r="AF195" i="28"/>
  <c r="AF193" i="28"/>
  <c r="AF192" i="28"/>
  <c r="AF194" i="28" s="1"/>
  <c r="AG190" i="28"/>
  <c r="BI241" i="30"/>
  <c r="BD241" i="30"/>
  <c r="BJ241" i="30"/>
  <c r="BG97" i="30"/>
  <c r="BC240" i="29"/>
  <c r="AY240" i="29"/>
  <c r="AU240" i="29"/>
  <c r="AQ240" i="29"/>
  <c r="AM240" i="29"/>
  <c r="AI240" i="29"/>
  <c r="AE240" i="29"/>
  <c r="BO240" i="29"/>
  <c r="BB240" i="29"/>
  <c r="AX240" i="29"/>
  <c r="AT240" i="29"/>
  <c r="AP240" i="29"/>
  <c r="AL240" i="29"/>
  <c r="BA240" i="29"/>
  <c r="AW240" i="29"/>
  <c r="AS240" i="29"/>
  <c r="AO240" i="29"/>
  <c r="AK240" i="29"/>
  <c r="AG240" i="29"/>
  <c r="F241" i="29" a="1"/>
  <c r="F241" i="29" s="1"/>
  <c r="AZ240" i="29"/>
  <c r="AV240" i="29"/>
  <c r="AR240" i="29"/>
  <c r="AN240" i="29"/>
  <c r="AJ240" i="29"/>
  <c r="AF240" i="29"/>
  <c r="AH242" i="30" l="1"/>
  <c r="AH194" i="28"/>
  <c r="BG240" i="29"/>
  <c r="BL240" i="29"/>
  <c r="BI240" i="29"/>
  <c r="BD240" i="29"/>
  <c r="BJ240" i="29"/>
  <c r="G79" i="29" a="1"/>
  <c r="G79" i="29" s="1"/>
  <c r="F79" i="29" a="1"/>
  <c r="F79" i="29" s="1"/>
  <c r="F80" i="29" s="1" a="1"/>
  <c r="F80"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BC243" i="30"/>
  <c r="AY243" i="30"/>
  <c r="AU243" i="30"/>
  <c r="AQ243" i="30"/>
  <c r="AM243" i="30"/>
  <c r="AI243" i="30"/>
  <c r="AE243" i="30"/>
  <c r="BO243" i="30"/>
  <c r="BB243" i="30"/>
  <c r="BM243" i="30" s="1"/>
  <c r="AX243" i="30"/>
  <c r="AT243" i="30"/>
  <c r="AP243" i="30"/>
  <c r="AL243" i="30"/>
  <c r="AV243" i="30"/>
  <c r="BG243" i="30" s="1"/>
  <c r="AN243" i="30"/>
  <c r="AF243" i="30"/>
  <c r="AW243" i="30"/>
  <c r="BH243" i="30" s="1"/>
  <c r="AK243" i="30"/>
  <c r="F244" i="30" a="1"/>
  <c r="F244" i="30" s="1"/>
  <c r="AS243" i="30"/>
  <c r="AJ243" i="30"/>
  <c r="BA243" i="30"/>
  <c r="BL243" i="30" s="1"/>
  <c r="AR243" i="30"/>
  <c r="AG243" i="30"/>
  <c r="AZ243" i="30"/>
  <c r="BK243" i="30" s="1"/>
  <c r="AO243" i="30"/>
  <c r="BK240" i="29"/>
  <c r="BM240" i="29"/>
  <c r="BH28" i="29"/>
  <c r="AX28" i="29"/>
  <c r="AH186" i="28"/>
  <c r="AG187" i="28"/>
  <c r="BC241" i="29"/>
  <c r="AY241" i="29"/>
  <c r="BJ241" i="29" s="1"/>
  <c r="AU241" i="29"/>
  <c r="BF241" i="29" s="1"/>
  <c r="AQ241" i="29"/>
  <c r="AM241" i="29"/>
  <c r="AI241" i="29"/>
  <c r="BD241" i="29" s="1"/>
  <c r="AE241" i="29"/>
  <c r="BO241" i="29"/>
  <c r="BB241" i="29"/>
  <c r="BM241" i="29" s="1"/>
  <c r="AX241" i="29"/>
  <c r="BI241" i="29" s="1"/>
  <c r="AT241" i="29"/>
  <c r="BE241" i="29" s="1"/>
  <c r="AP241" i="29"/>
  <c r="AL241" i="29"/>
  <c r="BA241" i="29"/>
  <c r="BL241" i="29" s="1"/>
  <c r="AW241" i="29"/>
  <c r="BH241" i="29" s="1"/>
  <c r="AS241" i="29"/>
  <c r="AO241" i="29"/>
  <c r="AK241" i="29"/>
  <c r="AG241" i="29"/>
  <c r="F242" i="29" a="1"/>
  <c r="F242" i="29" s="1"/>
  <c r="AZ241" i="29"/>
  <c r="BK241" i="29" s="1"/>
  <c r="AV241" i="29"/>
  <c r="BG241" i="29" s="1"/>
  <c r="AR241" i="29"/>
  <c r="AN241" i="29"/>
  <c r="AJ241" i="29"/>
  <c r="AF241" i="29"/>
  <c r="AH98" i="30"/>
  <c r="BH98" i="30"/>
  <c r="BE98" i="30"/>
  <c r="BK98" i="30"/>
  <c r="BF242" i="30"/>
  <c r="AH193" i="28"/>
  <c r="AH240" i="29"/>
  <c r="BH240" i="29"/>
  <c r="BE240" i="29"/>
  <c r="BF240" i="29"/>
  <c r="AN28" i="29"/>
  <c r="F100" i="30" a="1"/>
  <c r="F100" i="30" s="1"/>
  <c r="AZ99" i="30"/>
  <c r="BK99" i="30" s="1"/>
  <c r="AV99" i="30"/>
  <c r="AR99" i="30"/>
  <c r="AN99" i="30"/>
  <c r="AJ99" i="30"/>
  <c r="AF99" i="30"/>
  <c r="BC99" i="30"/>
  <c r="AY99" i="30"/>
  <c r="AU99" i="30"/>
  <c r="BF99" i="30" s="1"/>
  <c r="AQ99" i="30"/>
  <c r="AM99" i="30"/>
  <c r="AI99" i="30"/>
  <c r="BD99" i="30" s="1"/>
  <c r="AE99" i="30"/>
  <c r="BO99" i="30"/>
  <c r="BB99" i="30"/>
  <c r="AX99" i="30"/>
  <c r="AT99" i="30"/>
  <c r="BE99" i="30" s="1"/>
  <c r="AP99" i="30"/>
  <c r="AL99" i="30"/>
  <c r="BA99" i="30"/>
  <c r="BL99" i="30" s="1"/>
  <c r="AW99" i="30"/>
  <c r="BH99" i="30" s="1"/>
  <c r="AS99" i="30"/>
  <c r="AO99" i="30"/>
  <c r="AK99" i="30"/>
  <c r="AG99" i="30"/>
  <c r="BG242" i="30"/>
  <c r="AH192" i="28"/>
  <c r="BG99" i="30" l="1"/>
  <c r="AH243" i="30"/>
  <c r="AH99" i="30"/>
  <c r="BC244" i="30"/>
  <c r="AY244" i="30"/>
  <c r="BJ244" i="30" s="1"/>
  <c r="AU244" i="30"/>
  <c r="BF244" i="30" s="1"/>
  <c r="AQ244" i="30"/>
  <c r="AM244" i="30"/>
  <c r="AI244" i="30"/>
  <c r="BD244" i="30" s="1"/>
  <c r="AE244" i="30"/>
  <c r="BO244" i="30"/>
  <c r="BB244" i="30"/>
  <c r="BM244" i="30" s="1"/>
  <c r="AX244" i="30"/>
  <c r="BI244" i="30" s="1"/>
  <c r="AT244" i="30"/>
  <c r="BE244" i="30" s="1"/>
  <c r="AP244" i="30"/>
  <c r="AL244" i="30"/>
  <c r="AV244" i="30"/>
  <c r="AN244" i="30"/>
  <c r="AF244" i="30"/>
  <c r="F245" i="30" a="1"/>
  <c r="F245" i="30" s="1"/>
  <c r="AZ244" i="30"/>
  <c r="BK244" i="30" s="1"/>
  <c r="AR244" i="30"/>
  <c r="AJ244" i="30"/>
  <c r="AS244" i="30"/>
  <c r="AO244" i="30"/>
  <c r="BA244" i="30"/>
  <c r="BL244" i="30" s="1"/>
  <c r="AK244" i="30"/>
  <c r="AW244" i="30"/>
  <c r="BH244" i="30" s="1"/>
  <c r="AG244" i="30"/>
  <c r="BE243" i="30"/>
  <c r="BF243" i="30"/>
  <c r="BA80" i="29"/>
  <c r="AW80" i="29"/>
  <c r="AS80" i="29"/>
  <c r="AO80" i="29"/>
  <c r="AK80" i="29"/>
  <c r="AG80" i="29"/>
  <c r="F81" i="29" a="1"/>
  <c r="F81" i="29" s="1"/>
  <c r="AZ80" i="29"/>
  <c r="AV80" i="29"/>
  <c r="AR80" i="29"/>
  <c r="AN80" i="29"/>
  <c r="AJ80" i="29"/>
  <c r="AF80" i="29"/>
  <c r="BC80" i="29"/>
  <c r="AY80" i="29"/>
  <c r="AU80" i="29"/>
  <c r="AQ80" i="29"/>
  <c r="AM80" i="29"/>
  <c r="AI80" i="29"/>
  <c r="AE80" i="29"/>
  <c r="BO80" i="29"/>
  <c r="BB80" i="29"/>
  <c r="AX80" i="29"/>
  <c r="AT80" i="29"/>
  <c r="AP80" i="29"/>
  <c r="AL80" i="29"/>
  <c r="BI99" i="30"/>
  <c r="BJ99" i="30"/>
  <c r="F101" i="30" a="1"/>
  <c r="F101" i="30" s="1"/>
  <c r="AZ100" i="30"/>
  <c r="AV100" i="30"/>
  <c r="BG100" i="30" s="1"/>
  <c r="AR100" i="30"/>
  <c r="AN100" i="30"/>
  <c r="AJ100" i="30"/>
  <c r="AF100" i="30"/>
  <c r="BC100" i="30"/>
  <c r="AY100" i="30"/>
  <c r="BJ100" i="30" s="1"/>
  <c r="AU100" i="30"/>
  <c r="BF100" i="30" s="1"/>
  <c r="AQ100" i="30"/>
  <c r="AM100" i="30"/>
  <c r="AI100" i="30"/>
  <c r="BD100" i="30" s="1"/>
  <c r="AE100" i="30"/>
  <c r="BO100" i="30"/>
  <c r="BB100" i="30"/>
  <c r="BM100" i="30" s="1"/>
  <c r="AX100" i="30"/>
  <c r="BI100" i="30" s="1"/>
  <c r="AT100" i="30"/>
  <c r="BE100" i="30" s="1"/>
  <c r="AP100" i="30"/>
  <c r="AL100" i="30"/>
  <c r="BA100" i="30"/>
  <c r="BL100" i="30" s="1"/>
  <c r="AW100" i="30"/>
  <c r="BH100" i="30" s="1"/>
  <c r="AS100" i="30"/>
  <c r="AO100" i="30"/>
  <c r="AK100" i="30"/>
  <c r="AG100" i="30"/>
  <c r="BC242" i="29"/>
  <c r="AY242" i="29"/>
  <c r="BJ242" i="29" s="1"/>
  <c r="AU242" i="29"/>
  <c r="AQ242" i="29"/>
  <c r="AM242" i="29"/>
  <c r="AI242" i="29"/>
  <c r="BD242" i="29" s="1"/>
  <c r="AE242" i="29"/>
  <c r="BO242" i="29"/>
  <c r="BB242" i="29"/>
  <c r="BM242" i="29" s="1"/>
  <c r="AX242" i="29"/>
  <c r="BI242" i="29" s="1"/>
  <c r="AT242" i="29"/>
  <c r="AP242" i="29"/>
  <c r="AL242" i="29"/>
  <c r="BA242" i="29"/>
  <c r="BL242" i="29" s="1"/>
  <c r="AW242" i="29"/>
  <c r="BH242" i="29" s="1"/>
  <c r="AS242" i="29"/>
  <c r="AO242" i="29"/>
  <c r="AK242" i="29"/>
  <c r="AG242" i="29"/>
  <c r="F243" i="29" a="1"/>
  <c r="F243" i="29" s="1"/>
  <c r="AZ242" i="29"/>
  <c r="BK242" i="29" s="1"/>
  <c r="AV242" i="29"/>
  <c r="AR242" i="29"/>
  <c r="AN242" i="29"/>
  <c r="AJ242" i="29"/>
  <c r="AF242" i="29"/>
  <c r="BI28" i="29"/>
  <c r="AY28" i="29"/>
  <c r="BI243" i="30"/>
  <c r="BD243" i="30"/>
  <c r="BJ243" i="30"/>
  <c r="BM99" i="30"/>
  <c r="AO28" i="29"/>
  <c r="AH241" i="29"/>
  <c r="AH187" i="28"/>
  <c r="AG195" i="28"/>
  <c r="AH195" i="28" s="1"/>
  <c r="AH190" i="28" s="1"/>
  <c r="AH244" i="30" l="1"/>
  <c r="AH100" i="30"/>
  <c r="BG242" i="29"/>
  <c r="F102" i="30" a="1"/>
  <c r="F102" i="30" s="1"/>
  <c r="AZ101" i="30"/>
  <c r="BK101" i="30" s="1"/>
  <c r="AV101" i="30"/>
  <c r="BG101" i="30" s="1"/>
  <c r="AR101" i="30"/>
  <c r="AN101" i="30"/>
  <c r="AJ101" i="30"/>
  <c r="AF101" i="30"/>
  <c r="BC101" i="30"/>
  <c r="AY101" i="30"/>
  <c r="BJ101" i="30" s="1"/>
  <c r="AU101" i="30"/>
  <c r="BF101" i="30" s="1"/>
  <c r="AQ101" i="30"/>
  <c r="AM101" i="30"/>
  <c r="AI101" i="30"/>
  <c r="BD101" i="30" s="1"/>
  <c r="AE101" i="30"/>
  <c r="BO101" i="30"/>
  <c r="BB101" i="30"/>
  <c r="AX101" i="30"/>
  <c r="BI101" i="30" s="1"/>
  <c r="AT101" i="30"/>
  <c r="BE101" i="30" s="1"/>
  <c r="AP101" i="30"/>
  <c r="AL101" i="30"/>
  <c r="BA101" i="30"/>
  <c r="BL101" i="30" s="1"/>
  <c r="AW101" i="30"/>
  <c r="BH101" i="30" s="1"/>
  <c r="AS101" i="30"/>
  <c r="AO101" i="30"/>
  <c r="AK101" i="30"/>
  <c r="AG101" i="30"/>
  <c r="BE80" i="29"/>
  <c r="BF80" i="29"/>
  <c r="BK80" i="29"/>
  <c r="BG244" i="30"/>
  <c r="BC243" i="29"/>
  <c r="AY243" i="29"/>
  <c r="AU243" i="29"/>
  <c r="BF243" i="29" s="1"/>
  <c r="AQ243" i="29"/>
  <c r="AM243" i="29"/>
  <c r="AI243" i="29"/>
  <c r="AE243" i="29"/>
  <c r="BO243" i="29"/>
  <c r="BB243" i="29"/>
  <c r="BM243" i="29" s="1"/>
  <c r="AX243" i="29"/>
  <c r="AT243" i="29"/>
  <c r="BE243" i="29" s="1"/>
  <c r="AP243" i="29"/>
  <c r="AL243" i="29"/>
  <c r="BA243" i="29"/>
  <c r="BL243" i="29" s="1"/>
  <c r="AW243" i="29"/>
  <c r="BH243" i="29" s="1"/>
  <c r="AS243" i="29"/>
  <c r="AO243" i="29"/>
  <c r="AK243" i="29"/>
  <c r="AG243" i="29"/>
  <c r="F244" i="29" a="1"/>
  <c r="F244" i="29" s="1"/>
  <c r="AZ243" i="29"/>
  <c r="AV243" i="29"/>
  <c r="BG243" i="29" s="1"/>
  <c r="AR243" i="29"/>
  <c r="AN243" i="29"/>
  <c r="AJ243" i="29"/>
  <c r="AF243" i="29"/>
  <c r="BI80" i="29"/>
  <c r="BD80" i="29"/>
  <c r="BJ80" i="29"/>
  <c r="BA81" i="29"/>
  <c r="BL81" i="29" s="1"/>
  <c r="AW81" i="29"/>
  <c r="BH81" i="29" s="1"/>
  <c r="AS81" i="29"/>
  <c r="AO81" i="29"/>
  <c r="AK81" i="29"/>
  <c r="AG81" i="29"/>
  <c r="F82" i="29" a="1"/>
  <c r="F82" i="29" s="1"/>
  <c r="AZ81" i="29"/>
  <c r="BK81" i="29" s="1"/>
  <c r="AV81" i="29"/>
  <c r="BG81" i="29" s="1"/>
  <c r="AR81" i="29"/>
  <c r="AN81" i="29"/>
  <c r="AJ81" i="29"/>
  <c r="AF81" i="29"/>
  <c r="BC81" i="29"/>
  <c r="AY81" i="29"/>
  <c r="BJ81" i="29" s="1"/>
  <c r="AU81" i="29"/>
  <c r="BF81" i="29" s="1"/>
  <c r="AQ81" i="29"/>
  <c r="AM81" i="29"/>
  <c r="AI81" i="29"/>
  <c r="BD81" i="29" s="1"/>
  <c r="AE81" i="29"/>
  <c r="BO81" i="29"/>
  <c r="BB81" i="29"/>
  <c r="BM81" i="29" s="1"/>
  <c r="AX81" i="29"/>
  <c r="BI81" i="29" s="1"/>
  <c r="AT81" i="29"/>
  <c r="BE81" i="29" s="1"/>
  <c r="AP81" i="29"/>
  <c r="AL81" i="29"/>
  <c r="BC245" i="30"/>
  <c r="AY245" i="30"/>
  <c r="AU245" i="30"/>
  <c r="BF245" i="30" s="1"/>
  <c r="AQ245" i="30"/>
  <c r="AM245" i="30"/>
  <c r="AI245" i="30"/>
  <c r="AE245" i="30"/>
  <c r="BO245" i="30"/>
  <c r="BB245" i="30"/>
  <c r="BM245" i="30" s="1"/>
  <c r="AX245" i="30"/>
  <c r="BI245" i="30" s="1"/>
  <c r="AT245" i="30"/>
  <c r="BE245" i="30" s="1"/>
  <c r="AP245" i="30"/>
  <c r="AL245" i="30"/>
  <c r="AV245" i="30"/>
  <c r="BG245" i="30" s="1"/>
  <c r="AN245" i="30"/>
  <c r="AF245" i="30"/>
  <c r="F246" i="30" a="1"/>
  <c r="F246" i="30" s="1"/>
  <c r="AZ245" i="30"/>
  <c r="BK245" i="30" s="1"/>
  <c r="AR245" i="30"/>
  <c r="AJ245" i="30"/>
  <c r="BA245" i="30"/>
  <c r="BL245" i="30" s="1"/>
  <c r="AK245" i="30"/>
  <c r="AW245" i="30"/>
  <c r="BH245" i="30" s="1"/>
  <c r="AG245" i="30"/>
  <c r="AH245" i="30" s="1"/>
  <c r="AS245" i="30"/>
  <c r="AO245" i="30"/>
  <c r="AP28" i="29"/>
  <c r="AZ28" i="29"/>
  <c r="BJ28" i="29"/>
  <c r="AH242" i="29"/>
  <c r="BE242" i="29"/>
  <c r="BF242" i="29"/>
  <c r="BM80" i="29"/>
  <c r="AH80" i="29"/>
  <c r="BH80" i="29"/>
  <c r="BK100" i="30"/>
  <c r="BG80" i="29"/>
  <c r="BL80" i="29"/>
  <c r="AH101" i="30" l="1"/>
  <c r="BD245" i="30"/>
  <c r="BJ245" i="30"/>
  <c r="BI243" i="29"/>
  <c r="BD243" i="29"/>
  <c r="BJ243" i="29"/>
  <c r="BM101" i="30"/>
  <c r="BC246" i="30"/>
  <c r="BC236" i="30" s="1"/>
  <c r="AY246" i="30"/>
  <c r="BJ246" i="30" s="1"/>
  <c r="AU246" i="30"/>
  <c r="AQ246" i="30"/>
  <c r="AQ236" i="30" s="1"/>
  <c r="AM246" i="30"/>
  <c r="AM236" i="30" s="1"/>
  <c r="AI246" i="30"/>
  <c r="BD246" i="30" s="1"/>
  <c r="AE246" i="30"/>
  <c r="AE236" i="30" s="1"/>
  <c r="BO246" i="30"/>
  <c r="BB246" i="30"/>
  <c r="AX246" i="30"/>
  <c r="AT246" i="30"/>
  <c r="AP246" i="30"/>
  <c r="AP236" i="30" s="1"/>
  <c r="AL246" i="30"/>
  <c r="AL236" i="30" s="1"/>
  <c r="AV246" i="30"/>
  <c r="AN246" i="30"/>
  <c r="AN236" i="30" s="1"/>
  <c r="AF246" i="30"/>
  <c r="AF236" i="30" s="1"/>
  <c r="F247" i="30" a="1"/>
  <c r="F247" i="30" s="1"/>
  <c r="F248" i="30" s="1" a="1"/>
  <c r="F248" i="30" s="1"/>
  <c r="AZ246" i="30"/>
  <c r="AR246" i="30"/>
  <c r="AR236" i="30" s="1"/>
  <c r="AJ246" i="30"/>
  <c r="AJ236" i="30" s="1"/>
  <c r="AS246" i="30"/>
  <c r="AS236" i="30" s="1"/>
  <c r="AO246" i="30"/>
  <c r="AO236" i="30" s="1"/>
  <c r="BA246" i="30"/>
  <c r="AK246" i="30"/>
  <c r="AK236" i="30" s="1"/>
  <c r="AW246" i="30"/>
  <c r="AG246" i="30"/>
  <c r="BK243" i="29"/>
  <c r="BA28" i="29"/>
  <c r="BK28" i="29"/>
  <c r="AQ28" i="29"/>
  <c r="BA82" i="29"/>
  <c r="AW82" i="29"/>
  <c r="AS82" i="29"/>
  <c r="AO82" i="29"/>
  <c r="AK82" i="29"/>
  <c r="AG82" i="29"/>
  <c r="F83" i="29" a="1"/>
  <c r="F83" i="29" s="1"/>
  <c r="AZ82" i="29"/>
  <c r="BK82" i="29" s="1"/>
  <c r="AV82" i="29"/>
  <c r="AR82" i="29"/>
  <c r="AN82" i="29"/>
  <c r="AJ82" i="29"/>
  <c r="AF82" i="29"/>
  <c r="BC82" i="29"/>
  <c r="AY82" i="29"/>
  <c r="BJ82" i="29" s="1"/>
  <c r="AU82" i="29"/>
  <c r="BF82" i="29" s="1"/>
  <c r="AQ82" i="29"/>
  <c r="AM82" i="29"/>
  <c r="AI82" i="29"/>
  <c r="BD82" i="29" s="1"/>
  <c r="AE82" i="29"/>
  <c r="BO82" i="29"/>
  <c r="BB82" i="29"/>
  <c r="AX82" i="29"/>
  <c r="BI82" i="29" s="1"/>
  <c r="AT82" i="29"/>
  <c r="BE82" i="29" s="1"/>
  <c r="AP82" i="29"/>
  <c r="AL82" i="29"/>
  <c r="BC244" i="29"/>
  <c r="AY244" i="29"/>
  <c r="BJ244" i="29" s="1"/>
  <c r="AU244" i="29"/>
  <c r="AQ244" i="29"/>
  <c r="AM244" i="29"/>
  <c r="AI244" i="29"/>
  <c r="BD244" i="29" s="1"/>
  <c r="AE244" i="29"/>
  <c r="BO244" i="29"/>
  <c r="BB244" i="29"/>
  <c r="BM244" i="29" s="1"/>
  <c r="AX244" i="29"/>
  <c r="BI244" i="29" s="1"/>
  <c r="AT244" i="29"/>
  <c r="AP244" i="29"/>
  <c r="AL244" i="29"/>
  <c r="BA244" i="29"/>
  <c r="BL244" i="29" s="1"/>
  <c r="AW244" i="29"/>
  <c r="BH244" i="29" s="1"/>
  <c r="AS244" i="29"/>
  <c r="AO244" i="29"/>
  <c r="AK244" i="29"/>
  <c r="AG244" i="29"/>
  <c r="F245" i="29" a="1"/>
  <c r="F245" i="29" s="1"/>
  <c r="AZ244" i="29"/>
  <c r="BK244" i="29" s="1"/>
  <c r="AV244" i="29"/>
  <c r="BG244" i="29" s="1"/>
  <c r="AR244" i="29"/>
  <c r="AN244" i="29"/>
  <c r="AJ244" i="29"/>
  <c r="AF244" i="29"/>
  <c r="AH81" i="29"/>
  <c r="AH243" i="29"/>
  <c r="F103" i="30" a="1"/>
  <c r="F103" i="30" s="1"/>
  <c r="F104" i="30" s="1" a="1"/>
  <c r="F104" i="30" s="1"/>
  <c r="AZ102" i="30"/>
  <c r="AV102" i="30"/>
  <c r="AR102" i="30"/>
  <c r="AR92" i="30" s="1"/>
  <c r="AN102" i="30"/>
  <c r="AN92" i="30" s="1"/>
  <c r="AJ102" i="30"/>
  <c r="AJ92" i="30" s="1"/>
  <c r="AF102" i="30"/>
  <c r="AF92" i="30" s="1"/>
  <c r="BC102" i="30"/>
  <c r="BC92" i="30" s="1"/>
  <c r="AY102" i="30"/>
  <c r="AU102" i="30"/>
  <c r="AQ102" i="30"/>
  <c r="AQ92" i="30" s="1"/>
  <c r="AM102" i="30"/>
  <c r="AM92" i="30" s="1"/>
  <c r="AI102" i="30"/>
  <c r="AE102" i="30"/>
  <c r="AE92" i="30" s="1"/>
  <c r="BO102" i="30"/>
  <c r="BB102" i="30"/>
  <c r="BM102" i="30" s="1"/>
  <c r="AX102" i="30"/>
  <c r="AT102" i="30"/>
  <c r="AP102" i="30"/>
  <c r="AP92" i="30" s="1"/>
  <c r="AL102" i="30"/>
  <c r="AL92" i="30" s="1"/>
  <c r="BA102" i="30"/>
  <c r="AW102" i="30"/>
  <c r="AS102" i="30"/>
  <c r="AS92" i="30" s="1"/>
  <c r="AO102" i="30"/>
  <c r="AO92" i="30" s="1"/>
  <c r="AK102" i="30"/>
  <c r="AK92" i="30" s="1"/>
  <c r="AG102" i="30"/>
  <c r="AH244" i="29" l="1"/>
  <c r="BE244" i="29"/>
  <c r="BF244" i="29"/>
  <c r="BM82" i="29"/>
  <c r="AH82" i="29"/>
  <c r="BH82" i="29"/>
  <c r="BL246" i="30"/>
  <c r="BA236" i="30"/>
  <c r="BE246" i="30"/>
  <c r="AT236" i="30"/>
  <c r="BF246" i="30"/>
  <c r="AU236" i="30"/>
  <c r="AY236" i="30"/>
  <c r="BG102" i="30"/>
  <c r="AV92" i="30"/>
  <c r="BG82" i="29"/>
  <c r="BL82" i="29"/>
  <c r="BL28" i="29"/>
  <c r="BB28" i="29"/>
  <c r="AH246" i="30"/>
  <c r="AG236" i="30"/>
  <c r="BK246" i="30"/>
  <c r="AZ236" i="30"/>
  <c r="BG246" i="30"/>
  <c r="AV236" i="30"/>
  <c r="BI246" i="30"/>
  <c r="AX236" i="30"/>
  <c r="AH102" i="30"/>
  <c r="AG92" i="30"/>
  <c r="BE102" i="30"/>
  <c r="AT92" i="30"/>
  <c r="BF102" i="30"/>
  <c r="AU92" i="30"/>
  <c r="BK102" i="30"/>
  <c r="AZ92" i="30"/>
  <c r="AR28" i="29"/>
  <c r="BH246" i="30"/>
  <c r="AW236" i="30"/>
  <c r="AZ248" i="30"/>
  <c r="BK248" i="30" s="1"/>
  <c r="AV248" i="30"/>
  <c r="BG248" i="30" s="1"/>
  <c r="AR248" i="30"/>
  <c r="AN248" i="30"/>
  <c r="AJ248" i="30"/>
  <c r="AF248" i="30"/>
  <c r="BC248" i="30"/>
  <c r="AY248" i="30"/>
  <c r="BJ248" i="30" s="1"/>
  <c r="AU248" i="30"/>
  <c r="BF248" i="30" s="1"/>
  <c r="AQ248" i="30"/>
  <c r="AM248" i="30"/>
  <c r="AI248" i="30"/>
  <c r="BD248" i="30" s="1"/>
  <c r="AE248" i="30"/>
  <c r="AE222" i="30" s="1"/>
  <c r="F249" i="30" a="1"/>
  <c r="F249" i="30" s="1"/>
  <c r="F250" i="30" s="1" a="1"/>
  <c r="F250" i="30" s="1"/>
  <c r="BB248" i="30"/>
  <c r="BM248" i="30" s="1"/>
  <c r="AT248" i="30"/>
  <c r="BE248" i="30" s="1"/>
  <c r="AL248" i="30"/>
  <c r="BO248" i="30"/>
  <c r="AX248" i="30"/>
  <c r="BI248" i="30" s="1"/>
  <c r="AP248" i="30"/>
  <c r="BA248" i="30"/>
  <c r="BL248" i="30" s="1"/>
  <c r="AK248" i="30"/>
  <c r="AW248" i="30"/>
  <c r="BH248" i="30" s="1"/>
  <c r="AG248" i="30"/>
  <c r="AS248" i="30"/>
  <c r="AO248" i="30"/>
  <c r="BM246" i="30"/>
  <c r="BB236" i="30"/>
  <c r="AI236" i="30"/>
  <c r="BH102" i="30"/>
  <c r="AW92" i="30"/>
  <c r="BL102" i="30"/>
  <c r="BA92" i="30"/>
  <c r="BI102" i="30"/>
  <c r="AX92" i="30"/>
  <c r="BD102" i="30"/>
  <c r="AI92" i="30"/>
  <c r="BJ102" i="30"/>
  <c r="AY92" i="30"/>
  <c r="F105" i="30" a="1"/>
  <c r="F105" i="30" s="1"/>
  <c r="F106" i="30" s="1" a="1"/>
  <c r="F106" i="30" s="1"/>
  <c r="BA104" i="30"/>
  <c r="BL104" i="30" s="1"/>
  <c r="AW104" i="30"/>
  <c r="BH104" i="30" s="1"/>
  <c r="AS104" i="30"/>
  <c r="AO104" i="30"/>
  <c r="AK104" i="30"/>
  <c r="AG104" i="30"/>
  <c r="AZ104" i="30"/>
  <c r="BK104" i="30" s="1"/>
  <c r="AV104" i="30"/>
  <c r="BG104" i="30" s="1"/>
  <c r="AR104" i="30"/>
  <c r="AN104" i="30"/>
  <c r="AJ104" i="30"/>
  <c r="AF104" i="30"/>
  <c r="AF78" i="30" s="1"/>
  <c r="BC104" i="30"/>
  <c r="AY104" i="30"/>
  <c r="BJ104" i="30" s="1"/>
  <c r="AU104" i="30"/>
  <c r="BF104" i="30" s="1"/>
  <c r="AQ104" i="30"/>
  <c r="AM104" i="30"/>
  <c r="AI104" i="30"/>
  <c r="BD104" i="30" s="1"/>
  <c r="AE104" i="30"/>
  <c r="AE78" i="30" s="1"/>
  <c r="BO104" i="30"/>
  <c r="BB104" i="30"/>
  <c r="BM104" i="30" s="1"/>
  <c r="AX104" i="30"/>
  <c r="BI104" i="30" s="1"/>
  <c r="AT104" i="30"/>
  <c r="BE104" i="30" s="1"/>
  <c r="AP104" i="30"/>
  <c r="AL104" i="30"/>
  <c r="BC245" i="29"/>
  <c r="AY245" i="29"/>
  <c r="BJ245" i="29" s="1"/>
  <c r="AU245" i="29"/>
  <c r="BF245" i="29" s="1"/>
  <c r="AQ245" i="29"/>
  <c r="AM245" i="29"/>
  <c r="AI245" i="29"/>
  <c r="BD245" i="29" s="1"/>
  <c r="AE245" i="29"/>
  <c r="BO245" i="29"/>
  <c r="BB245" i="29"/>
  <c r="BM245" i="29" s="1"/>
  <c r="AX245" i="29"/>
  <c r="BI245" i="29" s="1"/>
  <c r="AT245" i="29"/>
  <c r="BE245" i="29" s="1"/>
  <c r="AP245" i="29"/>
  <c r="AL245" i="29"/>
  <c r="BA245" i="29"/>
  <c r="BL245" i="29" s="1"/>
  <c r="AW245" i="29"/>
  <c r="BH245" i="29" s="1"/>
  <c r="AS245" i="29"/>
  <c r="AO245" i="29"/>
  <c r="AK245" i="29"/>
  <c r="AG245" i="29"/>
  <c r="F246" i="29" a="1"/>
  <c r="F246" i="29" s="1"/>
  <c r="AZ245" i="29"/>
  <c r="BK245" i="29" s="1"/>
  <c r="AV245" i="29"/>
  <c r="BG245" i="29" s="1"/>
  <c r="AR245" i="29"/>
  <c r="AN245" i="29"/>
  <c r="AJ245" i="29"/>
  <c r="AF245" i="29"/>
  <c r="BA83" i="29"/>
  <c r="BL83" i="29" s="1"/>
  <c r="AW83" i="29"/>
  <c r="BH83" i="29" s="1"/>
  <c r="AS83" i="29"/>
  <c r="AO83" i="29"/>
  <c r="AK83" i="29"/>
  <c r="AG83" i="29"/>
  <c r="F84" i="29" a="1"/>
  <c r="F84" i="29" s="1"/>
  <c r="AZ83" i="29"/>
  <c r="AV83" i="29"/>
  <c r="BG83" i="29" s="1"/>
  <c r="AR83" i="29"/>
  <c r="AN83" i="29"/>
  <c r="AJ83" i="29"/>
  <c r="AF83" i="29"/>
  <c r="BC83" i="29"/>
  <c r="AY83" i="29"/>
  <c r="AU83" i="29"/>
  <c r="AQ83" i="29"/>
  <c r="AM83" i="29"/>
  <c r="AI83" i="29"/>
  <c r="BD83" i="29" s="1"/>
  <c r="AE83" i="29"/>
  <c r="BO83" i="29"/>
  <c r="BB83" i="29"/>
  <c r="BM83" i="29" s="1"/>
  <c r="AX83" i="29"/>
  <c r="AT83" i="29"/>
  <c r="BE83" i="29" s="1"/>
  <c r="AP83" i="29"/>
  <c r="AL83" i="29"/>
  <c r="AF222" i="30"/>
  <c r="BB92" i="30"/>
  <c r="AH248" i="30" l="1"/>
  <c r="BI83" i="29"/>
  <c r="BJ83" i="29"/>
  <c r="BA84" i="29"/>
  <c r="BL84" i="29" s="1"/>
  <c r="AW84" i="29"/>
  <c r="BH84" i="29" s="1"/>
  <c r="AS84" i="29"/>
  <c r="AO84" i="29"/>
  <c r="AK84" i="29"/>
  <c r="AG84" i="29"/>
  <c r="F85" i="29" a="1"/>
  <c r="F85" i="29" s="1"/>
  <c r="F86" i="29" s="1" a="1"/>
  <c r="F86" i="29" s="1"/>
  <c r="F87" i="29" s="1" a="1"/>
  <c r="F87" i="29" s="1"/>
  <c r="AZ84" i="29"/>
  <c r="BK84" i="29" s="1"/>
  <c r="AV84" i="29"/>
  <c r="BG84" i="29" s="1"/>
  <c r="AR84" i="29"/>
  <c r="AN84" i="29"/>
  <c r="AJ84" i="29"/>
  <c r="AF84" i="29"/>
  <c r="BC84" i="29"/>
  <c r="AY84" i="29"/>
  <c r="BJ84" i="29" s="1"/>
  <c r="AU84" i="29"/>
  <c r="BF84" i="29" s="1"/>
  <c r="AQ84" i="29"/>
  <c r="AM84" i="29"/>
  <c r="AI84" i="29"/>
  <c r="AE84" i="29"/>
  <c r="BO84" i="29"/>
  <c r="BB84" i="29"/>
  <c r="BM84" i="29" s="1"/>
  <c r="AX84" i="29"/>
  <c r="BI84" i="29" s="1"/>
  <c r="AT84" i="29"/>
  <c r="BE84" i="29" s="1"/>
  <c r="AP84" i="29"/>
  <c r="AL84" i="29"/>
  <c r="AH104" i="30"/>
  <c r="BJ92" i="30"/>
  <c r="BI92" i="30"/>
  <c r="BM236" i="30"/>
  <c r="AS28" i="29"/>
  <c r="BI236" i="30"/>
  <c r="BK236" i="30"/>
  <c r="BG92" i="30"/>
  <c r="AH83" i="29"/>
  <c r="BC246" i="29"/>
  <c r="BC236" i="29" s="1"/>
  <c r="AY246" i="29"/>
  <c r="AU246" i="29"/>
  <c r="AQ246" i="29"/>
  <c r="AQ236" i="29" s="1"/>
  <c r="AM246" i="29"/>
  <c r="AM236" i="29" s="1"/>
  <c r="AI246" i="29"/>
  <c r="AE246" i="29"/>
  <c r="AE236" i="29" s="1"/>
  <c r="BO246" i="29"/>
  <c r="BB246" i="29"/>
  <c r="AX246" i="29"/>
  <c r="AT246" i="29"/>
  <c r="AP246" i="29"/>
  <c r="AP236" i="29" s="1"/>
  <c r="AL246" i="29"/>
  <c r="AL236" i="29" s="1"/>
  <c r="BA246" i="29"/>
  <c r="AW246" i="29"/>
  <c r="AS246" i="29"/>
  <c r="AS236" i="29" s="1"/>
  <c r="AO246" i="29"/>
  <c r="AO236" i="29" s="1"/>
  <c r="AK246" i="29"/>
  <c r="AK236" i="29" s="1"/>
  <c r="AG246" i="29"/>
  <c r="F247" i="29" a="1"/>
  <c r="F247" i="29" s="1"/>
  <c r="F248" i="29" s="1" a="1"/>
  <c r="F248" i="29" s="1"/>
  <c r="AZ246" i="29"/>
  <c r="AV246" i="29"/>
  <c r="AR246" i="29"/>
  <c r="AR236" i="29" s="1"/>
  <c r="AN246" i="29"/>
  <c r="AN236" i="29" s="1"/>
  <c r="AJ246" i="29"/>
  <c r="AJ236" i="29" s="1"/>
  <c r="AF246" i="29"/>
  <c r="AF236" i="29" s="1"/>
  <c r="BD236" i="30"/>
  <c r="AI222" i="30"/>
  <c r="BF92" i="30"/>
  <c r="AH92" i="30"/>
  <c r="AG78" i="30"/>
  <c r="BM28" i="29"/>
  <c r="BC28" i="29"/>
  <c r="BM92" i="30"/>
  <c r="AH245" i="29"/>
  <c r="F107" i="30" a="1"/>
  <c r="F107" i="30" s="1"/>
  <c r="BO106" i="30"/>
  <c r="BD92" i="30"/>
  <c r="AI78" i="30"/>
  <c r="BL92" i="30"/>
  <c r="BH92" i="30"/>
  <c r="BH236" i="30"/>
  <c r="BK92" i="30"/>
  <c r="BG236" i="30"/>
  <c r="BJ236" i="30"/>
  <c r="BE236" i="30"/>
  <c r="BL236" i="30"/>
  <c r="BF83" i="29"/>
  <c r="BK83" i="29"/>
  <c r="BO250" i="30"/>
  <c r="F251" i="30" a="1"/>
  <c r="F251" i="30" s="1"/>
  <c r="BE92" i="30"/>
  <c r="AH236" i="30"/>
  <c r="AG222" i="30"/>
  <c r="BF236" i="30"/>
  <c r="F252" i="30" l="1"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BB251" i="30"/>
  <c r="AX251" i="30"/>
  <c r="AT251" i="30"/>
  <c r="AP251" i="30"/>
  <c r="AP222" i="30" s="1"/>
  <c r="AL251" i="30"/>
  <c r="AL222" i="30" s="1"/>
  <c r="AV251" i="30"/>
  <c r="AN251" i="30"/>
  <c r="AN222" i="30" s="1"/>
  <c r="AZ251" i="30"/>
  <c r="AR251" i="30"/>
  <c r="AR222" i="30" s="1"/>
  <c r="AJ251" i="30"/>
  <c r="AJ222" i="30" s="1"/>
  <c r="BA251" i="30"/>
  <c r="AK251" i="30"/>
  <c r="AK222" i="30" s="1"/>
  <c r="AW251" i="30"/>
  <c r="AS251" i="30"/>
  <c r="AS222" i="30" s="1"/>
  <c r="AO251" i="30"/>
  <c r="AO222" i="30" s="1"/>
  <c r="BK246" i="29"/>
  <c r="AZ236" i="29"/>
  <c r="BM246" i="29"/>
  <c r="BB236" i="29"/>
  <c r="AH84" i="29"/>
  <c r="AH78" i="30"/>
  <c r="AZ248" i="29"/>
  <c r="BK248" i="29" s="1"/>
  <c r="AV248" i="29"/>
  <c r="BG248" i="29" s="1"/>
  <c r="AR248" i="29"/>
  <c r="AN248" i="29"/>
  <c r="AJ248" i="29"/>
  <c r="AF248" i="29"/>
  <c r="BC248" i="29"/>
  <c r="AY248" i="29"/>
  <c r="BJ248" i="29" s="1"/>
  <c r="AU248" i="29"/>
  <c r="BF248" i="29" s="1"/>
  <c r="AQ248" i="29"/>
  <c r="AM248" i="29"/>
  <c r="AI248" i="29"/>
  <c r="BD248" i="29" s="1"/>
  <c r="AE248" i="29"/>
  <c r="BO248" i="29"/>
  <c r="BB248" i="29"/>
  <c r="BM248" i="29" s="1"/>
  <c r="AX248" i="29"/>
  <c r="BI248" i="29" s="1"/>
  <c r="AT248" i="29"/>
  <c r="BE248" i="29" s="1"/>
  <c r="AP248" i="29"/>
  <c r="AL248" i="29"/>
  <c r="F249" i="29" a="1"/>
  <c r="F249" i="29" s="1"/>
  <c r="F250" i="29" s="1" a="1"/>
  <c r="F250" i="29" s="1"/>
  <c r="BA248" i="29"/>
  <c r="BL248" i="29" s="1"/>
  <c r="AW248" i="29"/>
  <c r="BH248" i="29" s="1"/>
  <c r="AS248" i="29"/>
  <c r="AO248" i="29"/>
  <c r="AK248" i="29"/>
  <c r="AG248" i="29"/>
  <c r="AH248" i="29" s="1"/>
  <c r="AH246" i="29"/>
  <c r="AG236" i="29"/>
  <c r="BH246" i="29"/>
  <c r="AW236" i="29"/>
  <c r="BE246" i="29"/>
  <c r="AT236" i="29"/>
  <c r="BF246" i="29"/>
  <c r="AU236" i="29"/>
  <c r="AZ107" i="30"/>
  <c r="AV107" i="30"/>
  <c r="AR107" i="30"/>
  <c r="AR78" i="30" s="1"/>
  <c r="AN107" i="30"/>
  <c r="AN78" i="30" s="1"/>
  <c r="AJ107" i="30"/>
  <c r="AJ78" i="30" s="1"/>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BB107" i="30"/>
  <c r="AX107" i="30"/>
  <c r="AT107" i="30"/>
  <c r="AP107" i="30"/>
  <c r="AP78" i="30" s="1"/>
  <c r="AL107" i="30"/>
  <c r="AL78" i="30" s="1"/>
  <c r="BA107" i="30"/>
  <c r="AW107" i="30"/>
  <c r="AS107" i="30"/>
  <c r="AS78" i="30" s="1"/>
  <c r="AO107" i="30"/>
  <c r="AO78" i="30" s="1"/>
  <c r="AK107" i="30"/>
  <c r="AK78" i="30" s="1"/>
  <c r="AH222" i="30"/>
  <c r="BD78" i="30"/>
  <c r="BG246" i="29"/>
  <c r="AV236" i="29"/>
  <c r="BL246" i="29"/>
  <c r="BA236" i="29"/>
  <c r="BI246" i="29"/>
  <c r="AX236" i="29"/>
  <c r="BD246" i="29"/>
  <c r="AI236" i="29"/>
  <c r="BJ246" i="29"/>
  <c r="AY236" i="29"/>
  <c r="BD84" i="29"/>
  <c r="BC87" i="29"/>
  <c r="AY87" i="29"/>
  <c r="BJ87" i="29" s="1"/>
  <c r="AU87" i="29"/>
  <c r="AQ87" i="29"/>
  <c r="AM87" i="29"/>
  <c r="AI87" i="29"/>
  <c r="BD87" i="29" s="1"/>
  <c r="AE87" i="29"/>
  <c r="BO87" i="29"/>
  <c r="BB87" i="29"/>
  <c r="AX87" i="29"/>
  <c r="BI87" i="29" s="1"/>
  <c r="AT87" i="29"/>
  <c r="AP87" i="29"/>
  <c r="AL87" i="29"/>
  <c r="BA87" i="29"/>
  <c r="AW87" i="29"/>
  <c r="AS87" i="29"/>
  <c r="AO87" i="29"/>
  <c r="AK87" i="29"/>
  <c r="AG87" i="29"/>
  <c r="F88" i="29" a="1"/>
  <c r="F88" i="29" s="1"/>
  <c r="AZ87" i="29"/>
  <c r="AV87" i="29"/>
  <c r="AR87" i="29"/>
  <c r="AN87" i="29"/>
  <c r="AJ87" i="29"/>
  <c r="AF87" i="29"/>
  <c r="BG87" i="29" l="1"/>
  <c r="BL87" i="29"/>
  <c r="BF236" i="29"/>
  <c r="BG251" i="30"/>
  <c r="AV222" i="30"/>
  <c r="BI251" i="30"/>
  <c r="AX222" i="30"/>
  <c r="BF251" i="30"/>
  <c r="AU222" i="30"/>
  <c r="BK87" i="29"/>
  <c r="BM87" i="29"/>
  <c r="BJ236" i="29"/>
  <c r="BI236" i="29"/>
  <c r="BH107" i="30"/>
  <c r="AW78" i="30"/>
  <c r="BE107" i="30"/>
  <c r="AT78" i="30"/>
  <c r="BO114" i="30"/>
  <c r="BB114" i="30"/>
  <c r="BM114" i="30" s="1"/>
  <c r="AX114" i="30"/>
  <c r="BI114" i="30" s="1"/>
  <c r="AT114" i="30"/>
  <c r="BE114" i="30" s="1"/>
  <c r="AZ114" i="30"/>
  <c r="BK114" i="30" s="1"/>
  <c r="AV114" i="30"/>
  <c r="BG114" i="30" s="1"/>
  <c r="AW114" i="30"/>
  <c r="BH114" i="30" s="1"/>
  <c r="AQ114" i="30"/>
  <c r="AM114" i="30"/>
  <c r="AI114" i="30"/>
  <c r="AE114" i="30"/>
  <c r="BC114" i="30"/>
  <c r="AU114" i="30"/>
  <c r="BF114" i="30" s="1"/>
  <c r="AP114" i="30"/>
  <c r="AL114" i="30"/>
  <c r="F115" i="30" a="1"/>
  <c r="F115" i="30" s="1"/>
  <c r="BA114" i="30"/>
  <c r="BL114" i="30" s="1"/>
  <c r="AS114" i="30"/>
  <c r="AO114" i="30"/>
  <c r="AK114" i="30"/>
  <c r="AG114" i="30"/>
  <c r="AY114" i="30"/>
  <c r="BJ114" i="30" s="1"/>
  <c r="AR114" i="30"/>
  <c r="AN114" i="30"/>
  <c r="AJ114" i="30"/>
  <c r="AF114" i="30"/>
  <c r="BG107" i="30"/>
  <c r="AV78" i="30"/>
  <c r="BH236" i="29"/>
  <c r="BM236" i="29"/>
  <c r="BK236" i="29"/>
  <c r="BH251" i="30"/>
  <c r="AW222" i="30"/>
  <c r="BM251" i="30"/>
  <c r="BB222" i="30"/>
  <c r="BJ251" i="30"/>
  <c r="AY222" i="30"/>
  <c r="BC88" i="29"/>
  <c r="AY88" i="29"/>
  <c r="BJ88" i="29" s="1"/>
  <c r="AU88" i="29"/>
  <c r="BF88" i="29" s="1"/>
  <c r="AQ88" i="29"/>
  <c r="AM88" i="29"/>
  <c r="AI88" i="29"/>
  <c r="BD88" i="29" s="1"/>
  <c r="AE88" i="29"/>
  <c r="BO88" i="29"/>
  <c r="BB88" i="29"/>
  <c r="BM88" i="29" s="1"/>
  <c r="AX88" i="29"/>
  <c r="BI88" i="29" s="1"/>
  <c r="AT88" i="29"/>
  <c r="BE88" i="29" s="1"/>
  <c r="AP88" i="29"/>
  <c r="AL88" i="29"/>
  <c r="BA88" i="29"/>
  <c r="BL88" i="29" s="1"/>
  <c r="AW88" i="29"/>
  <c r="BH88" i="29" s="1"/>
  <c r="AS88" i="29"/>
  <c r="AO88" i="29"/>
  <c r="AK88" i="29"/>
  <c r="AG88" i="29"/>
  <c r="F89" i="29" a="1"/>
  <c r="F89" i="29" s="1"/>
  <c r="AZ88" i="29"/>
  <c r="BK88" i="29" s="1"/>
  <c r="AV88" i="29"/>
  <c r="BG88" i="29" s="1"/>
  <c r="AR88" i="29"/>
  <c r="AN88" i="29"/>
  <c r="AJ88" i="29"/>
  <c r="AF88" i="29"/>
  <c r="BG236" i="29"/>
  <c r="BL107" i="30"/>
  <c r="BA78" i="30"/>
  <c r="BI107" i="30"/>
  <c r="AX78" i="30"/>
  <c r="BF107" i="30"/>
  <c r="AU78" i="30"/>
  <c r="BK107" i="30"/>
  <c r="AZ78" i="30"/>
  <c r="BK251" i="30"/>
  <c r="AZ222" i="30"/>
  <c r="AH87" i="29"/>
  <c r="BH87" i="29"/>
  <c r="BE87" i="29"/>
  <c r="BF87" i="29"/>
  <c r="BD236" i="29"/>
  <c r="BL236" i="29"/>
  <c r="BM107" i="30"/>
  <c r="BB78" i="30"/>
  <c r="BJ107" i="30"/>
  <c r="AY78" i="30"/>
  <c r="BE236" i="29"/>
  <c r="AH236" i="29"/>
  <c r="AI250" i="29"/>
  <c r="AE250" i="29"/>
  <c r="AE249" i="29" s="1" a="1"/>
  <c r="AE249" i="29" s="1"/>
  <c r="AE222" i="29" s="1"/>
  <c r="F251" i="29" a="1"/>
  <c r="F251" i="29" s="1"/>
  <c r="AT250" i="29"/>
  <c r="AG250" i="29"/>
  <c r="BO250" i="29"/>
  <c r="AJ250" i="29"/>
  <c r="AJ249" i="29" s="1" a="1"/>
  <c r="AJ249" i="29" s="1"/>
  <c r="AF250" i="29"/>
  <c r="AF249" i="29" s="1" a="1"/>
  <c r="AF249" i="29" s="1"/>
  <c r="AF222" i="29" s="1"/>
  <c r="BL251" i="30"/>
  <c r="BA222" i="30"/>
  <c r="BE251" i="30"/>
  <c r="AT222" i="30"/>
  <c r="BO258" i="30"/>
  <c r="BB258" i="30"/>
  <c r="BM258" i="30" s="1"/>
  <c r="AX258" i="30"/>
  <c r="BI258" i="30" s="1"/>
  <c r="AT258" i="30"/>
  <c r="AP258" i="30"/>
  <c r="AL258" i="30"/>
  <c r="F259" i="30" a="1"/>
  <c r="F259" i="30" s="1"/>
  <c r="BA258" i="30"/>
  <c r="BL258" i="30" s="1"/>
  <c r="AW258" i="30"/>
  <c r="BH258" i="30" s="1"/>
  <c r="AS258" i="30"/>
  <c r="AO258" i="30"/>
  <c r="AK258" i="30"/>
  <c r="AG258" i="30"/>
  <c r="AY258" i="30"/>
  <c r="BJ258" i="30" s="1"/>
  <c r="AQ258" i="30"/>
  <c r="AI258" i="30"/>
  <c r="AV258" i="30"/>
  <c r="BG258" i="30" s="1"/>
  <c r="AN258" i="30"/>
  <c r="AF258" i="30"/>
  <c r="BC258" i="30"/>
  <c r="AU258" i="30"/>
  <c r="AZ258" i="30"/>
  <c r="BK258" i="30" s="1"/>
  <c r="AR258" i="30"/>
  <c r="AJ258" i="30"/>
  <c r="AM258" i="30"/>
  <c r="AE258" i="30"/>
  <c r="BF258" i="30" l="1"/>
  <c r="AH88" i="29"/>
  <c r="BJ78" i="30"/>
  <c r="BK78" i="30"/>
  <c r="AH250" i="29"/>
  <c r="AG249" i="29" a="1"/>
  <c r="AG249" i="29" s="1"/>
  <c r="AI249" i="29" a="1"/>
  <c r="AI249" i="29" s="1"/>
  <c r="BD250" i="29"/>
  <c r="BK222" i="30"/>
  <c r="BI78" i="30"/>
  <c r="BM222" i="30"/>
  <c r="BH222" i="30"/>
  <c r="AH114" i="30"/>
  <c r="BH78" i="30"/>
  <c r="BI222" i="30"/>
  <c r="BD114" i="30"/>
  <c r="AH258" i="30"/>
  <c r="BE250" i="29"/>
  <c r="AT249" i="29" a="1"/>
  <c r="AT249" i="29" s="1"/>
  <c r="BM78" i="30"/>
  <c r="BG78" i="30"/>
  <c r="F116" i="30" a="1"/>
  <c r="F116" i="30" s="1"/>
  <c r="BO115" i="30"/>
  <c r="BB115" i="30"/>
  <c r="BM115" i="30" s="1"/>
  <c r="AX115" i="30"/>
  <c r="BI115" i="30" s="1"/>
  <c r="AT115" i="30"/>
  <c r="BE115" i="30" s="1"/>
  <c r="AP115" i="30"/>
  <c r="AL115" i="30"/>
  <c r="BA115" i="30"/>
  <c r="BL115" i="30" s="1"/>
  <c r="AW115" i="30"/>
  <c r="BH115" i="30" s="1"/>
  <c r="AS115" i="30"/>
  <c r="AO115" i="30"/>
  <c r="AK115" i="30"/>
  <c r="AG115" i="30"/>
  <c r="AZ115" i="30"/>
  <c r="BK115" i="30" s="1"/>
  <c r="AV115" i="30"/>
  <c r="BG115" i="30" s="1"/>
  <c r="AR115" i="30"/>
  <c r="AN115" i="30"/>
  <c r="BC115" i="30"/>
  <c r="AY115" i="30"/>
  <c r="BJ115" i="30" s="1"/>
  <c r="AU115" i="30"/>
  <c r="BF115" i="30" s="1"/>
  <c r="AQ115" i="30"/>
  <c r="AM115" i="30"/>
  <c r="AI115" i="30"/>
  <c r="BD115" i="30" s="1"/>
  <c r="AE115" i="30"/>
  <c r="AJ115" i="30"/>
  <c r="AF115" i="30"/>
  <c r="F260" i="30" a="1"/>
  <c r="F260" i="30" s="1"/>
  <c r="BA259" i="30"/>
  <c r="BL259" i="30" s="1"/>
  <c r="AW259" i="30"/>
  <c r="BH259" i="30" s="1"/>
  <c r="AS259" i="30"/>
  <c r="AO259" i="30"/>
  <c r="AK259" i="30"/>
  <c r="AG259" i="30"/>
  <c r="AZ259" i="30"/>
  <c r="BK259" i="30" s="1"/>
  <c r="AV259" i="30"/>
  <c r="BG259" i="30" s="1"/>
  <c r="AR259" i="30"/>
  <c r="AN259" i="30"/>
  <c r="AJ259" i="30"/>
  <c r="AF259" i="30"/>
  <c r="BO259" i="30"/>
  <c r="AX259" i="30"/>
  <c r="BI259" i="30" s="1"/>
  <c r="AP259" i="30"/>
  <c r="BC259" i="30"/>
  <c r="AU259" i="30"/>
  <c r="BF259" i="30" s="1"/>
  <c r="AM259" i="30"/>
  <c r="AE259" i="30"/>
  <c r="BB259" i="30"/>
  <c r="BM259" i="30" s="1"/>
  <c r="AT259" i="30"/>
  <c r="BE259" i="30" s="1"/>
  <c r="AL259" i="30"/>
  <c r="AY259" i="30"/>
  <c r="BJ259" i="30" s="1"/>
  <c r="AQ259" i="30"/>
  <c r="AI259" i="30"/>
  <c r="BD259" i="30" s="1"/>
  <c r="BE222" i="30"/>
  <c r="BD222" i="30"/>
  <c r="BD258" i="30"/>
  <c r="BE258" i="30"/>
  <c r="BL222" i="30"/>
  <c r="BA251" i="29"/>
  <c r="AZ251" i="29"/>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R251" i="29"/>
  <c r="AR222" i="29" s="1"/>
  <c r="AK251" i="29"/>
  <c r="AK222" i="29" s="1"/>
  <c r="AW251" i="29"/>
  <c r="AO251" i="29"/>
  <c r="AO222" i="29" s="1"/>
  <c r="AJ251" i="29"/>
  <c r="AJ222" i="29" s="1"/>
  <c r="AV251" i="29"/>
  <c r="AN251" i="29"/>
  <c r="AN222" i="29" s="1"/>
  <c r="AS251" i="29"/>
  <c r="AS222" i="29" s="1"/>
  <c r="AL251" i="29"/>
  <c r="AL222" i="29" s="1"/>
  <c r="BF78" i="30"/>
  <c r="BL78" i="30"/>
  <c r="BC89" i="29"/>
  <c r="AY89" i="29"/>
  <c r="BJ89" i="29" s="1"/>
  <c r="AU89" i="29"/>
  <c r="BF89" i="29" s="1"/>
  <c r="AQ89" i="29"/>
  <c r="AM89" i="29"/>
  <c r="AI89" i="29"/>
  <c r="BD89" i="29" s="1"/>
  <c r="AE89" i="29"/>
  <c r="BO89" i="29"/>
  <c r="BB89" i="29"/>
  <c r="BM89" i="29" s="1"/>
  <c r="AX89" i="29"/>
  <c r="BI89" i="29" s="1"/>
  <c r="AT89" i="29"/>
  <c r="BE89" i="29" s="1"/>
  <c r="AP89" i="29"/>
  <c r="AL89" i="29"/>
  <c r="BA89" i="29"/>
  <c r="BL89" i="29" s="1"/>
  <c r="AW89" i="29"/>
  <c r="BH89" i="29" s="1"/>
  <c r="AS89" i="29"/>
  <c r="AO89" i="29"/>
  <c r="AK89" i="29"/>
  <c r="AG89" i="29"/>
  <c r="F90" i="29" a="1"/>
  <c r="F90" i="29" s="1"/>
  <c r="AZ89" i="29"/>
  <c r="BK89" i="29" s="1"/>
  <c r="AV89" i="29"/>
  <c r="AR89" i="29"/>
  <c r="AN89" i="29"/>
  <c r="AJ89" i="29"/>
  <c r="AF89" i="29"/>
  <c r="BJ222" i="30"/>
  <c r="BE78" i="30"/>
  <c r="BF222" i="30"/>
  <c r="BG222" i="30"/>
  <c r="BG251" i="29" l="1"/>
  <c r="AV222" i="29"/>
  <c r="BI251" i="29"/>
  <c r="AX222" i="29"/>
  <c r="BK251" i="29"/>
  <c r="AZ222" i="29"/>
  <c r="BC90" i="29"/>
  <c r="BC79" i="29" s="1"/>
  <c r="AY90" i="29"/>
  <c r="AU90" i="29"/>
  <c r="AQ90" i="29"/>
  <c r="AQ79" i="29" s="1"/>
  <c r="AM90" i="29"/>
  <c r="AM79" i="29" s="1"/>
  <c r="AI90" i="29"/>
  <c r="AE90" i="29"/>
  <c r="AE79" i="29" s="1"/>
  <c r="BO90" i="29"/>
  <c r="BB90" i="29"/>
  <c r="AX90" i="29"/>
  <c r="AT90" i="29"/>
  <c r="AP90" i="29"/>
  <c r="AP79" i="29" s="1"/>
  <c r="AL90" i="29"/>
  <c r="AL79" i="29" s="1"/>
  <c r="BA90" i="29"/>
  <c r="AW90" i="29"/>
  <c r="AS90" i="29"/>
  <c r="AS79" i="29" s="1"/>
  <c r="AO90" i="29"/>
  <c r="AO79" i="29" s="1"/>
  <c r="AK90" i="29"/>
  <c r="AK79" i="29" s="1"/>
  <c r="AG90" i="29"/>
  <c r="F91" i="29" a="1"/>
  <c r="F91" i="29" s="1"/>
  <c r="AZ90" i="29"/>
  <c r="AV90" i="29"/>
  <c r="BG90" i="29" s="1"/>
  <c r="AR90" i="29"/>
  <c r="AR79" i="29" s="1"/>
  <c r="AN90" i="29"/>
  <c r="AN79" i="29" s="1"/>
  <c r="AJ90" i="29"/>
  <c r="AJ79" i="29" s="1"/>
  <c r="AF90" i="29"/>
  <c r="AF79" i="29" s="1"/>
  <c r="BM251" i="29"/>
  <c r="BB222" i="29"/>
  <c r="BJ251" i="29"/>
  <c r="AY222" i="29"/>
  <c r="BL251" i="29"/>
  <c r="BA222" i="29"/>
  <c r="BF251" i="29"/>
  <c r="AU222" i="29"/>
  <c r="AH89" i="29"/>
  <c r="AH259" i="30"/>
  <c r="BE249" i="29"/>
  <c r="AT222" i="29"/>
  <c r="BD249" i="29"/>
  <c r="AI222" i="29"/>
  <c r="BG89" i="29"/>
  <c r="BH251" i="29"/>
  <c r="AW222" i="29"/>
  <c r="F259" i="29" a="1"/>
  <c r="F259" i="29" s="1"/>
  <c r="AZ258" i="29"/>
  <c r="BK258" i="29" s="1"/>
  <c r="AV258" i="29"/>
  <c r="AR258" i="29"/>
  <c r="AN258" i="29"/>
  <c r="AJ258" i="29"/>
  <c r="AF258" i="29"/>
  <c r="BC258" i="29"/>
  <c r="AY258" i="29"/>
  <c r="BJ258" i="29" s="1"/>
  <c r="AU258" i="29"/>
  <c r="AQ258" i="29"/>
  <c r="AM258" i="29"/>
  <c r="AI258" i="29"/>
  <c r="AE258" i="29"/>
  <c r="BB258" i="29"/>
  <c r="BM258" i="29" s="1"/>
  <c r="AX258" i="29"/>
  <c r="BI258" i="29" s="1"/>
  <c r="AT258" i="29"/>
  <c r="AP258" i="29"/>
  <c r="AL258" i="29"/>
  <c r="BA258" i="29"/>
  <c r="BL258" i="29" s="1"/>
  <c r="AW258" i="29"/>
  <c r="BH258" i="29" s="1"/>
  <c r="AS258" i="29"/>
  <c r="AO258" i="29"/>
  <c r="AK258" i="29"/>
  <c r="AG258" i="29"/>
  <c r="AH115" i="30"/>
  <c r="AZ116" i="30"/>
  <c r="BK116" i="30" s="1"/>
  <c r="AV116" i="30"/>
  <c r="BG116" i="30" s="1"/>
  <c r="AR116" i="30"/>
  <c r="AN116" i="30"/>
  <c r="AJ116" i="30"/>
  <c r="AF116" i="30"/>
  <c r="BC116" i="30"/>
  <c r="AY116" i="30"/>
  <c r="BJ116" i="30" s="1"/>
  <c r="AU116" i="30"/>
  <c r="BF116" i="30" s="1"/>
  <c r="AQ116" i="30"/>
  <c r="AM116" i="30"/>
  <c r="AI116" i="30"/>
  <c r="BD116" i="30" s="1"/>
  <c r="AE116" i="30"/>
  <c r="BB116" i="30"/>
  <c r="BM116" i="30" s="1"/>
  <c r="AX116" i="30"/>
  <c r="BI116" i="30" s="1"/>
  <c r="AT116" i="30"/>
  <c r="BE116" i="30" s="1"/>
  <c r="AP116" i="30"/>
  <c r="AL116" i="30"/>
  <c r="F117" i="30" a="1"/>
  <c r="F117" i="30" s="1"/>
  <c r="F118" i="30" s="1" a="1"/>
  <c r="F118" i="30" s="1"/>
  <c r="BA116" i="30"/>
  <c r="BL116" i="30" s="1"/>
  <c r="AW116" i="30"/>
  <c r="BH116" i="30" s="1"/>
  <c r="AS116" i="30"/>
  <c r="AO116" i="30"/>
  <c r="AK116" i="30"/>
  <c r="AG116" i="30"/>
  <c r="AH116" i="30" s="1"/>
  <c r="AH249" i="29"/>
  <c r="AG222" i="29"/>
  <c r="BC260" i="30"/>
  <c r="AY260" i="30"/>
  <c r="BJ260" i="30" s="1"/>
  <c r="AU260" i="30"/>
  <c r="BF260" i="30" s="1"/>
  <c r="AQ260" i="30"/>
  <c r="AM260" i="30"/>
  <c r="AI260" i="30"/>
  <c r="BD260" i="30" s="1"/>
  <c r="AE260" i="30"/>
  <c r="BB260" i="30"/>
  <c r="BM260" i="30" s="1"/>
  <c r="AW260" i="30"/>
  <c r="BH260" i="30" s="1"/>
  <c r="AR260" i="30"/>
  <c r="AL260" i="30"/>
  <c r="AG260" i="30"/>
  <c r="F261" i="30" a="1"/>
  <c r="F261" i="30" s="1"/>
  <c r="F262" i="30" s="1" a="1"/>
  <c r="F262" i="30" s="1"/>
  <c r="BA260" i="30"/>
  <c r="BL260" i="30" s="1"/>
  <c r="AV260" i="30"/>
  <c r="BG260" i="30" s="1"/>
  <c r="AP260" i="30"/>
  <c r="AK260" i="30"/>
  <c r="AF260" i="30"/>
  <c r="AS260" i="30"/>
  <c r="AZ260" i="30"/>
  <c r="BK260" i="30" s="1"/>
  <c r="AO260" i="30"/>
  <c r="AX260" i="30"/>
  <c r="BI260" i="30" s="1"/>
  <c r="AN260" i="30"/>
  <c r="AT260" i="30"/>
  <c r="BE260" i="30" s="1"/>
  <c r="AJ260" i="30"/>
  <c r="BF258" i="29" l="1"/>
  <c r="AH258" i="29"/>
  <c r="AH260" i="30"/>
  <c r="BE258" i="29"/>
  <c r="BD258" i="29"/>
  <c r="BK90" i="29"/>
  <c r="AZ79" i="29"/>
  <c r="AV79" i="29"/>
  <c r="BJ222" i="29"/>
  <c r="BC91" i="29"/>
  <c r="AY91" i="29"/>
  <c r="BJ91" i="29" s="1"/>
  <c r="AU91" i="29"/>
  <c r="BF91" i="29" s="1"/>
  <c r="AQ91" i="29"/>
  <c r="AM91" i="29"/>
  <c r="AI91" i="29"/>
  <c r="BD91" i="29" s="1"/>
  <c r="AE91" i="29"/>
  <c r="BO91" i="29"/>
  <c r="BB91" i="29"/>
  <c r="BM91" i="29" s="1"/>
  <c r="AX91" i="29"/>
  <c r="BI91" i="29" s="1"/>
  <c r="AT91" i="29"/>
  <c r="BE91" i="29" s="1"/>
  <c r="AP91" i="29"/>
  <c r="AL91" i="29"/>
  <c r="BA91" i="29"/>
  <c r="BL91" i="29" s="1"/>
  <c r="AW91" i="29"/>
  <c r="BH91" i="29" s="1"/>
  <c r="AS91" i="29"/>
  <c r="AO91" i="29"/>
  <c r="AK91" i="29"/>
  <c r="AG91" i="29"/>
  <c r="F92" i="29" a="1"/>
  <c r="F92" i="29" s="1"/>
  <c r="AZ91" i="29"/>
  <c r="BK91" i="29" s="1"/>
  <c r="AV91" i="29"/>
  <c r="BG91" i="29" s="1"/>
  <c r="AR91" i="29"/>
  <c r="AN91" i="29"/>
  <c r="AJ91" i="29"/>
  <c r="AF91" i="29"/>
  <c r="AZ259" i="29"/>
  <c r="BK259" i="29" s="1"/>
  <c r="AV259" i="29"/>
  <c r="BG259" i="29" s="1"/>
  <c r="AR259" i="29"/>
  <c r="AN259" i="29"/>
  <c r="AJ259" i="29"/>
  <c r="AF259" i="29"/>
  <c r="BC259" i="29"/>
  <c r="AY259" i="29"/>
  <c r="BJ259" i="29" s="1"/>
  <c r="AU259" i="29"/>
  <c r="BF259" i="29" s="1"/>
  <c r="AQ259" i="29"/>
  <c r="AM259" i="29"/>
  <c r="AI259" i="29"/>
  <c r="BD259" i="29" s="1"/>
  <c r="AE259" i="29"/>
  <c r="F260" i="29" a="1"/>
  <c r="F260" i="29" s="1"/>
  <c r="BO259" i="29"/>
  <c r="BB259" i="29"/>
  <c r="BM259" i="29" s="1"/>
  <c r="AX259" i="29"/>
  <c r="BI259" i="29" s="1"/>
  <c r="AT259" i="29"/>
  <c r="BE259" i="29" s="1"/>
  <c r="AP259" i="29"/>
  <c r="AL259" i="29"/>
  <c r="BA259" i="29"/>
  <c r="BL259" i="29" s="1"/>
  <c r="AW259" i="29"/>
  <c r="BH259" i="29" s="1"/>
  <c r="AS259" i="29"/>
  <c r="AO259" i="29"/>
  <c r="AK259" i="29"/>
  <c r="AG259" i="29"/>
  <c r="AH259" i="29" s="1"/>
  <c r="BM90" i="29"/>
  <c r="BB79" i="29"/>
  <c r="BI222" i="29"/>
  <c r="BA262" i="30"/>
  <c r="AW262" i="30"/>
  <c r="AS262" i="30"/>
  <c r="AO262" i="30"/>
  <c r="AK262" i="30"/>
  <c r="AG262" i="30"/>
  <c r="AZ262" i="30"/>
  <c r="AU262" i="30"/>
  <c r="AP262" i="30"/>
  <c r="AJ262" i="30"/>
  <c r="AE262" i="30"/>
  <c r="AY262" i="30"/>
  <c r="AT262" i="30"/>
  <c r="AN262" i="30"/>
  <c r="AI262" i="30"/>
  <c r="F263" i="30" a="1"/>
  <c r="F263" i="30" s="1"/>
  <c r="AV262" i="30"/>
  <c r="AL262" i="30"/>
  <c r="BO262" i="30"/>
  <c r="BC262" i="30"/>
  <c r="AR262" i="30"/>
  <c r="BB262" i="30"/>
  <c r="AQ262" i="30"/>
  <c r="AF262" i="30"/>
  <c r="AX262" i="30"/>
  <c r="AM262" i="30"/>
  <c r="F119" i="30" a="1"/>
  <c r="F119" i="30" s="1"/>
  <c r="BO118" i="30"/>
  <c r="BB118" i="30"/>
  <c r="AX118" i="30"/>
  <c r="AT118" i="30"/>
  <c r="AP118" i="30"/>
  <c r="AL118" i="30"/>
  <c r="BA118" i="30"/>
  <c r="AW118" i="30"/>
  <c r="AS118" i="30"/>
  <c r="AO118" i="30"/>
  <c r="AK118" i="30"/>
  <c r="AG118" i="30"/>
  <c r="AZ118" i="30"/>
  <c r="AV118" i="30"/>
  <c r="AR118" i="30"/>
  <c r="AN118" i="30"/>
  <c r="AJ118" i="30"/>
  <c r="AF118" i="30"/>
  <c r="BC118" i="30"/>
  <c r="AY118" i="30"/>
  <c r="AU118" i="30"/>
  <c r="AQ118" i="30"/>
  <c r="AM118" i="30"/>
  <c r="AI118" i="30"/>
  <c r="AE118" i="30"/>
  <c r="BG258" i="29"/>
  <c r="BH222" i="29"/>
  <c r="BE222" i="29"/>
  <c r="AH90" i="29"/>
  <c r="AG79" i="29"/>
  <c r="BH90" i="29"/>
  <c r="AW79" i="29"/>
  <c r="BE90" i="29"/>
  <c r="AT79" i="29"/>
  <c r="BF90" i="29"/>
  <c r="AU79" i="29"/>
  <c r="BK222" i="29"/>
  <c r="BG222" i="29"/>
  <c r="AH222" i="29"/>
  <c r="BD222" i="29"/>
  <c r="BF222" i="29"/>
  <c r="BL222" i="29"/>
  <c r="BM222" i="29"/>
  <c r="BL90" i="29"/>
  <c r="BA79" i="29"/>
  <c r="BI90" i="29"/>
  <c r="AX79" i="29"/>
  <c r="BD90" i="29"/>
  <c r="AI79" i="29"/>
  <c r="BJ90" i="29"/>
  <c r="AY79" i="29"/>
  <c r="BD79" i="29" l="1"/>
  <c r="BH79" i="29"/>
  <c r="BJ118" i="30"/>
  <c r="AH118" i="30"/>
  <c r="BH118" i="30"/>
  <c r="BE118" i="30"/>
  <c r="AZ119" i="30"/>
  <c r="BK119" i="30" s="1"/>
  <c r="AV119" i="30"/>
  <c r="BG119" i="30" s="1"/>
  <c r="AR119" i="30"/>
  <c r="AN119" i="30"/>
  <c r="AJ119" i="30"/>
  <c r="AF119" i="30"/>
  <c r="BC119" i="30"/>
  <c r="AY119" i="30"/>
  <c r="BJ119" i="30" s="1"/>
  <c r="AU119" i="30"/>
  <c r="BF119" i="30" s="1"/>
  <c r="AQ119" i="30"/>
  <c r="AM119" i="30"/>
  <c r="AI119" i="30"/>
  <c r="BD119" i="30" s="1"/>
  <c r="AE119" i="30"/>
  <c r="F120" i="30" a="1"/>
  <c r="F120" i="30" s="1"/>
  <c r="BO119" i="30"/>
  <c r="BB119" i="30"/>
  <c r="BM119" i="30" s="1"/>
  <c r="AX119" i="30"/>
  <c r="BI119" i="30" s="1"/>
  <c r="AT119" i="30"/>
  <c r="BE119" i="30" s="1"/>
  <c r="AP119" i="30"/>
  <c r="AL119" i="30"/>
  <c r="BA119" i="30"/>
  <c r="BL119" i="30" s="1"/>
  <c r="AW119" i="30"/>
  <c r="BH119" i="30" s="1"/>
  <c r="AS119" i="30"/>
  <c r="AO119" i="30"/>
  <c r="AK119" i="30"/>
  <c r="AG119" i="30"/>
  <c r="AH119" i="30" s="1"/>
  <c r="BD262" i="30"/>
  <c r="BK262" i="30"/>
  <c r="BG79" i="29"/>
  <c r="BJ262" i="30"/>
  <c r="BK79" i="29"/>
  <c r="BL79" i="29"/>
  <c r="BD118" i="30"/>
  <c r="BL118" i="30"/>
  <c r="BI118" i="30"/>
  <c r="BM262" i="30"/>
  <c r="AH262" i="30"/>
  <c r="BH262" i="30"/>
  <c r="BO92" i="29"/>
  <c r="F93" i="29" a="1"/>
  <c r="F93" i="29" s="1"/>
  <c r="BF79" i="29"/>
  <c r="BF118" i="30"/>
  <c r="BK118" i="30"/>
  <c r="BC263" i="30"/>
  <c r="AY263" i="30"/>
  <c r="BJ263" i="30" s="1"/>
  <c r="AU263" i="30"/>
  <c r="BF263" i="30" s="1"/>
  <c r="AQ263" i="30"/>
  <c r="AM263" i="30"/>
  <c r="AI263" i="30"/>
  <c r="BD263" i="30" s="1"/>
  <c r="AE263" i="30"/>
  <c r="BA263" i="30"/>
  <c r="BL263" i="30" s="1"/>
  <c r="AV263" i="30"/>
  <c r="BG263" i="30" s="1"/>
  <c r="AP263" i="30"/>
  <c r="AK263" i="30"/>
  <c r="AF263" i="30"/>
  <c r="AZ263" i="30"/>
  <c r="BK263" i="30" s="1"/>
  <c r="AT263" i="30"/>
  <c r="BE263" i="30" s="1"/>
  <c r="AO263" i="30"/>
  <c r="AJ263" i="30"/>
  <c r="F264" i="30" a="1"/>
  <c r="F264" i="30" s="1"/>
  <c r="AW263" i="30"/>
  <c r="BH263" i="30" s="1"/>
  <c r="AL263" i="30"/>
  <c r="BO263" i="30"/>
  <c r="AS263" i="30"/>
  <c r="BB263" i="30"/>
  <c r="BM263" i="30" s="1"/>
  <c r="AR263" i="30"/>
  <c r="AG263" i="30"/>
  <c r="AH263" i="30" s="1"/>
  <c r="AX263" i="30"/>
  <c r="BI263" i="30" s="1"/>
  <c r="AN263" i="30"/>
  <c r="BF262" i="30"/>
  <c r="BJ79" i="29"/>
  <c r="BI79" i="29"/>
  <c r="BE79" i="29"/>
  <c r="AH79" i="29"/>
  <c r="BG118" i="30"/>
  <c r="BM118" i="30"/>
  <c r="BI262" i="30"/>
  <c r="BG262" i="30"/>
  <c r="BE262" i="30"/>
  <c r="BL262" i="30"/>
  <c r="BM79" i="29"/>
  <c r="BB260" i="29"/>
  <c r="BM260" i="29" s="1"/>
  <c r="AX260" i="29"/>
  <c r="BI260" i="29" s="1"/>
  <c r="AT260" i="29"/>
  <c r="BE260" i="29" s="1"/>
  <c r="AP260" i="29"/>
  <c r="AL260" i="29"/>
  <c r="F261" i="29" a="1"/>
  <c r="F261" i="29" s="1"/>
  <c r="F262" i="29" s="1" a="1"/>
  <c r="F262" i="29" s="1"/>
  <c r="BA260" i="29"/>
  <c r="BL260" i="29" s="1"/>
  <c r="AW260" i="29"/>
  <c r="BH260" i="29" s="1"/>
  <c r="AS260" i="29"/>
  <c r="AO260" i="29"/>
  <c r="AK260" i="29"/>
  <c r="AG260" i="29"/>
  <c r="AZ260" i="29"/>
  <c r="BK260" i="29" s="1"/>
  <c r="AV260" i="29"/>
  <c r="BG260" i="29" s="1"/>
  <c r="AR260" i="29"/>
  <c r="AN260" i="29"/>
  <c r="AJ260" i="29"/>
  <c r="AF260" i="29"/>
  <c r="BC260" i="29"/>
  <c r="AY260" i="29"/>
  <c r="BJ260" i="29" s="1"/>
  <c r="AU260" i="29"/>
  <c r="BF260" i="29" s="1"/>
  <c r="AQ260" i="29"/>
  <c r="AM260" i="29"/>
  <c r="AI260" i="29"/>
  <c r="BD260" i="29" s="1"/>
  <c r="AE260" i="29"/>
  <c r="AH91" i="29"/>
  <c r="AH260" i="29" l="1"/>
  <c r="BA264" i="30"/>
  <c r="AW264" i="30"/>
  <c r="BH264" i="30" s="1"/>
  <c r="AS264" i="30"/>
  <c r="AS261" i="30" s="1"/>
  <c r="AS294" i="30" s="1"/>
  <c r="AO264" i="30"/>
  <c r="AO261" i="30" s="1"/>
  <c r="AO294" i="30" s="1"/>
  <c r="AK264" i="30"/>
  <c r="AK261" i="30" s="1"/>
  <c r="AK294" i="30" s="1"/>
  <c r="AG264" i="30"/>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B264" i="30"/>
  <c r="BM264" i="30" s="1"/>
  <c r="AV264" i="30"/>
  <c r="AQ264" i="30"/>
  <c r="AQ261" i="30" s="1"/>
  <c r="AQ294" i="30" s="1"/>
  <c r="AL264" i="30"/>
  <c r="AL261" i="30" s="1"/>
  <c r="AL294" i="30" s="1"/>
  <c r="AF264" i="30"/>
  <c r="AF261" i="30" s="1"/>
  <c r="AF294" i="30" s="1"/>
  <c r="AZ264" i="30"/>
  <c r="AU264" i="30"/>
  <c r="AP264" i="30"/>
  <c r="AP261" i="30" s="1"/>
  <c r="AP294" i="30" s="1"/>
  <c r="AJ264" i="30"/>
  <c r="AJ261" i="30" s="1"/>
  <c r="AJ294" i="30" s="1"/>
  <c r="AE264" i="30"/>
  <c r="AE261" i="30" s="1"/>
  <c r="AE294" i="30" s="1"/>
  <c r="AX264" i="30"/>
  <c r="BI264" i="30" s="1"/>
  <c r="AM264" i="30"/>
  <c r="AM261" i="30" s="1"/>
  <c r="AM294" i="30" s="1"/>
  <c r="AT264" i="30"/>
  <c r="BE264" i="30" s="1"/>
  <c r="AI264" i="30"/>
  <c r="BD264" i="30" s="1"/>
  <c r="BO264" i="30"/>
  <c r="BC264" i="30"/>
  <c r="BC261" i="30" s="1"/>
  <c r="BC294" i="30" s="1"/>
  <c r="AR264" i="30"/>
  <c r="AR261" i="30" s="1"/>
  <c r="AR294" i="30" s="1"/>
  <c r="AY264" i="30"/>
  <c r="BJ264" i="30" s="1"/>
  <c r="AN264" i="30"/>
  <c r="AN261" i="30" s="1"/>
  <c r="AN294" i="30" s="1"/>
  <c r="AW261" i="30"/>
  <c r="AZ262" i="29"/>
  <c r="AV262" i="29"/>
  <c r="AR262" i="29"/>
  <c r="AN262" i="29"/>
  <c r="AJ262" i="29"/>
  <c r="AF262" i="29"/>
  <c r="BC262" i="29"/>
  <c r="AY262" i="29"/>
  <c r="AU262" i="29"/>
  <c r="AQ262" i="29"/>
  <c r="AM262" i="29"/>
  <c r="AI262" i="29"/>
  <c r="AE262" i="29"/>
  <c r="F263" i="29" a="1"/>
  <c r="F263" i="29" s="1"/>
  <c r="BO262" i="29"/>
  <c r="BB262" i="29"/>
  <c r="AX262" i="29"/>
  <c r="AT262" i="29"/>
  <c r="AP262" i="29"/>
  <c r="AL262" i="29"/>
  <c r="BA262" i="29"/>
  <c r="AW262" i="29"/>
  <c r="AS262" i="29"/>
  <c r="AO262" i="29"/>
  <c r="AK262" i="29"/>
  <c r="AG262" i="29"/>
  <c r="BC93" i="29"/>
  <c r="AY93" i="29"/>
  <c r="AU93" i="29"/>
  <c r="AQ93" i="29"/>
  <c r="AM93" i="29"/>
  <c r="AI93" i="29"/>
  <c r="AE93" i="29"/>
  <c r="BO93" i="29"/>
  <c r="BB93" i="29"/>
  <c r="AX93" i="29"/>
  <c r="AT93" i="29"/>
  <c r="AP93" i="29"/>
  <c r="AL93" i="29"/>
  <c r="BA93" i="29"/>
  <c r="AW93" i="29"/>
  <c r="AS93" i="29"/>
  <c r="AO93" i="29"/>
  <c r="AK93" i="29"/>
  <c r="AG93" i="29"/>
  <c r="F94" i="29" a="1"/>
  <c r="F94" i="29" s="1"/>
  <c r="AZ93" i="29"/>
  <c r="AV93" i="29"/>
  <c r="AR93" i="29"/>
  <c r="AN93" i="29"/>
  <c r="AJ93" i="29"/>
  <c r="AF93" i="29"/>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BM120" i="30" s="1"/>
  <c r="AX120" i="30"/>
  <c r="AT120" i="30"/>
  <c r="AP120" i="30"/>
  <c r="AP117" i="30" s="1"/>
  <c r="AP150" i="30" s="1"/>
  <c r="AL120" i="30"/>
  <c r="AL117" i="30" s="1"/>
  <c r="AL150" i="30" s="1"/>
  <c r="BA120" i="30"/>
  <c r="AW120" i="30"/>
  <c r="BH120" i="30" s="1"/>
  <c r="AS120" i="30"/>
  <c r="AS117" i="30" s="1"/>
  <c r="AS150" i="30" s="1"/>
  <c r="AO120" i="30"/>
  <c r="AO117" i="30" s="1"/>
  <c r="AO150" i="30" s="1"/>
  <c r="AK120" i="30"/>
  <c r="AK117" i="30" s="1"/>
  <c r="AK150" i="30" s="1"/>
  <c r="AG120" i="30"/>
  <c r="AZ120" i="30"/>
  <c r="AV120" i="30"/>
  <c r="AR120" i="30"/>
  <c r="AR117" i="30" s="1"/>
  <c r="AR150" i="30" s="1"/>
  <c r="AN120" i="30"/>
  <c r="AN117" i="30" s="1"/>
  <c r="AN150" i="30" s="1"/>
  <c r="AJ120" i="30"/>
  <c r="AJ117" i="30" s="1"/>
  <c r="AJ150" i="30" s="1"/>
  <c r="AF120" i="30"/>
  <c r="AF117" i="30" s="1"/>
  <c r="AF150" i="30" s="1"/>
  <c r="BC120" i="30"/>
  <c r="BC117" i="30" s="1"/>
  <c r="BC150" i="30" s="1"/>
  <c r="AY120" i="30"/>
  <c r="BJ120" i="30" s="1"/>
  <c r="AU120" i="30"/>
  <c r="AQ120" i="30"/>
  <c r="AQ117" i="30" s="1"/>
  <c r="AQ150" i="30" s="1"/>
  <c r="AM120" i="30"/>
  <c r="AM117" i="30" s="1"/>
  <c r="AM150" i="30" s="1"/>
  <c r="AI120" i="30"/>
  <c r="AE120" i="30"/>
  <c r="AE117" i="30" s="1"/>
  <c r="AE150" i="30" s="1"/>
  <c r="AX261" i="30"/>
  <c r="AG261" i="30"/>
  <c r="AY261" i="30"/>
  <c r="AY117" i="30" l="1"/>
  <c r="AW117" i="30"/>
  <c r="BB261" i="30"/>
  <c r="BM261" i="30" s="1"/>
  <c r="AT261" i="30"/>
  <c r="BE261" i="30" s="1"/>
  <c r="AI261" i="30"/>
  <c r="BD261" i="30" s="1"/>
  <c r="AL149" i="30"/>
  <c r="AL151" i="30"/>
  <c r="AR293" i="30"/>
  <c r="AR295" i="30"/>
  <c r="AO295" i="30"/>
  <c r="AO293" i="30"/>
  <c r="AM293" i="30"/>
  <c r="AM295" i="30"/>
  <c r="AL295" i="30"/>
  <c r="AL293" i="30"/>
  <c r="AS295" i="30"/>
  <c r="AS293" i="30"/>
  <c r="AN151" i="30"/>
  <c r="AN149" i="30"/>
  <c r="AN293" i="30"/>
  <c r="AN295" i="30"/>
  <c r="BC293" i="30"/>
  <c r="BC295" i="30"/>
  <c r="AP295" i="30"/>
  <c r="AP293" i="30"/>
  <c r="AK151" i="30"/>
  <c r="AK149" i="30"/>
  <c r="AE293" i="30"/>
  <c r="AE295" i="30"/>
  <c r="BC149" i="30"/>
  <c r="BC151" i="30"/>
  <c r="AQ149" i="30"/>
  <c r="AQ151" i="30"/>
  <c r="AO151" i="30"/>
  <c r="AO149" i="30"/>
  <c r="AE149" i="30"/>
  <c r="AE151" i="30"/>
  <c r="BF120" i="30"/>
  <c r="AU117" i="30"/>
  <c r="AJ149" i="30"/>
  <c r="BK120" i="30"/>
  <c r="AZ117" i="30"/>
  <c r="AS151" i="30"/>
  <c r="AS149" i="30"/>
  <c r="AP149" i="30"/>
  <c r="AP151" i="30"/>
  <c r="BC94" i="29"/>
  <c r="AY94" i="29"/>
  <c r="BJ94" i="29" s="1"/>
  <c r="AU94" i="29"/>
  <c r="BF94" i="29" s="1"/>
  <c r="AQ94" i="29"/>
  <c r="AM94" i="29"/>
  <c r="AI94" i="29"/>
  <c r="BD94" i="29" s="1"/>
  <c r="AE94" i="29"/>
  <c r="BO94" i="29"/>
  <c r="BB94" i="29"/>
  <c r="BM94" i="29" s="1"/>
  <c r="AX94" i="29"/>
  <c r="BI94" i="29" s="1"/>
  <c r="AT94" i="29"/>
  <c r="BE94" i="29" s="1"/>
  <c r="AP94" i="29"/>
  <c r="AL94" i="29"/>
  <c r="BA94" i="29"/>
  <c r="BL94" i="29" s="1"/>
  <c r="AW94" i="29"/>
  <c r="BH94" i="29" s="1"/>
  <c r="AS94" i="29"/>
  <c r="AO94" i="29"/>
  <c r="AK94" i="29"/>
  <c r="AG94" i="29"/>
  <c r="F95" i="29" a="1"/>
  <c r="F95" i="29" s="1"/>
  <c r="AZ94" i="29"/>
  <c r="BK94" i="29" s="1"/>
  <c r="AV94" i="29"/>
  <c r="BG94" i="29" s="1"/>
  <c r="AR94" i="29"/>
  <c r="AN94" i="29"/>
  <c r="AJ94" i="29"/>
  <c r="AF94" i="29"/>
  <c r="BH261" i="30"/>
  <c r="AW294" i="30"/>
  <c r="F280" i="30" a="1"/>
  <c r="F280" i="30" s="1"/>
  <c r="F281" i="30" s="1" a="1"/>
  <c r="F281" i="30" s="1"/>
  <c r="BO279" i="30"/>
  <c r="AJ279" i="30"/>
  <c r="AM149" i="30"/>
  <c r="AM151" i="30"/>
  <c r="AF151" i="30"/>
  <c r="AF149" i="30"/>
  <c r="AH261" i="30"/>
  <c r="AG294" i="30"/>
  <c r="BD120" i="30"/>
  <c r="AI117" i="30"/>
  <c r="AH120" i="30"/>
  <c r="AG117" i="30"/>
  <c r="BE120" i="30"/>
  <c r="AT117" i="30"/>
  <c r="F136" i="30" a="1"/>
  <c r="F136" i="30" s="1"/>
  <c r="F137" i="30" s="1" a="1"/>
  <c r="F137" i="30" s="1"/>
  <c r="BO135" i="30"/>
  <c r="AJ135" i="30"/>
  <c r="AJ151" i="30" s="1"/>
  <c r="AH93" i="29"/>
  <c r="BH93" i="29"/>
  <c r="BE93" i="29"/>
  <c r="BF93" i="29"/>
  <c r="AH262" i="29"/>
  <c r="BH262" i="29"/>
  <c r="BE262" i="29"/>
  <c r="F264" i="29" a="1"/>
  <c r="F264" i="29" s="1"/>
  <c r="BO263" i="29"/>
  <c r="BB263" i="29"/>
  <c r="BM263" i="29" s="1"/>
  <c r="AX263" i="29"/>
  <c r="BI263" i="29" s="1"/>
  <c r="AT263" i="29"/>
  <c r="BE263" i="29" s="1"/>
  <c r="AP263" i="29"/>
  <c r="AL263" i="29"/>
  <c r="BA263" i="29"/>
  <c r="BL263" i="29" s="1"/>
  <c r="AW263" i="29"/>
  <c r="BH263" i="29" s="1"/>
  <c r="AS263" i="29"/>
  <c r="AO263" i="29"/>
  <c r="AK263" i="29"/>
  <c r="AG263" i="29"/>
  <c r="AZ263" i="29"/>
  <c r="BK263" i="29" s="1"/>
  <c r="AV263" i="29"/>
  <c r="BG263" i="29" s="1"/>
  <c r="AR263" i="29"/>
  <c r="AN263" i="29"/>
  <c r="AJ263" i="29"/>
  <c r="AF263" i="29"/>
  <c r="BC263" i="29"/>
  <c r="AY263" i="29"/>
  <c r="BJ263" i="29" s="1"/>
  <c r="AU263" i="29"/>
  <c r="BF263" i="29" s="1"/>
  <c r="AQ263" i="29"/>
  <c r="AM263" i="29"/>
  <c r="AI263" i="29"/>
  <c r="BD263" i="29" s="1"/>
  <c r="AE263" i="29"/>
  <c r="BG262" i="29"/>
  <c r="BF264" i="30"/>
  <c r="AU261" i="30"/>
  <c r="AQ293" i="30"/>
  <c r="AQ295" i="30"/>
  <c r="AH264" i="30"/>
  <c r="AR151" i="30"/>
  <c r="AR149" i="30"/>
  <c r="BL120" i="30"/>
  <c r="BA117" i="30"/>
  <c r="BI120" i="30"/>
  <c r="AX117" i="30"/>
  <c r="BG93" i="29"/>
  <c r="BL93" i="29"/>
  <c r="BI93" i="29"/>
  <c r="BD93" i="29"/>
  <c r="BJ93" i="29"/>
  <c r="BL262" i="29"/>
  <c r="BI262" i="29"/>
  <c r="BF262" i="29"/>
  <c r="BK262" i="29"/>
  <c r="BK264" i="30"/>
  <c r="AZ261" i="30"/>
  <c r="BG264" i="30"/>
  <c r="AV261" i="30"/>
  <c r="AK295" i="30"/>
  <c r="AK293" i="30"/>
  <c r="BL264" i="30"/>
  <c r="BA261" i="30"/>
  <c r="BJ117" i="30"/>
  <c r="AY150" i="30"/>
  <c r="BI261" i="30"/>
  <c r="AX294" i="30"/>
  <c r="BJ261" i="30"/>
  <c r="AY294" i="30"/>
  <c r="BH117" i="30"/>
  <c r="AW150" i="30"/>
  <c r="BG120" i="30"/>
  <c r="AV117" i="30"/>
  <c r="BK93" i="29"/>
  <c r="BM93" i="29"/>
  <c r="BM262" i="29"/>
  <c r="BD262" i="29"/>
  <c r="BJ262" i="29"/>
  <c r="AI294" i="30"/>
  <c r="AJ293" i="30"/>
  <c r="AJ295" i="30"/>
  <c r="AF293" i="30"/>
  <c r="AF295" i="30"/>
  <c r="BB117" i="30"/>
  <c r="AT294" i="30" l="1"/>
  <c r="BD294" i="30" s="1"/>
  <c r="BB294" i="30"/>
  <c r="BM117" i="30"/>
  <c r="BB150" i="30"/>
  <c r="BL117" i="30"/>
  <c r="BA150" i="30"/>
  <c r="BI117" i="30"/>
  <c r="AX150" i="30"/>
  <c r="AH263" i="29"/>
  <c r="AZ264" i="29"/>
  <c r="AV264" i="29"/>
  <c r="BG264" i="29" s="1"/>
  <c r="AR264" i="29"/>
  <c r="AR261" i="29" s="1"/>
  <c r="AR294" i="29" s="1"/>
  <c r="AN264" i="29"/>
  <c r="AN261" i="29" s="1"/>
  <c r="AN294" i="29" s="1"/>
  <c r="AJ264" i="29"/>
  <c r="AJ261" i="29" s="1"/>
  <c r="AJ294" i="29" s="1"/>
  <c r="AF264" i="29"/>
  <c r="AF261" i="29" s="1"/>
  <c r="AF294" i="29" s="1"/>
  <c r="BC264" i="29"/>
  <c r="BC261" i="29" s="1"/>
  <c r="BC294" i="29" s="1"/>
  <c r="AY264" i="29"/>
  <c r="AU264" i="29"/>
  <c r="AQ264" i="29"/>
  <c r="AQ261" i="29" s="1"/>
  <c r="AQ294" i="29" s="1"/>
  <c r="AM264" i="29"/>
  <c r="AM261" i="29" s="1"/>
  <c r="AM294" i="29" s="1"/>
  <c r="AI264" i="29"/>
  <c r="AE264" i="29"/>
  <c r="AE261" i="29" s="1"/>
  <c r="AE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AX264" i="29"/>
  <c r="AT264" i="29"/>
  <c r="AP264" i="29"/>
  <c r="AP261" i="29" s="1"/>
  <c r="AP294" i="29" s="1"/>
  <c r="AL264" i="29"/>
  <c r="AL261" i="29" s="1"/>
  <c r="AL294" i="29" s="1"/>
  <c r="BA264" i="29"/>
  <c r="AW264" i="29"/>
  <c r="BH264" i="29" s="1"/>
  <c r="AS264" i="29"/>
  <c r="AS261" i="29" s="1"/>
  <c r="AS294" i="29" s="1"/>
  <c r="AO264" i="29"/>
  <c r="AO261" i="29" s="1"/>
  <c r="AO294" i="29" s="1"/>
  <c r="AK264" i="29"/>
  <c r="AK261" i="29" s="1"/>
  <c r="AK294" i="29" s="1"/>
  <c r="AG264" i="29"/>
  <c r="AH264" i="29" s="1"/>
  <c r="AT281" i="30"/>
  <c r="F282" i="30" a="1"/>
  <c r="F282" i="30" s="1"/>
  <c r="AJ281" i="30"/>
  <c r="BO281" i="30"/>
  <c r="AH94" i="29"/>
  <c r="BK117" i="30"/>
  <c r="AZ150" i="30"/>
  <c r="BF117" i="30"/>
  <c r="AU150" i="30"/>
  <c r="BB295" i="30"/>
  <c r="BM295" i="30" s="1"/>
  <c r="BB293" i="30"/>
  <c r="BM294" i="30"/>
  <c r="BE117" i="30"/>
  <c r="AT150" i="30"/>
  <c r="BD117" i="30"/>
  <c r="AI150" i="30"/>
  <c r="BH294" i="30"/>
  <c r="AW295" i="30"/>
  <c r="BH295" i="30" s="1"/>
  <c r="AW293" i="30"/>
  <c r="AW151" i="30"/>
  <c r="BH151" i="30" s="1"/>
  <c r="AW149" i="30"/>
  <c r="BH150" i="30"/>
  <c r="AX295" i="30"/>
  <c r="BI295" i="30" s="1"/>
  <c r="AX293" i="30"/>
  <c r="BI294" i="30"/>
  <c r="BL261" i="30"/>
  <c r="BA294" i="30"/>
  <c r="BG261" i="30"/>
  <c r="AV294" i="30"/>
  <c r="BF261" i="30"/>
  <c r="AU294" i="30"/>
  <c r="AI293" i="30"/>
  <c r="AI295" i="30"/>
  <c r="BG117" i="30"/>
  <c r="AV150" i="30"/>
  <c r="AY293" i="30"/>
  <c r="BJ294" i="30"/>
  <c r="AY295" i="30"/>
  <c r="BJ295" i="30" s="1"/>
  <c r="AY149" i="30"/>
  <c r="BJ150" i="30"/>
  <c r="AY151" i="30"/>
  <c r="BJ151" i="30" s="1"/>
  <c r="BK261" i="30"/>
  <c r="AZ294" i="30"/>
  <c r="AV261" i="29"/>
  <c r="F138" i="30" a="1"/>
  <c r="F138" i="30" s="1"/>
  <c r="BO137" i="30"/>
  <c r="AT137" i="30"/>
  <c r="AJ137" i="30"/>
  <c r="AH117" i="30"/>
  <c r="AG150" i="30"/>
  <c r="AG295" i="30"/>
  <c r="AH294" i="30"/>
  <c r="AH295" i="30" s="1"/>
  <c r="AG293" i="30"/>
  <c r="AH293" i="30" s="1"/>
  <c r="BC95" i="29"/>
  <c r="AY95" i="29"/>
  <c r="AU95" i="29"/>
  <c r="AQ95" i="29"/>
  <c r="AM95" i="29"/>
  <c r="AI95" i="29"/>
  <c r="AE95" i="29"/>
  <c r="BO95" i="29"/>
  <c r="BB95" i="29"/>
  <c r="AX95" i="29"/>
  <c r="AT95" i="29"/>
  <c r="AP95" i="29"/>
  <c r="AL95" i="29"/>
  <c r="BA95" i="29"/>
  <c r="AW95" i="29"/>
  <c r="AS95" i="29"/>
  <c r="AO95" i="29"/>
  <c r="AK95" i="29"/>
  <c r="AG95" i="29"/>
  <c r="F96" i="29" a="1"/>
  <c r="F96" i="29" s="1"/>
  <c r="AZ95" i="29"/>
  <c r="AV95" i="29"/>
  <c r="AR95" i="29"/>
  <c r="AN95" i="29"/>
  <c r="AJ95" i="29"/>
  <c r="AF95" i="29"/>
  <c r="AG261" i="29" l="1"/>
  <c r="AG294" i="29" s="1"/>
  <c r="AW261" i="29"/>
  <c r="AP293" i="29"/>
  <c r="AP295" i="29"/>
  <c r="AK293" i="29"/>
  <c r="AK295" i="29"/>
  <c r="AS293" i="29"/>
  <c r="AS295" i="29"/>
  <c r="BC295" i="29"/>
  <c r="BC293" i="29"/>
  <c r="AR295" i="29"/>
  <c r="AR293" i="29"/>
  <c r="AM295" i="29"/>
  <c r="AM293" i="29"/>
  <c r="AQ295" i="29"/>
  <c r="AQ293" i="29"/>
  <c r="BC96" i="29"/>
  <c r="AY96" i="29"/>
  <c r="BJ96" i="29" s="1"/>
  <c r="AU96" i="29"/>
  <c r="BF96" i="29" s="1"/>
  <c r="AQ96" i="29"/>
  <c r="AM96" i="29"/>
  <c r="AI96" i="29"/>
  <c r="BD96" i="29" s="1"/>
  <c r="AE96" i="29"/>
  <c r="BO96" i="29"/>
  <c r="BB96" i="29"/>
  <c r="BM96" i="29" s="1"/>
  <c r="AX96" i="29"/>
  <c r="BI96" i="29" s="1"/>
  <c r="AT96" i="29"/>
  <c r="BE96" i="29" s="1"/>
  <c r="AP96" i="29"/>
  <c r="AL96" i="29"/>
  <c r="BA96" i="29"/>
  <c r="BL96" i="29" s="1"/>
  <c r="AW96" i="29"/>
  <c r="BH96" i="29" s="1"/>
  <c r="AS96" i="29"/>
  <c r="AO96" i="29"/>
  <c r="AK96" i="29"/>
  <c r="AG96" i="29"/>
  <c r="F97" i="29" a="1"/>
  <c r="F97" i="29" s="1"/>
  <c r="AZ96" i="29"/>
  <c r="BK96" i="29" s="1"/>
  <c r="AV96" i="29"/>
  <c r="BG96" i="29" s="1"/>
  <c r="AR96" i="29"/>
  <c r="AN96" i="29"/>
  <c r="AJ96" i="29"/>
  <c r="AF96" i="29"/>
  <c r="F139" i="30" a="1"/>
  <c r="F139" i="30" s="1"/>
  <c r="BO138" i="30"/>
  <c r="AT138" i="30"/>
  <c r="AJ138" i="30"/>
  <c r="AU293" i="30"/>
  <c r="BF294" i="30"/>
  <c r="AU295" i="30"/>
  <c r="BL294" i="30"/>
  <c r="BA295" i="30"/>
  <c r="BL295" i="30" s="1"/>
  <c r="BA293" i="30"/>
  <c r="AI149" i="30"/>
  <c r="AI151" i="30"/>
  <c r="BD151" i="30" s="1"/>
  <c r="BD150" i="30"/>
  <c r="BE294" i="30"/>
  <c r="BL264" i="29"/>
  <c r="BA261" i="29"/>
  <c r="BI264" i="29"/>
  <c r="AX261" i="29"/>
  <c r="AE295" i="29"/>
  <c r="AE293" i="29"/>
  <c r="BF264" i="29"/>
  <c r="AU261" i="29"/>
  <c r="AJ295" i="29"/>
  <c r="AJ293" i="29"/>
  <c r="BK264" i="29"/>
  <c r="AZ261" i="29"/>
  <c r="BA151" i="30"/>
  <c r="BL151" i="30" s="1"/>
  <c r="BA149" i="30"/>
  <c r="BL150" i="30"/>
  <c r="AH95" i="29"/>
  <c r="BH95" i="29"/>
  <c r="BE95" i="29"/>
  <c r="BF95" i="29"/>
  <c r="BH261" i="29"/>
  <c r="AW294" i="29"/>
  <c r="BK150" i="30"/>
  <c r="AZ151" i="30"/>
  <c r="BK151" i="30" s="1"/>
  <c r="AZ149" i="30"/>
  <c r="F283" i="30" a="1"/>
  <c r="F283" i="30" s="1"/>
  <c r="BO282" i="30"/>
  <c r="AJ282" i="30"/>
  <c r="AT282" i="30"/>
  <c r="AO293" i="29"/>
  <c r="AO295" i="29"/>
  <c r="AL293" i="29"/>
  <c r="AL295" i="29"/>
  <c r="BM264" i="29"/>
  <c r="BB261" i="29"/>
  <c r="BD264" i="29"/>
  <c r="AI261" i="29"/>
  <c r="BJ264" i="29"/>
  <c r="AY261" i="29"/>
  <c r="AN295" i="29"/>
  <c r="AN293" i="29"/>
  <c r="BG95" i="29"/>
  <c r="BL95" i="29"/>
  <c r="BI95" i="29"/>
  <c r="BD95" i="29"/>
  <c r="BJ95" i="29"/>
  <c r="BG261" i="29"/>
  <c r="AV294" i="29"/>
  <c r="AV293" i="30"/>
  <c r="BG294" i="30"/>
  <c r="AV295" i="30"/>
  <c r="BG295" i="30" s="1"/>
  <c r="AT149" i="30"/>
  <c r="BE150" i="30"/>
  <c r="AX149" i="30"/>
  <c r="BI150" i="30"/>
  <c r="AX151" i="30"/>
  <c r="BI151" i="30" s="1"/>
  <c r="BB149" i="30"/>
  <c r="BM150" i="30"/>
  <c r="BB151" i="30"/>
  <c r="BM151" i="30" s="1"/>
  <c r="BK95" i="29"/>
  <c r="BM95" i="29"/>
  <c r="AG151" i="30"/>
  <c r="AH150" i="30"/>
  <c r="AH151" i="30" s="1"/>
  <c r="AG149" i="30"/>
  <c r="AH149" i="30" s="1"/>
  <c r="AZ293" i="30"/>
  <c r="BK294" i="30"/>
  <c r="AZ295" i="30"/>
  <c r="BK295" i="30" s="1"/>
  <c r="BG150" i="30"/>
  <c r="AV151" i="30"/>
  <c r="BG151" i="30" s="1"/>
  <c r="AV149" i="30"/>
  <c r="AU149" i="30"/>
  <c r="BF150" i="30"/>
  <c r="AU151" i="30"/>
  <c r="BF151" i="30" s="1"/>
  <c r="BE264" i="29"/>
  <c r="AT261" i="29"/>
  <c r="F280" i="29" a="1"/>
  <c r="F280" i="29" s="1"/>
  <c r="F281" i="29" s="1" a="1"/>
  <c r="F281" i="29" s="1"/>
  <c r="BO279" i="29"/>
  <c r="AF295" i="29"/>
  <c r="AF293" i="29"/>
  <c r="AH261" i="29" l="1"/>
  <c r="BD261" i="29"/>
  <c r="AI294" i="29"/>
  <c r="AW293" i="29"/>
  <c r="AW295" i="29"/>
  <c r="BF295" i="30"/>
  <c r="BC97" i="29"/>
  <c r="AY97" i="29"/>
  <c r="AU97" i="29"/>
  <c r="AQ97" i="29"/>
  <c r="AM97" i="29"/>
  <c r="AI97" i="29"/>
  <c r="AE97" i="29"/>
  <c r="BO97" i="29"/>
  <c r="BB97" i="29"/>
  <c r="AX97" i="29"/>
  <c r="AT97" i="29"/>
  <c r="AP97" i="29"/>
  <c r="AL97" i="29"/>
  <c r="BA97" i="29"/>
  <c r="AW97" i="29"/>
  <c r="AS97" i="29"/>
  <c r="AO97" i="29"/>
  <c r="AK97" i="29"/>
  <c r="AG97" i="29"/>
  <c r="F98" i="29" a="1"/>
  <c r="F98" i="29" s="1"/>
  <c r="AZ97" i="29"/>
  <c r="AV97" i="29"/>
  <c r="AR97" i="29"/>
  <c r="AN97" i="29"/>
  <c r="AJ97" i="29"/>
  <c r="AF97" i="29"/>
  <c r="F282" i="29" a="1"/>
  <c r="F282" i="29" s="1"/>
  <c r="BO281" i="29"/>
  <c r="AT281" i="29"/>
  <c r="AJ281" i="29"/>
  <c r="BE261" i="29"/>
  <c r="AT294" i="29"/>
  <c r="BL261" i="29"/>
  <c r="BA294" i="29"/>
  <c r="AH96" i="29"/>
  <c r="AV295" i="29"/>
  <c r="AV293" i="29"/>
  <c r="BG294" i="29"/>
  <c r="BJ261" i="29"/>
  <c r="AY294" i="29"/>
  <c r="BM261" i="29"/>
  <c r="BB294" i="29"/>
  <c r="AJ139" i="30"/>
  <c r="F140" i="30" a="1"/>
  <c r="F140" i="30" s="1"/>
  <c r="F284" i="30" a="1"/>
  <c r="F284" i="30" s="1"/>
  <c r="AJ283" i="30"/>
  <c r="BK261" i="29"/>
  <c r="AZ294" i="29"/>
  <c r="BF261" i="29"/>
  <c r="AU294" i="29"/>
  <c r="BI261" i="29"/>
  <c r="AX294" i="29"/>
  <c r="AH294" i="29"/>
  <c r="AH295" i="29" s="1"/>
  <c r="AG293" i="29"/>
  <c r="AH293" i="29" s="1"/>
  <c r="AG295" i="29"/>
  <c r="BG295" i="29" l="1"/>
  <c r="AX293" i="29"/>
  <c r="BI294" i="29"/>
  <c r="AX295" i="29"/>
  <c r="AZ295" i="29"/>
  <c r="AZ293" i="29"/>
  <c r="BK294" i="29"/>
  <c r="AT284" i="30"/>
  <c r="F285" i="30" a="1"/>
  <c r="F285" i="30" s="1"/>
  <c r="AJ284" i="30"/>
  <c r="BO284" i="30"/>
  <c r="BB293" i="29"/>
  <c r="BM294" i="29"/>
  <c r="BB295" i="29"/>
  <c r="BM295" i="29" s="1"/>
  <c r="BA293" i="29"/>
  <c r="BL294" i="29"/>
  <c r="BA295" i="29"/>
  <c r="BK97" i="29"/>
  <c r="BM97" i="29"/>
  <c r="BF294" i="29"/>
  <c r="AU295" i="29"/>
  <c r="BF295" i="29" s="1"/>
  <c r="AU293" i="29"/>
  <c r="AT140" i="30"/>
  <c r="F141" i="30" a="1"/>
  <c r="F141" i="30" s="1"/>
  <c r="AJ140" i="30"/>
  <c r="BO140" i="30"/>
  <c r="BJ294" i="29"/>
  <c r="AY295" i="29"/>
  <c r="AY293" i="29"/>
  <c r="AT293" i="29"/>
  <c r="BE294" i="29"/>
  <c r="AT295" i="29"/>
  <c r="BC98" i="29"/>
  <c r="AY98" i="29"/>
  <c r="BJ98" i="29" s="1"/>
  <c r="AU98" i="29"/>
  <c r="BF98" i="29" s="1"/>
  <c r="AQ98" i="29"/>
  <c r="AM98" i="29"/>
  <c r="AI98" i="29"/>
  <c r="BD98" i="29" s="1"/>
  <c r="AE98" i="29"/>
  <c r="BO98" i="29"/>
  <c r="BB98" i="29"/>
  <c r="BM98" i="29" s="1"/>
  <c r="AX98" i="29"/>
  <c r="BI98" i="29" s="1"/>
  <c r="AT98" i="29"/>
  <c r="BE98" i="29" s="1"/>
  <c r="AP98" i="29"/>
  <c r="AL98" i="29"/>
  <c r="BA98" i="29"/>
  <c r="BL98" i="29" s="1"/>
  <c r="AW98" i="29"/>
  <c r="BH98" i="29" s="1"/>
  <c r="AS98" i="29"/>
  <c r="AO98" i="29"/>
  <c r="AK98" i="29"/>
  <c r="AG98" i="29"/>
  <c r="F99" i="29" a="1"/>
  <c r="F99" i="29" s="1"/>
  <c r="AZ98" i="29"/>
  <c r="BK98" i="29" s="1"/>
  <c r="AV98" i="29"/>
  <c r="BG98" i="29" s="1"/>
  <c r="AR98" i="29"/>
  <c r="AN98" i="29"/>
  <c r="AJ98" i="29"/>
  <c r="AF98" i="29"/>
  <c r="AI295" i="29"/>
  <c r="BD294" i="29"/>
  <c r="AI293" i="29"/>
  <c r="AJ282" i="29"/>
  <c r="F283" i="29" a="1"/>
  <c r="F283" i="29" s="1"/>
  <c r="F284" i="29" s="1" a="1"/>
  <c r="F284" i="29" s="1"/>
  <c r="AT282" i="29"/>
  <c r="AH97" i="29"/>
  <c r="BH97" i="29"/>
  <c r="BE97" i="29"/>
  <c r="BF97" i="29"/>
  <c r="BH295" i="29"/>
  <c r="BG97" i="29"/>
  <c r="BL97" i="29"/>
  <c r="BI97" i="29"/>
  <c r="BD97" i="29"/>
  <c r="BJ97" i="29"/>
  <c r="BH294" i="29"/>
  <c r="BE295" i="29" l="1"/>
  <c r="BJ295" i="29"/>
  <c r="BD295" i="29"/>
  <c r="AH98" i="29"/>
  <c r="BL295" i="29"/>
  <c r="AJ285" i="30"/>
  <c r="AT285" i="30"/>
  <c r="F286" i="30" a="1"/>
  <c r="F286" i="30" s="1"/>
  <c r="BO285" i="30"/>
  <c r="BK295" i="29"/>
  <c r="AT284" i="29"/>
  <c r="F285" i="29" a="1"/>
  <c r="F285" i="29" s="1"/>
  <c r="AJ284" i="29"/>
  <c r="BO284" i="29"/>
  <c r="BI295" i="29"/>
  <c r="BC99" i="29"/>
  <c r="AY99" i="29"/>
  <c r="AU99" i="29"/>
  <c r="AQ99" i="29"/>
  <c r="AM99" i="29"/>
  <c r="AI99" i="29"/>
  <c r="AE99" i="29"/>
  <c r="BO99" i="29"/>
  <c r="BB99" i="29"/>
  <c r="BM99" i="29" s="1"/>
  <c r="AX99" i="29"/>
  <c r="AT99" i="29"/>
  <c r="AP99" i="29"/>
  <c r="AL99" i="29"/>
  <c r="BA99" i="29"/>
  <c r="AW99" i="29"/>
  <c r="AS99" i="29"/>
  <c r="AO99" i="29"/>
  <c r="AK99" i="29"/>
  <c r="AG99" i="29"/>
  <c r="F100" i="29" a="1"/>
  <c r="F100" i="29" s="1"/>
  <c r="AZ99" i="29"/>
  <c r="BK99" i="29" s="1"/>
  <c r="AV99" i="29"/>
  <c r="AR99" i="29"/>
  <c r="AN99" i="29"/>
  <c r="AJ99" i="29"/>
  <c r="AF99" i="29"/>
  <c r="AJ141" i="30"/>
  <c r="F142" i="30" a="1"/>
  <c r="F142" i="30" s="1"/>
  <c r="BO141" i="30"/>
  <c r="AT141" i="30"/>
  <c r="BG99" i="29" l="1"/>
  <c r="BL99" i="29"/>
  <c r="BI99" i="29"/>
  <c r="BD99" i="29"/>
  <c r="BJ99" i="29"/>
  <c r="AT142" i="30"/>
  <c r="AJ142" i="30"/>
  <c r="F143" i="30" a="1"/>
  <c r="F143" i="30" s="1"/>
  <c r="BO142" i="30"/>
  <c r="BC100" i="29"/>
  <c r="AY100" i="29"/>
  <c r="BJ100" i="29" s="1"/>
  <c r="AU100" i="29"/>
  <c r="BF100" i="29" s="1"/>
  <c r="AQ100" i="29"/>
  <c r="AM100" i="29"/>
  <c r="AI100" i="29"/>
  <c r="BD100" i="29" s="1"/>
  <c r="AE100" i="29"/>
  <c r="BO100" i="29"/>
  <c r="BB100" i="29"/>
  <c r="BM100" i="29" s="1"/>
  <c r="AX100" i="29"/>
  <c r="BI100" i="29" s="1"/>
  <c r="AT100" i="29"/>
  <c r="BE100" i="29" s="1"/>
  <c r="AP100" i="29"/>
  <c r="AL100" i="29"/>
  <c r="BA100" i="29"/>
  <c r="BL100" i="29" s="1"/>
  <c r="AW100" i="29"/>
  <c r="BH100" i="29" s="1"/>
  <c r="AS100" i="29"/>
  <c r="AO100" i="29"/>
  <c r="AK100" i="29"/>
  <c r="AG100" i="29"/>
  <c r="F101" i="29" a="1"/>
  <c r="F101" i="29" s="1"/>
  <c r="AZ100" i="29"/>
  <c r="BK100" i="29" s="1"/>
  <c r="AV100" i="29"/>
  <c r="BG100" i="29" s="1"/>
  <c r="AR100" i="29"/>
  <c r="AN100" i="29"/>
  <c r="AJ100" i="29"/>
  <c r="AF100" i="29"/>
  <c r="AH99" i="29"/>
  <c r="BH99" i="29"/>
  <c r="BE99" i="29"/>
  <c r="BF99" i="29"/>
  <c r="AJ285" i="29"/>
  <c r="F286" i="29" a="1"/>
  <c r="F286" i="29" s="1"/>
  <c r="F287" i="29" s="1" a="1"/>
  <c r="F287" i="29" s="1"/>
  <c r="BO285" i="29"/>
  <c r="AT285" i="29"/>
  <c r="AT286" i="30"/>
  <c r="AJ286" i="30"/>
  <c r="F287" i="30" a="1"/>
  <c r="F287" i="30" s="1"/>
  <c r="BO286" i="30"/>
  <c r="AJ287" i="29" l="1"/>
  <c r="F288" i="29" a="1"/>
  <c r="F288" i="29" s="1"/>
  <c r="BO287" i="29"/>
  <c r="BC101" i="29"/>
  <c r="AY101" i="29"/>
  <c r="BJ101" i="29" s="1"/>
  <c r="AU101" i="29"/>
  <c r="AQ101" i="29"/>
  <c r="AM101" i="29"/>
  <c r="AI101" i="29"/>
  <c r="BD101" i="29" s="1"/>
  <c r="AE101" i="29"/>
  <c r="BO101" i="29"/>
  <c r="BB101" i="29"/>
  <c r="BM101" i="29" s="1"/>
  <c r="AX101" i="29"/>
  <c r="BI101" i="29" s="1"/>
  <c r="AT101" i="29"/>
  <c r="AP101" i="29"/>
  <c r="AL101" i="29"/>
  <c r="BA101" i="29"/>
  <c r="BL101" i="29" s="1"/>
  <c r="AW101" i="29"/>
  <c r="AS101" i="29"/>
  <c r="AO101" i="29"/>
  <c r="AK101" i="29"/>
  <c r="AG101" i="29"/>
  <c r="F102" i="29" a="1"/>
  <c r="F102" i="29" s="1"/>
  <c r="AZ101" i="29"/>
  <c r="BK101" i="29" s="1"/>
  <c r="AV101" i="29"/>
  <c r="BG101" i="29" s="1"/>
  <c r="AR101" i="29"/>
  <c r="AN101" i="29"/>
  <c r="AJ101" i="29"/>
  <c r="AF101" i="29"/>
  <c r="F288" i="30" a="1"/>
  <c r="F288" i="30" s="1"/>
  <c r="BO287" i="30"/>
  <c r="AT287" i="30"/>
  <c r="BE287" i="30" s="1"/>
  <c r="AJ287" i="30"/>
  <c r="AH100" i="29"/>
  <c r="F144" i="30" a="1"/>
  <c r="F144" i="30" s="1"/>
  <c r="BO143" i="30"/>
  <c r="AT143" i="30"/>
  <c r="BE143" i="30" s="1"/>
  <c r="AJ143" i="30"/>
  <c r="F145" i="30" l="1" a="1"/>
  <c r="F145" i="30" s="1"/>
  <c r="BO144" i="30"/>
  <c r="AT144" i="30"/>
  <c r="AJ144" i="30"/>
  <c r="AH101" i="29"/>
  <c r="BH101" i="29"/>
  <c r="BE101" i="29"/>
  <c r="BF101" i="29"/>
  <c r="F289" i="29" a="1"/>
  <c r="F289" i="29" s="1"/>
  <c r="BO288" i="29"/>
  <c r="AT288" i="29"/>
  <c r="AJ288" i="29"/>
  <c r="F289" i="30" a="1"/>
  <c r="F289" i="30" s="1"/>
  <c r="BO288" i="30"/>
  <c r="AT288" i="30"/>
  <c r="AJ288" i="30"/>
  <c r="BC102" i="29"/>
  <c r="BC92" i="29" s="1"/>
  <c r="AY102" i="29"/>
  <c r="AU102" i="29"/>
  <c r="BF102" i="29" s="1"/>
  <c r="AQ102" i="29"/>
  <c r="AQ92" i="29" s="1"/>
  <c r="AM102" i="29"/>
  <c r="AM92" i="29" s="1"/>
  <c r="AI102" i="29"/>
  <c r="AE102" i="29"/>
  <c r="AE92" i="29" s="1"/>
  <c r="BO102" i="29"/>
  <c r="BB102" i="29"/>
  <c r="AX102" i="29"/>
  <c r="AT102" i="29"/>
  <c r="BE102" i="29" s="1"/>
  <c r="AP102" i="29"/>
  <c r="AP92" i="29" s="1"/>
  <c r="AL102" i="29"/>
  <c r="AL92" i="29" s="1"/>
  <c r="BA102" i="29"/>
  <c r="AW102" i="29"/>
  <c r="BH102" i="29" s="1"/>
  <c r="AS102" i="29"/>
  <c r="AS92" i="29" s="1"/>
  <c r="AO102" i="29"/>
  <c r="AO92" i="29" s="1"/>
  <c r="AK102" i="29"/>
  <c r="AK92" i="29" s="1"/>
  <c r="AG102" i="29"/>
  <c r="F103" i="29" a="1"/>
  <c r="F103" i="29" s="1"/>
  <c r="F104" i="29" s="1" a="1"/>
  <c r="F104" i="29" s="1"/>
  <c r="AZ102" i="29"/>
  <c r="AV102" i="29"/>
  <c r="AR102" i="29"/>
  <c r="AR92" i="29" s="1"/>
  <c r="AN102" i="29"/>
  <c r="AN92" i="29" s="1"/>
  <c r="AJ102" i="29"/>
  <c r="AJ92" i="29" s="1"/>
  <c r="AF102" i="29"/>
  <c r="AF92" i="29" s="1"/>
  <c r="AH102" i="29" l="1"/>
  <c r="AU92" i="29"/>
  <c r="AW92" i="29"/>
  <c r="BG102" i="29"/>
  <c r="AV92" i="29"/>
  <c r="BL102" i="29"/>
  <c r="BA92" i="29"/>
  <c r="BI102" i="29"/>
  <c r="AX92" i="29"/>
  <c r="BD102" i="29"/>
  <c r="AI92" i="29"/>
  <c r="BJ102" i="29"/>
  <c r="AY92" i="29"/>
  <c r="AT92" i="29"/>
  <c r="AG92" i="29"/>
  <c r="AZ104" i="29"/>
  <c r="BK104" i="29" s="1"/>
  <c r="AV104" i="29"/>
  <c r="BG104" i="29" s="1"/>
  <c r="AR104" i="29"/>
  <c r="AN104" i="29"/>
  <c r="AJ104" i="29"/>
  <c r="AF104" i="29"/>
  <c r="BC104" i="29"/>
  <c r="AY104" i="29"/>
  <c r="BJ104" i="29" s="1"/>
  <c r="AU104" i="29"/>
  <c r="BF104" i="29" s="1"/>
  <c r="AQ104" i="29"/>
  <c r="AM104" i="29"/>
  <c r="AI104" i="29"/>
  <c r="BD104" i="29" s="1"/>
  <c r="AE104" i="29"/>
  <c r="BO104" i="29"/>
  <c r="BB104" i="29"/>
  <c r="BM104" i="29" s="1"/>
  <c r="AX104" i="29"/>
  <c r="BI104" i="29" s="1"/>
  <c r="AT104" i="29"/>
  <c r="BE104" i="29" s="1"/>
  <c r="AP104" i="29"/>
  <c r="AL104" i="29"/>
  <c r="F105" i="29" a="1"/>
  <c r="F105" i="29" s="1"/>
  <c r="F106" i="29" s="1" a="1"/>
  <c r="F106" i="29" s="1"/>
  <c r="BA104" i="29"/>
  <c r="BL104" i="29" s="1"/>
  <c r="AW104" i="29"/>
  <c r="BH104" i="29" s="1"/>
  <c r="AS104" i="29"/>
  <c r="AO104" i="29"/>
  <c r="AK104" i="29"/>
  <c r="AG104" i="29"/>
  <c r="AH104" i="29" s="1"/>
  <c r="BK102" i="29"/>
  <c r="AZ92" i="29"/>
  <c r="BM102" i="29"/>
  <c r="BB92" i="29"/>
  <c r="AJ289" i="30"/>
  <c r="BO289" i="30"/>
  <c r="AT289" i="30"/>
  <c r="F290" i="30" a="1"/>
  <c r="F290" i="30" s="1"/>
  <c r="F290" i="29" a="1"/>
  <c r="F290" i="29" s="1"/>
  <c r="BO289" i="29"/>
  <c r="AT289" i="29"/>
  <c r="AJ289" i="29"/>
  <c r="AJ145" i="30"/>
  <c r="F146" i="30" a="1"/>
  <c r="F146" i="30" s="1"/>
  <c r="BO145" i="30"/>
  <c r="AT145" i="30"/>
  <c r="BE92" i="29" l="1"/>
  <c r="BF92" i="29"/>
  <c r="AT146" i="30"/>
  <c r="AJ146" i="30"/>
  <c r="F147" i="30" a="1"/>
  <c r="F147" i="30" s="1"/>
  <c r="BO146" i="30"/>
  <c r="BM92" i="29"/>
  <c r="BK92" i="29"/>
  <c r="BJ92" i="29"/>
  <c r="BI92" i="29"/>
  <c r="AJ290" i="29"/>
  <c r="F291" i="29" a="1"/>
  <c r="F291" i="29" s="1"/>
  <c r="BO290" i="29"/>
  <c r="AT290" i="29"/>
  <c r="F107" i="29" a="1"/>
  <c r="F107" i="29" s="1"/>
  <c r="AI106" i="29"/>
  <c r="AE106" i="29"/>
  <c r="AE105" i="29" s="1" a="1"/>
  <c r="AE105" i="29" s="1"/>
  <c r="AE78" i="29" s="1"/>
  <c r="AT106" i="29"/>
  <c r="AG106" i="29"/>
  <c r="BO106" i="29"/>
  <c r="AJ106" i="29"/>
  <c r="AJ105" i="29" s="1" a="1"/>
  <c r="AJ105" i="29" s="1"/>
  <c r="AF106" i="29"/>
  <c r="AF105" i="29" s="1" a="1"/>
  <c r="AF105" i="29" s="1"/>
  <c r="AF78" i="29" s="1"/>
  <c r="BG92" i="29"/>
  <c r="F291" i="30" a="1"/>
  <c r="F291" i="30" s="1"/>
  <c r="AT290" i="30"/>
  <c r="AJ290" i="30"/>
  <c r="BO290" i="30"/>
  <c r="AH92" i="29"/>
  <c r="BD92" i="29"/>
  <c r="BL92" i="29"/>
  <c r="BH92" i="29"/>
  <c r="BE106" i="29" l="1"/>
  <c r="AT105" i="29" a="1"/>
  <c r="AT105" i="29" s="1"/>
  <c r="AH106" i="29"/>
  <c r="AG105" i="29" a="1"/>
  <c r="AG105" i="29" s="1"/>
  <c r="BO291" i="30"/>
  <c r="F292" i="30" a="1"/>
  <c r="F292" i="30" s="1"/>
  <c r="F293" i="30" s="1" a="1"/>
  <c r="F293" i="30" s="1"/>
  <c r="F294" i="30" s="1" a="1"/>
  <c r="F294" i="30" s="1"/>
  <c r="F295" i="30" s="1" a="1"/>
  <c r="F295" i="30" s="1"/>
  <c r="F296" i="30" s="1" a="1"/>
  <c r="F296" i="30" s="1"/>
  <c r="F297" i="30" s="1" a="1"/>
  <c r="F297" i="30" s="1"/>
  <c r="F298" i="30" s="1" a="1"/>
  <c r="F298" i="30" s="1"/>
  <c r="AT291" i="30"/>
  <c r="AJ291" i="30"/>
  <c r="BO147" i="30"/>
  <c r="F148" i="30" a="1"/>
  <c r="F148" i="30" s="1"/>
  <c r="F149" i="30" s="1" a="1"/>
  <c r="F149" i="30" s="1"/>
  <c r="F150" i="30" s="1" a="1"/>
  <c r="F150" i="30" s="1"/>
  <c r="F151" i="30" s="1" a="1"/>
  <c r="F151" i="30" s="1"/>
  <c r="F152" i="30" s="1" a="1"/>
  <c r="F152" i="30" s="1"/>
  <c r="F153" i="30" s="1" a="1"/>
  <c r="F153" i="30" s="1"/>
  <c r="F154" i="30" s="1" a="1"/>
  <c r="F154" i="30" s="1"/>
  <c r="AT147" i="30"/>
  <c r="AJ147" i="30"/>
  <c r="AI105" i="29" a="1"/>
  <c r="AI105" i="29" s="1"/>
  <c r="BD106" i="29"/>
  <c r="F292" i="29" a="1"/>
  <c r="F292" i="29" s="1"/>
  <c r="F293" i="29" s="1" a="1"/>
  <c r="F293" i="29" s="1"/>
  <c r="F294" i="29" s="1" a="1"/>
  <c r="F294" i="29" s="1"/>
  <c r="F295" i="29" s="1" a="1"/>
  <c r="F295" i="29" s="1"/>
  <c r="F296" i="29" s="1" a="1"/>
  <c r="F296" i="29" s="1"/>
  <c r="F297" i="29" s="1" a="1"/>
  <c r="F297" i="29" s="1"/>
  <c r="F298" i="29" s="1" a="1"/>
  <c r="F298" i="29" s="1"/>
  <c r="AT291" i="29"/>
  <c r="AJ291" i="29"/>
  <c r="BO291" i="29"/>
  <c r="BB107" i="29"/>
  <c r="AX107" i="29"/>
  <c r="AT107" i="29"/>
  <c r="BE107" i="29" s="1"/>
  <c r="AP107" i="29"/>
  <c r="AP78" i="29" s="1"/>
  <c r="AL107" i="29"/>
  <c r="AL78" i="29" s="1"/>
  <c r="BA107" i="29"/>
  <c r="AW107" i="29"/>
  <c r="AS107" i="29"/>
  <c r="AS78" i="29" s="1"/>
  <c r="AO107" i="29"/>
  <c r="AO78" i="29" s="1"/>
  <c r="AK107" i="29"/>
  <c r="AK78" i="29" s="1"/>
  <c r="AZ107" i="29"/>
  <c r="AV107" i="29"/>
  <c r="AR107" i="29"/>
  <c r="AR78" i="29" s="1"/>
  <c r="AN107" i="29"/>
  <c r="AN78" i="29" s="1"/>
  <c r="AJ107" i="29"/>
  <c r="AJ78" i="29" s="1"/>
  <c r="F108" i="29" a="1"/>
  <c r="F108" i="29" s="1"/>
  <c r="F109" i="29" s="1" a="1"/>
  <c r="F109" i="29" s="1"/>
  <c r="F110" i="29" s="1" a="1"/>
  <c r="F110" i="29" s="1"/>
  <c r="F111" i="29" s="1" a="1"/>
  <c r="F111" i="29" s="1"/>
  <c r="F112" i="29" s="1" a="1"/>
  <c r="F112" i="29" s="1"/>
  <c r="F113" i="29" s="1" a="1"/>
  <c r="F113" i="29" s="1"/>
  <c r="F114" i="29" s="1" a="1"/>
  <c r="F114" i="29" s="1"/>
  <c r="BC107" i="29"/>
  <c r="BC78" i="29" s="1"/>
  <c r="AY107" i="29"/>
  <c r="AU107" i="29"/>
  <c r="AQ107" i="29"/>
  <c r="AQ78" i="29" s="1"/>
  <c r="AM107" i="29"/>
  <c r="AM78" i="29" s="1"/>
  <c r="BF107" i="29" l="1"/>
  <c r="AU78" i="29"/>
  <c r="BK107" i="29"/>
  <c r="AZ78" i="29"/>
  <c r="BH107" i="29"/>
  <c r="AW78" i="29"/>
  <c r="BD105" i="29"/>
  <c r="AI78" i="29"/>
  <c r="BB298" i="30"/>
  <c r="AX298" i="30"/>
  <c r="AT298" i="30"/>
  <c r="AP298" i="30"/>
  <c r="AL298" i="30"/>
  <c r="BA298" i="30"/>
  <c r="AW298" i="30"/>
  <c r="AS298" i="30"/>
  <c r="AO298" i="30"/>
  <c r="AK298" i="30"/>
  <c r="AG298" i="30"/>
  <c r="AZ298" i="30"/>
  <c r="AV298" i="30"/>
  <c r="AR298" i="30"/>
  <c r="AN298" i="30"/>
  <c r="AJ298" i="30"/>
  <c r="AF298" i="30"/>
  <c r="F299" i="30" a="1"/>
  <c r="F299" i="30" s="1"/>
  <c r="F300" i="30" s="1" a="1"/>
  <c r="F300" i="30" s="1"/>
  <c r="F301" i="30" s="1" a="1"/>
  <c r="F301" i="30" s="1"/>
  <c r="F302" i="30" s="1" a="1"/>
  <c r="F302" i="30" s="1"/>
  <c r="F303" i="30" s="1" a="1"/>
  <c r="F303" i="30" s="1"/>
  <c r="F304" i="30" s="1" a="1"/>
  <c r="F304" i="30" s="1"/>
  <c r="F305" i="30" s="1" a="1"/>
  <c r="F305" i="30" s="1"/>
  <c r="F306" i="30" s="1" a="1"/>
  <c r="F306" i="30" s="1"/>
  <c r="AQ298" i="30"/>
  <c r="BC298" i="30"/>
  <c r="AM298" i="30"/>
  <c r="AY298" i="30"/>
  <c r="AI298" i="30"/>
  <c r="AE298" i="30"/>
  <c r="AU298" i="30"/>
  <c r="BE105" i="29"/>
  <c r="AT78" i="29"/>
  <c r="BL107" i="29"/>
  <c r="BA78" i="29"/>
  <c r="BI107" i="29"/>
  <c r="AX78" i="29"/>
  <c r="BM107" i="29"/>
  <c r="BB78" i="29"/>
  <c r="AZ298" i="29"/>
  <c r="AV298" i="29"/>
  <c r="AR298" i="29"/>
  <c r="AN298" i="29"/>
  <c r="AJ298" i="29"/>
  <c r="AF298" i="29"/>
  <c r="F299" i="29" a="1"/>
  <c r="F299" i="29" s="1"/>
  <c r="F300" i="29" s="1" a="1"/>
  <c r="F300" i="29" s="1"/>
  <c r="F301" i="29" s="1" a="1"/>
  <c r="F301" i="29" s="1"/>
  <c r="F302" i="29" s="1" a="1"/>
  <c r="F302" i="29" s="1"/>
  <c r="F303" i="29" s="1" a="1"/>
  <c r="F303" i="29" s="1"/>
  <c r="F304" i="29" s="1" a="1"/>
  <c r="F304" i="29" s="1"/>
  <c r="F305" i="29" s="1" a="1"/>
  <c r="F305" i="29" s="1"/>
  <c r="F306" i="29" s="1" a="1"/>
  <c r="F306" i="29" s="1"/>
  <c r="BC298" i="29"/>
  <c r="AY298" i="29"/>
  <c r="AU298" i="29"/>
  <c r="AQ298" i="29"/>
  <c r="AM298" i="29"/>
  <c r="AI298" i="29"/>
  <c r="AI301" i="29" s="1"/>
  <c r="AE298" i="29"/>
  <c r="BB298" i="29"/>
  <c r="AX298" i="29"/>
  <c r="AT298" i="29"/>
  <c r="AP298" i="29"/>
  <c r="AL298" i="29"/>
  <c r="BA298" i="29"/>
  <c r="AW298" i="29"/>
  <c r="AS298" i="29"/>
  <c r="AO298" i="29"/>
  <c r="AK298" i="29"/>
  <c r="AG298" i="29"/>
  <c r="AH105" i="29"/>
  <c r="AG78" i="29"/>
  <c r="BJ107" i="29"/>
  <c r="AY78" i="29"/>
  <c r="F115" i="29" a="1"/>
  <c r="F115" i="29" s="1"/>
  <c r="BA114" i="29"/>
  <c r="BL114" i="29" s="1"/>
  <c r="AW114" i="29"/>
  <c r="BH114" i="29" s="1"/>
  <c r="AS114" i="29"/>
  <c r="AO114" i="29"/>
  <c r="AK114" i="29"/>
  <c r="AG114" i="29"/>
  <c r="AZ114" i="29"/>
  <c r="BK114" i="29" s="1"/>
  <c r="AV114" i="29"/>
  <c r="BG114" i="29" s="1"/>
  <c r="AR114" i="29"/>
  <c r="AN114" i="29"/>
  <c r="AJ114" i="29"/>
  <c r="AF114" i="29"/>
  <c r="BC114" i="29"/>
  <c r="AY114" i="29"/>
  <c r="BJ114" i="29" s="1"/>
  <c r="AU114" i="29"/>
  <c r="BF114" i="29" s="1"/>
  <c r="AQ114" i="29"/>
  <c r="AM114" i="29"/>
  <c r="AI114" i="29"/>
  <c r="BD114" i="29" s="1"/>
  <c r="AE114" i="29"/>
  <c r="BO114" i="29"/>
  <c r="BB114" i="29"/>
  <c r="BM114" i="29" s="1"/>
  <c r="AX114" i="29"/>
  <c r="BI114" i="29" s="1"/>
  <c r="AT114" i="29"/>
  <c r="BE114" i="29" s="1"/>
  <c r="AP114" i="29"/>
  <c r="AL114" i="29"/>
  <c r="BG107" i="29"/>
  <c r="AV78" i="29"/>
  <c r="BA154" i="30"/>
  <c r="AW154" i="30"/>
  <c r="AS154" i="30"/>
  <c r="AO154" i="30"/>
  <c r="AK154" i="30"/>
  <c r="AG154" i="30"/>
  <c r="AZ154" i="30"/>
  <c r="AV154" i="30"/>
  <c r="AR154" i="30"/>
  <c r="AN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AY154" i="30"/>
  <c r="AU154" i="30"/>
  <c r="AQ154" i="30"/>
  <c r="AM154" i="30"/>
  <c r="AI154" i="30"/>
  <c r="AE154" i="30"/>
  <c r="BB154" i="30"/>
  <c r="AX154" i="30"/>
  <c r="AT154" i="30"/>
  <c r="AP154" i="30"/>
  <c r="AL154" i="30"/>
  <c r="AT161" i="30" l="1"/>
  <c r="BE161" i="30" s="1"/>
  <c r="AT160" i="30"/>
  <c r="AT155" i="30"/>
  <c r="AT157" i="30" s="1"/>
  <c r="AT158" i="30" s="1"/>
  <c r="AU156" i="30" s="1" a="1"/>
  <c r="AU156" i="30" s="1"/>
  <c r="AU159" i="30" s="1"/>
  <c r="AI161" i="30"/>
  <c r="BD161" i="30" s="1"/>
  <c r="AI160" i="30"/>
  <c r="AI155" i="30"/>
  <c r="AI157" i="30" s="1"/>
  <c r="AI158" i="30" s="1"/>
  <c r="AY161" i="30"/>
  <c r="BJ161" i="30" s="1"/>
  <c r="AY160" i="30"/>
  <c r="AY155" i="30"/>
  <c r="AY157" i="30" s="1"/>
  <c r="AY158" i="30" s="1"/>
  <c r="AZ156" i="30" s="1" a="1"/>
  <c r="AZ156" i="30" s="1"/>
  <c r="AZ159" i="30" s="1"/>
  <c r="AJ161" i="30"/>
  <c r="AJ160" i="30"/>
  <c r="AJ155" i="30"/>
  <c r="AJ157" i="30" s="1"/>
  <c r="AJ158" i="30" s="1"/>
  <c r="AZ161" i="30"/>
  <c r="BK161" i="30" s="1"/>
  <c r="AZ160" i="30"/>
  <c r="AZ155" i="30"/>
  <c r="AZ157" i="30" s="1"/>
  <c r="AZ158" i="30" s="1"/>
  <c r="BA156" i="30" s="1" a="1"/>
  <c r="BA156" i="30" s="1"/>
  <c r="BA159" i="30" s="1"/>
  <c r="AS155" i="30"/>
  <c r="AS157" i="30" s="1"/>
  <c r="AS158" i="30" s="1"/>
  <c r="AS161" i="30"/>
  <c r="AS160" i="30"/>
  <c r="AZ115" i="29"/>
  <c r="BK115" i="29" s="1"/>
  <c r="AV115" i="29"/>
  <c r="BG115" i="29" s="1"/>
  <c r="AR115" i="29"/>
  <c r="AN115" i="29"/>
  <c r="AJ115" i="29"/>
  <c r="AF115"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BA115" i="29"/>
  <c r="BL115" i="29" s="1"/>
  <c r="AW115" i="29"/>
  <c r="BH115" i="29" s="1"/>
  <c r="AS115" i="29"/>
  <c r="AO115" i="29"/>
  <c r="AK115" i="29"/>
  <c r="AG115" i="29"/>
  <c r="AH115" i="29" s="1"/>
  <c r="AK304" i="29"/>
  <c r="AK299" i="29"/>
  <c r="AK301" i="29" s="1"/>
  <c r="AK302" i="29" s="1"/>
  <c r="AK303" i="29" s="1"/>
  <c r="BA304" i="29"/>
  <c r="BA305" i="29"/>
  <c r="BL305" i="29" s="1"/>
  <c r="BA299" i="29"/>
  <c r="BA301" i="29" s="1"/>
  <c r="BA302" i="29" s="1"/>
  <c r="BB300" i="29" s="1" a="1"/>
  <c r="BB300" i="29" s="1"/>
  <c r="BB303" i="29" s="1"/>
  <c r="AX305" i="29"/>
  <c r="BI305" i="29" s="1"/>
  <c r="AX299" i="29"/>
  <c r="AX301" i="29" s="1"/>
  <c r="AX302" i="29" s="1"/>
  <c r="AY300" i="29" s="1" a="1"/>
  <c r="AY300" i="29" s="1"/>
  <c r="AY303" i="29" s="1"/>
  <c r="AX304" i="29"/>
  <c r="AM299" i="29"/>
  <c r="AM301" i="29" s="1"/>
  <c r="AM302" i="29" s="1"/>
  <c r="AM304" i="29"/>
  <c r="AM305" i="29"/>
  <c r="BC299" i="29"/>
  <c r="BC301" i="29" s="1"/>
  <c r="BC302" i="29" s="1"/>
  <c r="BC304" i="29"/>
  <c r="BC305" i="29"/>
  <c r="AN299" i="29"/>
  <c r="AN301" i="29" s="1"/>
  <c r="AN302" i="29" s="1"/>
  <c r="AN304" i="29"/>
  <c r="AN305" i="29"/>
  <c r="BM78" i="29"/>
  <c r="BI78" i="29"/>
  <c r="AU304" i="30"/>
  <c r="AU299" i="30"/>
  <c r="AU301" i="30" s="1"/>
  <c r="AM305" i="30"/>
  <c r="AM304" i="30"/>
  <c r="AM299" i="30"/>
  <c r="AM301" i="30" s="1"/>
  <c r="AM302" i="30" s="1"/>
  <c r="AF304" i="30"/>
  <c r="AF299" i="30"/>
  <c r="AF301" i="30" s="1"/>
  <c r="AF302" i="30" s="1"/>
  <c r="AV304" i="30"/>
  <c r="AV299" i="30"/>
  <c r="AV301" i="30" s="1"/>
  <c r="AO305" i="30"/>
  <c r="AO304" i="30"/>
  <c r="AO299" i="30"/>
  <c r="AO301" i="30" s="1"/>
  <c r="AO302" i="30" s="1"/>
  <c r="AL299" i="30"/>
  <c r="AL301" i="30" s="1"/>
  <c r="AL302" i="30" s="1"/>
  <c r="AL304" i="30"/>
  <c r="BB299" i="30"/>
  <c r="BB301" i="30" s="1"/>
  <c r="BB302" i="30" s="1"/>
  <c r="BC300" i="30" s="1" a="1"/>
  <c r="BC300" i="30" s="1"/>
  <c r="BC303" i="30" s="1"/>
  <c r="BB305" i="30"/>
  <c r="BM305" i="30" s="1"/>
  <c r="BB304" i="30"/>
  <c r="AX161" i="30"/>
  <c r="BI161" i="30" s="1"/>
  <c r="AX160" i="30"/>
  <c r="AX155" i="30"/>
  <c r="AX157" i="30" s="1"/>
  <c r="AX158" i="30" s="1"/>
  <c r="AY156" i="30" s="1" a="1"/>
  <c r="AY156" i="30" s="1"/>
  <c r="AY159" i="30" s="1"/>
  <c r="AM161" i="30"/>
  <c r="AM160" i="30"/>
  <c r="AM155" i="30"/>
  <c r="AM157" i="30" s="1"/>
  <c r="AM158" i="30" s="1"/>
  <c r="BC161" i="30"/>
  <c r="BC160" i="30"/>
  <c r="BC155" i="30"/>
  <c r="BC157" i="30" s="1"/>
  <c r="BC158" i="30" s="1"/>
  <c r="AN161" i="30"/>
  <c r="AN160" i="30"/>
  <c r="AN155" i="30"/>
  <c r="AN157" i="30" s="1"/>
  <c r="AN158" i="30" s="1"/>
  <c r="AG155" i="30"/>
  <c r="AG157" i="30" s="1"/>
  <c r="AG161" i="30"/>
  <c r="AG160" i="30"/>
  <c r="AH154" i="30"/>
  <c r="AW155" i="30"/>
  <c r="AW157" i="30" s="1"/>
  <c r="AW158" i="30" s="1"/>
  <c r="AX156" i="30" s="1" a="1"/>
  <c r="AX156" i="30" s="1"/>
  <c r="AX159" i="30" s="1"/>
  <c r="AW161" i="30"/>
  <c r="BH161" i="30" s="1"/>
  <c r="AW160" i="30"/>
  <c r="BG78" i="29"/>
  <c r="AH78" i="29"/>
  <c r="AO304" i="29"/>
  <c r="AO305" i="29"/>
  <c r="AO299" i="29"/>
  <c r="AO301" i="29" s="1"/>
  <c r="AO302" i="29" s="1"/>
  <c r="AL299" i="29"/>
  <c r="AL301" i="29" s="1"/>
  <c r="AL302" i="29" s="1"/>
  <c r="AL303" i="29" s="1"/>
  <c r="AL304" i="29"/>
  <c r="BB305" i="29"/>
  <c r="BM305" i="29" s="1"/>
  <c r="BB299" i="29"/>
  <c r="BB301" i="29" s="1"/>
  <c r="BB302" i="29" s="1"/>
  <c r="BC300" i="29" s="1" a="1"/>
  <c r="BC300" i="29" s="1"/>
  <c r="BC303" i="29" s="1"/>
  <c r="BB304" i="29"/>
  <c r="AQ299" i="29"/>
  <c r="AQ301" i="29" s="1"/>
  <c r="AQ302" i="29" s="1"/>
  <c r="AQ304" i="29"/>
  <c r="AQ305" i="29"/>
  <c r="AZ306" i="29"/>
  <c r="AV306" i="29"/>
  <c r="AR306" i="29"/>
  <c r="AN306" i="29"/>
  <c r="AJ306" i="29"/>
  <c r="AF306" i="29"/>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U306" i="29"/>
  <c r="AQ306" i="29"/>
  <c r="AM306" i="29"/>
  <c r="AI306" i="29"/>
  <c r="AI309" i="29" s="1"/>
  <c r="AE306" i="29"/>
  <c r="BB306" i="29"/>
  <c r="AX306" i="29"/>
  <c r="AT306" i="29"/>
  <c r="AP306" i="29"/>
  <c r="AL306" i="29"/>
  <c r="AL305" i="29" s="1"/>
  <c r="BA306" i="29"/>
  <c r="AW306" i="29"/>
  <c r="AS306" i="29"/>
  <c r="AO306" i="29"/>
  <c r="AK306" i="29"/>
  <c r="AG306" i="29"/>
  <c r="AR299" i="29"/>
  <c r="AR301" i="29" s="1"/>
  <c r="AR302" i="29" s="1"/>
  <c r="AR304" i="29"/>
  <c r="AR305" i="29"/>
  <c r="AE304" i="30"/>
  <c r="AE299" i="30"/>
  <c r="AE301" i="30" s="1"/>
  <c r="AE302" i="30" s="1"/>
  <c r="BC305" i="30"/>
  <c r="BC304" i="30"/>
  <c r="BC299" i="30"/>
  <c r="BC301" i="30" s="1"/>
  <c r="BC302" i="30" s="1"/>
  <c r="AJ304" i="30"/>
  <c r="AJ299" i="30"/>
  <c r="AJ301" i="30" s="1"/>
  <c r="AJ302" i="30" s="1"/>
  <c r="AZ305" i="30"/>
  <c r="BK305" i="30" s="1"/>
  <c r="AZ304" i="30"/>
  <c r="AZ299" i="30"/>
  <c r="AZ301" i="30" s="1"/>
  <c r="AZ302" i="30" s="1"/>
  <c r="BA300" i="30" s="1" a="1"/>
  <c r="BA300" i="30" s="1"/>
  <c r="BA303" i="30" s="1"/>
  <c r="AS305" i="30"/>
  <c r="AS304" i="30"/>
  <c r="AS299" i="30"/>
  <c r="AS301" i="30" s="1"/>
  <c r="AS302" i="30" s="1"/>
  <c r="AP299" i="30"/>
  <c r="AP301" i="30" s="1"/>
  <c r="AP302" i="30" s="1"/>
  <c r="AP305" i="30"/>
  <c r="AP304" i="30"/>
  <c r="BD78" i="29"/>
  <c r="BK78" i="29"/>
  <c r="AL161" i="30"/>
  <c r="AL160" i="30"/>
  <c r="AL155" i="30"/>
  <c r="AL157" i="30" s="1"/>
  <c r="AL158" i="30" s="1"/>
  <c r="BB161" i="30"/>
  <c r="BM161" i="30" s="1"/>
  <c r="BB160" i="30"/>
  <c r="BB155" i="30"/>
  <c r="BB157" i="30" s="1"/>
  <c r="BB158" i="30" s="1"/>
  <c r="BC156" i="30" s="1" a="1"/>
  <c r="BC156" i="30" s="1"/>
  <c r="BC159" i="30" s="1"/>
  <c r="AQ161" i="30"/>
  <c r="AQ160" i="30"/>
  <c r="AQ155" i="30"/>
  <c r="AQ157" i="30" s="1"/>
  <c r="AQ158" i="30" s="1"/>
  <c r="BB162" i="30"/>
  <c r="AX162" i="30"/>
  <c r="AT162" i="30"/>
  <c r="AP162" i="30"/>
  <c r="AL162" i="30"/>
  <c r="BA162" i="30"/>
  <c r="AW162" i="30"/>
  <c r="AS162" i="30"/>
  <c r="AO162" i="30"/>
  <c r="AK162" i="30"/>
  <c r="AG162" i="30"/>
  <c r="AZ162" i="30"/>
  <c r="AV162" i="30"/>
  <c r="AR162" i="30"/>
  <c r="AN162" i="30"/>
  <c r="AJ162" i="30"/>
  <c r="AF162" i="30"/>
  <c r="F163" i="30" a="1"/>
  <c r="F163" i="30" s="1"/>
  <c r="F164" i="30" s="1" a="1"/>
  <c r="F164" i="30" s="1"/>
  <c r="F165" i="30" s="1" a="1"/>
  <c r="F165" i="30" s="1"/>
  <c r="F166" i="30" s="1" a="1"/>
  <c r="F166" i="30" s="1"/>
  <c r="F167" i="30" s="1" a="1"/>
  <c r="F167" i="30" s="1"/>
  <c r="F168" i="30" s="1" a="1"/>
  <c r="F168" i="30" s="1"/>
  <c r="F169" i="30" s="1" a="1"/>
  <c r="F169" i="30" s="1"/>
  <c r="F170" i="30" s="1" a="1"/>
  <c r="F170" i="30" s="1"/>
  <c r="BC162" i="30"/>
  <c r="AY162" i="30"/>
  <c r="AU162" i="30"/>
  <c r="AQ162" i="30"/>
  <c r="AM162" i="30"/>
  <c r="AI162" i="30"/>
  <c r="AE162" i="30"/>
  <c r="AR161" i="30"/>
  <c r="AR160" i="30"/>
  <c r="AR155" i="30"/>
  <c r="AR157" i="30" s="1"/>
  <c r="AR158" i="30" s="1"/>
  <c r="AK155" i="30"/>
  <c r="AK157" i="30" s="1"/>
  <c r="AK158" i="30" s="1"/>
  <c r="AK161" i="30"/>
  <c r="AK160" i="30"/>
  <c r="BA155" i="30"/>
  <c r="BA157" i="30" s="1"/>
  <c r="BA158" i="30" s="1"/>
  <c r="BB156" i="30" s="1" a="1"/>
  <c r="BB156" i="30" s="1"/>
  <c r="BB159" i="30" s="1"/>
  <c r="BA161" i="30"/>
  <c r="BL161" i="30" s="1"/>
  <c r="BA160" i="30"/>
  <c r="AH114" i="29"/>
  <c r="AS304" i="29"/>
  <c r="AS305" i="29"/>
  <c r="AS299" i="29"/>
  <c r="AS301" i="29" s="1"/>
  <c r="AS302" i="29" s="1"/>
  <c r="AP305" i="29"/>
  <c r="AP299" i="29"/>
  <c r="AP301" i="29" s="1"/>
  <c r="AP302" i="29" s="1"/>
  <c r="AP304" i="29"/>
  <c r="AE304" i="29"/>
  <c r="AE305" i="29"/>
  <c r="AE301" i="29"/>
  <c r="AE302" i="29" s="1"/>
  <c r="AU299" i="29"/>
  <c r="AU301" i="29" s="1"/>
  <c r="AU304" i="29"/>
  <c r="AU305" i="29"/>
  <c r="AF304" i="29"/>
  <c r="AF305" i="29"/>
  <c r="AF301" i="29"/>
  <c r="AF302" i="29" s="1"/>
  <c r="AV299" i="29"/>
  <c r="AV301" i="29" s="1"/>
  <c r="AV304" i="29"/>
  <c r="AV305" i="29"/>
  <c r="BL78" i="29"/>
  <c r="BE78" i="29"/>
  <c r="AI304" i="30"/>
  <c r="AI299" i="30"/>
  <c r="AI301" i="30" s="1"/>
  <c r="AI302" i="30" s="1"/>
  <c r="AQ305" i="30"/>
  <c r="AQ304" i="30"/>
  <c r="AQ299" i="30"/>
  <c r="AQ301" i="30" s="1"/>
  <c r="AQ302" i="30" s="1"/>
  <c r="AN305" i="30"/>
  <c r="AN304" i="30"/>
  <c r="AN299" i="30"/>
  <c r="AN301" i="30" s="1"/>
  <c r="AN302" i="30" s="1"/>
  <c r="AG304" i="30"/>
  <c r="AH304" i="30" s="1"/>
  <c r="AH298" i="30"/>
  <c r="AG299" i="30"/>
  <c r="AH299" i="30" s="1"/>
  <c r="AW305" i="30"/>
  <c r="BH305" i="30" s="1"/>
  <c r="AW304" i="30"/>
  <c r="AW299" i="30"/>
  <c r="AW301" i="30" s="1"/>
  <c r="AW302" i="30" s="1"/>
  <c r="AX300" i="30" s="1" a="1"/>
  <c r="AX300" i="30" s="1"/>
  <c r="AX303" i="30" s="1"/>
  <c r="AT299" i="30"/>
  <c r="AT301" i="30" s="1"/>
  <c r="AP161" i="30"/>
  <c r="AP160" i="30"/>
  <c r="AP155" i="30"/>
  <c r="AP157" i="30" s="1"/>
  <c r="AP158" i="30" s="1"/>
  <c r="AE161" i="30"/>
  <c r="AE160" i="30"/>
  <c r="AE155" i="30"/>
  <c r="AE157" i="30" s="1"/>
  <c r="AE158" i="30" s="1"/>
  <c r="AU161" i="30"/>
  <c r="BF161" i="30" s="1"/>
  <c r="AU160" i="30"/>
  <c r="AU155" i="30"/>
  <c r="AU157" i="30" s="1"/>
  <c r="AU158" i="30" s="1"/>
  <c r="AV156" i="30" s="1" a="1"/>
  <c r="AV156" i="30" s="1"/>
  <c r="AV159" i="30" s="1"/>
  <c r="AF161" i="30"/>
  <c r="AF160" i="30"/>
  <c r="AF155" i="30"/>
  <c r="AF157" i="30" s="1"/>
  <c r="AF158" i="30" s="1"/>
  <c r="AV161" i="30"/>
  <c r="BG161" i="30" s="1"/>
  <c r="AV160" i="30"/>
  <c r="AV155" i="30"/>
  <c r="AV157" i="30" s="1"/>
  <c r="AV158" i="30" s="1"/>
  <c r="AW156" i="30" s="1" a="1"/>
  <c r="AW156" i="30" s="1"/>
  <c r="AW159" i="30" s="1"/>
  <c r="AO155" i="30"/>
  <c r="AO157" i="30" s="1"/>
  <c r="AO158" i="30" s="1"/>
  <c r="AO161" i="30"/>
  <c r="AO160" i="30"/>
  <c r="BJ78" i="29"/>
  <c r="AG305" i="29"/>
  <c r="AG301" i="29"/>
  <c r="AH298" i="29"/>
  <c r="AG304" i="29"/>
  <c r="AW304" i="29"/>
  <c r="AW305" i="29"/>
  <c r="BH305" i="29" s="1"/>
  <c r="AW299" i="29"/>
  <c r="AW301" i="29" s="1"/>
  <c r="AW302" i="29" s="1"/>
  <c r="AX300" i="29" s="1" a="1"/>
  <c r="AX300" i="29" s="1"/>
  <c r="AX303" i="29" s="1"/>
  <c r="AT305" i="29"/>
  <c r="AT299" i="29"/>
  <c r="AT301" i="29" s="1"/>
  <c r="AT302" i="29" s="1"/>
  <c r="AT304" i="29"/>
  <c r="AY299" i="29"/>
  <c r="AY301" i="29" s="1"/>
  <c r="AY302" i="29" s="1"/>
  <c r="AZ300" i="29" s="1" a="1"/>
  <c r="AZ300" i="29" s="1"/>
  <c r="AZ303" i="29" s="1"/>
  <c r="AY304" i="29"/>
  <c r="AY305" i="29"/>
  <c r="BJ305" i="29" s="1"/>
  <c r="AJ299" i="29"/>
  <c r="AJ301" i="29" s="1"/>
  <c r="AJ302" i="29" s="1"/>
  <c r="AJ303" i="29" s="1"/>
  <c r="AJ304" i="29"/>
  <c r="AJ305" i="29"/>
  <c r="AZ299" i="29"/>
  <c r="AZ301" i="29" s="1"/>
  <c r="AZ302" i="29" s="1"/>
  <c r="BA300" i="29" s="1" a="1"/>
  <c r="BA300" i="29" s="1"/>
  <c r="BA303" i="29" s="1"/>
  <c r="AZ304" i="29"/>
  <c r="AZ305" i="29"/>
  <c r="BK305" i="29" s="1"/>
  <c r="AY305" i="30"/>
  <c r="BJ305" i="30" s="1"/>
  <c r="AY304" i="30"/>
  <c r="AY299" i="30"/>
  <c r="AY301" i="30" s="1"/>
  <c r="AY302" i="30" s="1"/>
  <c r="AZ300" i="30" s="1" a="1"/>
  <c r="AZ300" i="30" s="1"/>
  <c r="AZ303" i="30" s="1"/>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U306" i="30"/>
  <c r="AQ306" i="30"/>
  <c r="AM306" i="30"/>
  <c r="AI306" i="30"/>
  <c r="AE306" i="30"/>
  <c r="BB306" i="30"/>
  <c r="AX306" i="30"/>
  <c r="AT306" i="30"/>
  <c r="AP306" i="30"/>
  <c r="AL306" i="30"/>
  <c r="BA306" i="30"/>
  <c r="AW306" i="30"/>
  <c r="AS306" i="30"/>
  <c r="AO306" i="30"/>
  <c r="AK306" i="30"/>
  <c r="AK305" i="30" s="1"/>
  <c r="AG306" i="30"/>
  <c r="AG305" i="30" s="1"/>
  <c r="AR306" i="30"/>
  <c r="AN306" i="30"/>
  <c r="AZ306" i="30"/>
  <c r="AJ306" i="30"/>
  <c r="AV306" i="30"/>
  <c r="AF306" i="30"/>
  <c r="AR305" i="30"/>
  <c r="AR304" i="30"/>
  <c r="AR299" i="30"/>
  <c r="AR301" i="30" s="1"/>
  <c r="AR302" i="30" s="1"/>
  <c r="AK304" i="30"/>
  <c r="AK299" i="30"/>
  <c r="AK301" i="30" s="1"/>
  <c r="AK302" i="30" s="1"/>
  <c r="BA305" i="30"/>
  <c r="BL305" i="30" s="1"/>
  <c r="BA304" i="30"/>
  <c r="BA299" i="30"/>
  <c r="BA301" i="30" s="1"/>
  <c r="BA302" i="30" s="1"/>
  <c r="BB300" i="30" s="1" a="1"/>
  <c r="BB300" i="30" s="1"/>
  <c r="BB303" i="30" s="1"/>
  <c r="AX299" i="30"/>
  <c r="AX301" i="30" s="1"/>
  <c r="AX302" i="30" s="1"/>
  <c r="AY300" i="30" s="1" a="1"/>
  <c r="AY300" i="30" s="1"/>
  <c r="AY303" i="30" s="1"/>
  <c r="AX305" i="30"/>
  <c r="BI305" i="30" s="1"/>
  <c r="AX304" i="30"/>
  <c r="BH78" i="29"/>
  <c r="BF78" i="29"/>
  <c r="BG305" i="29" l="1"/>
  <c r="AH304" i="29"/>
  <c r="AZ310" i="30"/>
  <c r="AZ308" i="30"/>
  <c r="AZ307" i="30"/>
  <c r="AZ309" i="30" s="1"/>
  <c r="AK310" i="30"/>
  <c r="AK308" i="30"/>
  <c r="AK307" i="30"/>
  <c r="AK309" i="30" s="1"/>
  <c r="BA310" i="30"/>
  <c r="BA308" i="30"/>
  <c r="BA307" i="30"/>
  <c r="BA309" i="30" s="1"/>
  <c r="AX310" i="30"/>
  <c r="AX308" i="30"/>
  <c r="AX307" i="30"/>
  <c r="AX309" i="30" s="1"/>
  <c r="AM310" i="30"/>
  <c r="AM308" i="30"/>
  <c r="AM307" i="30"/>
  <c r="AM309" i="30" s="1"/>
  <c r="BC310" i="30"/>
  <c r="BC308" i="30"/>
  <c r="BC307" i="30"/>
  <c r="BC309" i="30" s="1"/>
  <c r="AT303" i="29"/>
  <c r="AU300" i="29" a="1"/>
  <c r="AU300" i="29" s="1"/>
  <c r="AU308" i="29" s="1"/>
  <c r="AH301" i="29"/>
  <c r="AG302" i="29"/>
  <c r="AH302" i="29" s="1"/>
  <c r="AG301" i="30"/>
  <c r="AU302" i="29"/>
  <c r="AV300" i="29" s="1" a="1"/>
  <c r="AV300" i="29" s="1"/>
  <c r="AV308" i="29" s="1"/>
  <c r="AE166" i="30"/>
  <c r="AE164" i="30"/>
  <c r="AE163" i="30"/>
  <c r="AE165" i="30" s="1"/>
  <c r="AU166" i="30"/>
  <c r="AU164" i="30"/>
  <c r="AU163" i="30"/>
  <c r="AU165" i="30" s="1"/>
  <c r="AF166" i="30"/>
  <c r="AF164" i="30"/>
  <c r="AF163" i="30"/>
  <c r="AF165" i="30" s="1"/>
  <c r="AV166" i="30"/>
  <c r="AV164" i="30"/>
  <c r="AV163" i="30"/>
  <c r="AV165" i="30" s="1"/>
  <c r="AO166" i="30"/>
  <c r="AO164" i="30"/>
  <c r="AO163" i="30"/>
  <c r="AO165" i="30" s="1"/>
  <c r="AL166" i="30"/>
  <c r="AL164" i="30"/>
  <c r="AL163" i="30"/>
  <c r="AL165" i="30" s="1"/>
  <c r="BB166" i="30"/>
  <c r="BB164" i="30"/>
  <c r="BB163" i="30"/>
  <c r="BB165" i="30" s="1"/>
  <c r="AS307" i="29"/>
  <c r="AS309" i="29" s="1"/>
  <c r="AS308" i="29"/>
  <c r="AS310" i="29"/>
  <c r="AP308" i="29"/>
  <c r="AP310" i="29"/>
  <c r="AP307" i="29"/>
  <c r="AP309" i="29" s="1"/>
  <c r="AE307" i="29"/>
  <c r="AE309" i="29" s="1"/>
  <c r="AE308" i="29"/>
  <c r="AE310" i="29"/>
  <c r="AU307" i="29"/>
  <c r="AU309" i="29" s="1"/>
  <c r="AF307" i="29"/>
  <c r="AF309" i="29" s="1"/>
  <c r="AF308" i="29"/>
  <c r="AF310" i="29"/>
  <c r="AV307" i="29"/>
  <c r="AV309" i="29" s="1"/>
  <c r="AH160" i="30"/>
  <c r="BB116" i="29"/>
  <c r="BM116" i="29" s="1"/>
  <c r="AX116" i="29"/>
  <c r="BI116" i="29" s="1"/>
  <c r="AT116" i="29"/>
  <c r="BE116" i="29" s="1"/>
  <c r="AP116" i="29"/>
  <c r="AL116"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Y116" i="29"/>
  <c r="BJ116" i="29" s="1"/>
  <c r="AU116" i="29"/>
  <c r="BF116" i="29" s="1"/>
  <c r="AQ116" i="29"/>
  <c r="AM116" i="29"/>
  <c r="AI116" i="29"/>
  <c r="BD116" i="29" s="1"/>
  <c r="AE116" i="29"/>
  <c r="AF307" i="30"/>
  <c r="AF309" i="30" s="1"/>
  <c r="AF310" i="30"/>
  <c r="AF308" i="30"/>
  <c r="AN310" i="30"/>
  <c r="AN308" i="30"/>
  <c r="AN307" i="30"/>
  <c r="AN309" i="30" s="1"/>
  <c r="AO310" i="30"/>
  <c r="AO308" i="30"/>
  <c r="AO307" i="30"/>
  <c r="AO309" i="30" s="1"/>
  <c r="AL310" i="30"/>
  <c r="AL308" i="30"/>
  <c r="AL307" i="30"/>
  <c r="AL309" i="30" s="1"/>
  <c r="BB310" i="30"/>
  <c r="BB308" i="30"/>
  <c r="BB307" i="30"/>
  <c r="BB309" i="30" s="1"/>
  <c r="AQ310" i="30"/>
  <c r="AQ308" i="30"/>
  <c r="AQ307" i="30"/>
  <c r="AQ309" i="30" s="1"/>
  <c r="BE305" i="29"/>
  <c r="BD305" i="29"/>
  <c r="AV302" i="29"/>
  <c r="AW300" i="29" s="1" a="1"/>
  <c r="AW300" i="29" s="1"/>
  <c r="AW303" i="29" s="1"/>
  <c r="BF305" i="29"/>
  <c r="AI166" i="30"/>
  <c r="AI164" i="30"/>
  <c r="AI163" i="30"/>
  <c r="AI165" i="30" s="1"/>
  <c r="AY166" i="30"/>
  <c r="AY164" i="30"/>
  <c r="AY163" i="30"/>
  <c r="AY165" i="30" s="1"/>
  <c r="AJ166" i="30"/>
  <c r="AJ164" i="30"/>
  <c r="AJ163" i="30"/>
  <c r="AJ165" i="30" s="1"/>
  <c r="AZ166" i="30"/>
  <c r="AZ164" i="30"/>
  <c r="AZ163" i="30"/>
  <c r="AZ165" i="30" s="1"/>
  <c r="AS166" i="30"/>
  <c r="AS164" i="30"/>
  <c r="AS163" i="30"/>
  <c r="AS165" i="30" s="1"/>
  <c r="AP166" i="30"/>
  <c r="AP164" i="30"/>
  <c r="AP163" i="30"/>
  <c r="AP165" i="30" s="1"/>
  <c r="AG308" i="29"/>
  <c r="AH308" i="29" s="1"/>
  <c r="AH306" i="29"/>
  <c r="AG307" i="29"/>
  <c r="AH307" i="29" s="1"/>
  <c r="AW307" i="29"/>
  <c r="AW309" i="29" s="1"/>
  <c r="AW308" i="29"/>
  <c r="AW310" i="29"/>
  <c r="AT308" i="29"/>
  <c r="AT310" i="29"/>
  <c r="AT307" i="29"/>
  <c r="AT309" i="29" s="1"/>
  <c r="AY310" i="29"/>
  <c r="AY307" i="29"/>
  <c r="AY309" i="29" s="1"/>
  <c r="AY308" i="29"/>
  <c r="AJ307" i="29"/>
  <c r="AJ309" i="29" s="1"/>
  <c r="AJ308" i="29"/>
  <c r="AJ310" i="29"/>
  <c r="AZ307" i="29"/>
  <c r="AZ309" i="29" s="1"/>
  <c r="AZ308" i="29"/>
  <c r="AZ310" i="29"/>
  <c r="AL305" i="30"/>
  <c r="AV307" i="30"/>
  <c r="AV309" i="30" s="1"/>
  <c r="AS310" i="30"/>
  <c r="AS308" i="30"/>
  <c r="AS307" i="30"/>
  <c r="AS309" i="30" s="1"/>
  <c r="AP310" i="30"/>
  <c r="AP308" i="30"/>
  <c r="AP307" i="30"/>
  <c r="AP309" i="30" s="1"/>
  <c r="AE310" i="30"/>
  <c r="AE308" i="30"/>
  <c r="AE307" i="30"/>
  <c r="AE309" i="30" s="1"/>
  <c r="AU307" i="30"/>
  <c r="AU309" i="30" s="1"/>
  <c r="AM166" i="30"/>
  <c r="AM164" i="30"/>
  <c r="AM163" i="30"/>
  <c r="AM165" i="30" s="1"/>
  <c r="BC166" i="30"/>
  <c r="BC164" i="30"/>
  <c r="BC163" i="30"/>
  <c r="BC165" i="30" s="1"/>
  <c r="AN166" i="30"/>
  <c r="AN164" i="30"/>
  <c r="AN163" i="30"/>
  <c r="AN165" i="30" s="1"/>
  <c r="AH162" i="30"/>
  <c r="AG166" i="30"/>
  <c r="AH166" i="30" s="1"/>
  <c r="AG164" i="30"/>
  <c r="AH164" i="30" s="1"/>
  <c r="AG163" i="30"/>
  <c r="AH163" i="30" s="1"/>
  <c r="AW166" i="30"/>
  <c r="AW164" i="30"/>
  <c r="AW163" i="30"/>
  <c r="AW165" i="30" s="1"/>
  <c r="AT166" i="30"/>
  <c r="AT164" i="30"/>
  <c r="AT163" i="30"/>
  <c r="AT165" i="30" s="1"/>
  <c r="AK307" i="29"/>
  <c r="AK309" i="29" s="1"/>
  <c r="AK308" i="29"/>
  <c r="AK310" i="29"/>
  <c r="BA307" i="29"/>
  <c r="BA309" i="29" s="1"/>
  <c r="BA308" i="29"/>
  <c r="BA310" i="29"/>
  <c r="AX308" i="29"/>
  <c r="AX310" i="29"/>
  <c r="AX307" i="29"/>
  <c r="AX309" i="29" s="1"/>
  <c r="AM310" i="29"/>
  <c r="AM307" i="29"/>
  <c r="AM309" i="29" s="1"/>
  <c r="AM308" i="29"/>
  <c r="BC310" i="29"/>
  <c r="BC307" i="29"/>
  <c r="BC309" i="29" s="1"/>
  <c r="BC308" i="29"/>
  <c r="AN307" i="29"/>
  <c r="AN309" i="29" s="1"/>
  <c r="AN308" i="29"/>
  <c r="AN310" i="29"/>
  <c r="AH157" i="30"/>
  <c r="AG158" i="30"/>
  <c r="AH158" i="30" s="1"/>
  <c r="AV305" i="30"/>
  <c r="BG305" i="30" s="1"/>
  <c r="AF305" i="30"/>
  <c r="AU305" i="30"/>
  <c r="AK305" i="29"/>
  <c r="AR310" i="30"/>
  <c r="AR308" i="30"/>
  <c r="AR307" i="30"/>
  <c r="AR309" i="30" s="1"/>
  <c r="AJ310" i="30"/>
  <c r="AJ308" i="30"/>
  <c r="AJ307" i="30"/>
  <c r="AJ309" i="30" s="1"/>
  <c r="AH306" i="30"/>
  <c r="AG308" i="30"/>
  <c r="AG307" i="30"/>
  <c r="AW310" i="30"/>
  <c r="AW308" i="30"/>
  <c r="AW307" i="30"/>
  <c r="AW309" i="30" s="1"/>
  <c r="AT308" i="30"/>
  <c r="AT307" i="30"/>
  <c r="AT309" i="30" s="1"/>
  <c r="AI310" i="30"/>
  <c r="AI308" i="30"/>
  <c r="AI307" i="30"/>
  <c r="AI309" i="30" s="1"/>
  <c r="AY310" i="30"/>
  <c r="AY308" i="30"/>
  <c r="AY307" i="30"/>
  <c r="AY309" i="30" s="1"/>
  <c r="AI305" i="30"/>
  <c r="AQ166" i="30"/>
  <c r="AQ164" i="30"/>
  <c r="AQ163" i="30"/>
  <c r="AQ165" i="30" s="1"/>
  <c r="AR166" i="30"/>
  <c r="AR164" i="30"/>
  <c r="AR163" i="30"/>
  <c r="AR165" i="30" s="1"/>
  <c r="AK166" i="30"/>
  <c r="AK164" i="30"/>
  <c r="AK163" i="30"/>
  <c r="AK165" i="30" s="1"/>
  <c r="BA166" i="30"/>
  <c r="BA164" i="30"/>
  <c r="BA163" i="30"/>
  <c r="BA165" i="30" s="1"/>
  <c r="AX166" i="30"/>
  <c r="AX164" i="30"/>
  <c r="AX163" i="30"/>
  <c r="AX165" i="30" s="1"/>
  <c r="AJ305" i="30"/>
  <c r="AE305" i="30"/>
  <c r="AO307" i="29"/>
  <c r="AO309" i="29" s="1"/>
  <c r="AO308" i="29"/>
  <c r="AO310" i="29"/>
  <c r="AL308" i="29"/>
  <c r="AL310" i="29"/>
  <c r="AL307" i="29"/>
  <c r="AL309" i="29" s="1"/>
  <c r="BB308" i="29"/>
  <c r="BB310" i="29"/>
  <c r="BB307" i="29"/>
  <c r="BB309" i="29" s="1"/>
  <c r="AQ310" i="29"/>
  <c r="AQ307" i="29"/>
  <c r="AQ309" i="29" s="1"/>
  <c r="AQ308" i="29"/>
  <c r="AR307" i="29"/>
  <c r="AR309" i="29" s="1"/>
  <c r="AR308" i="29"/>
  <c r="AR310" i="29"/>
  <c r="AH155" i="30"/>
  <c r="AH308" i="30" l="1"/>
  <c r="AG309" i="29"/>
  <c r="AH309" i="29" s="1"/>
  <c r="AG310" i="29"/>
  <c r="AH310" i="29" s="1"/>
  <c r="AU310" i="29"/>
  <c r="AH307" i="30"/>
  <c r="AH116" i="29"/>
  <c r="AG165" i="30"/>
  <c r="AH165" i="30" s="1"/>
  <c r="AH161" i="30" s="1"/>
  <c r="AV310" i="29"/>
  <c r="AV303" i="29"/>
  <c r="AU303" i="29"/>
  <c r="AG309" i="30"/>
  <c r="AH309" i="30" s="1"/>
  <c r="BF305" i="30"/>
  <c r="AZ118" i="29"/>
  <c r="AV118" i="29"/>
  <c r="AR118" i="29"/>
  <c r="AN118" i="29"/>
  <c r="AJ118" i="29"/>
  <c r="AF118" i="29"/>
  <c r="BC118" i="29"/>
  <c r="AY118" i="29"/>
  <c r="AU118" i="29"/>
  <c r="AQ118" i="29"/>
  <c r="AM118" i="29"/>
  <c r="AI118" i="29"/>
  <c r="AE118" i="29"/>
  <c r="F119" i="29" a="1"/>
  <c r="F119" i="29" s="1"/>
  <c r="BO118" i="29"/>
  <c r="BB118" i="29"/>
  <c r="AX118" i="29"/>
  <c r="AT118" i="29"/>
  <c r="AP118" i="29"/>
  <c r="AL118" i="29"/>
  <c r="BA118" i="29"/>
  <c r="AW118" i="29"/>
  <c r="AS118" i="29"/>
  <c r="AO118" i="29"/>
  <c r="AK118" i="29"/>
  <c r="AG118" i="29"/>
  <c r="AH301" i="30"/>
  <c r="AG302" i="30"/>
  <c r="AH305" i="29" l="1"/>
  <c r="BM118" i="29"/>
  <c r="BD118" i="29"/>
  <c r="BJ118" i="29"/>
  <c r="BL118" i="29"/>
  <c r="BF118" i="29"/>
  <c r="BK118" i="29"/>
  <c r="AH302" i="30"/>
  <c r="AG310" i="30"/>
  <c r="AH310" i="30" s="1"/>
  <c r="AH305" i="30" s="1"/>
  <c r="BI118" i="29"/>
  <c r="AH118" i="29"/>
  <c r="BH118" i="29"/>
  <c r="BE118" i="29"/>
  <c r="F120" i="29" a="1"/>
  <c r="F120" i="29" s="1"/>
  <c r="BO119" i="29"/>
  <c r="BB119" i="29"/>
  <c r="BM119" i="29" s="1"/>
  <c r="AX119" i="29"/>
  <c r="BI119" i="29" s="1"/>
  <c r="AT119" i="29"/>
  <c r="BE119" i="29" s="1"/>
  <c r="AP119" i="29"/>
  <c r="AL119" i="29"/>
  <c r="BA119" i="29"/>
  <c r="BL119" i="29" s="1"/>
  <c r="AW119" i="29"/>
  <c r="BH119" i="29" s="1"/>
  <c r="AS119" i="29"/>
  <c r="AO119" i="29"/>
  <c r="AK119" i="29"/>
  <c r="AG119" i="29"/>
  <c r="AZ119" i="29"/>
  <c r="BK119" i="29" s="1"/>
  <c r="AV119" i="29"/>
  <c r="BG119" i="29" s="1"/>
  <c r="AR119" i="29"/>
  <c r="AN119" i="29"/>
  <c r="AJ119" i="29"/>
  <c r="AF119" i="29"/>
  <c r="BC119" i="29"/>
  <c r="AY119" i="29"/>
  <c r="BJ119" i="29" s="1"/>
  <c r="AU119" i="29"/>
  <c r="BF119" i="29" s="1"/>
  <c r="AQ119" i="29"/>
  <c r="AM119" i="29"/>
  <c r="AI119" i="29"/>
  <c r="BD119" i="29" s="1"/>
  <c r="AE119" i="29"/>
  <c r="BG118" i="29"/>
  <c r="AH119" i="29" l="1"/>
  <c r="AZ120" i="29"/>
  <c r="BK120" i="29" s="1"/>
  <c r="AV120" i="29"/>
  <c r="AR120" i="29"/>
  <c r="AR117" i="29" s="1"/>
  <c r="AR150" i="29" s="1"/>
  <c r="AN120" i="29"/>
  <c r="AN117" i="29" s="1"/>
  <c r="AN150" i="29" s="1"/>
  <c r="AJ120" i="29"/>
  <c r="AJ117" i="29" s="1"/>
  <c r="AJ150" i="29" s="1"/>
  <c r="AF120" i="29"/>
  <c r="AF117" i="29" s="1"/>
  <c r="AF150" i="29" s="1"/>
  <c r="BC120" i="29"/>
  <c r="BC117" i="29" s="1"/>
  <c r="BC150" i="29" s="1"/>
  <c r="AY120" i="29"/>
  <c r="BJ120" i="29" s="1"/>
  <c r="AU120" i="29"/>
  <c r="BF120" i="29" s="1"/>
  <c r="AQ120" i="29"/>
  <c r="AQ117" i="29" s="1"/>
  <c r="AQ150" i="29" s="1"/>
  <c r="AM120" i="29"/>
  <c r="AM117" i="29" s="1"/>
  <c r="AM150" i="29" s="1"/>
  <c r="AI120" i="29"/>
  <c r="BD120" i="29" s="1"/>
  <c r="AE120" i="29"/>
  <c r="AE117" i="29" s="1"/>
  <c r="F121" i="29" a="1"/>
  <c r="F121" i="29" s="1"/>
  <c r="BO120" i="29"/>
  <c r="BB120" i="29"/>
  <c r="BM120" i="29" s="1"/>
  <c r="AX120" i="29"/>
  <c r="AT120" i="29"/>
  <c r="BE120" i="29" s="1"/>
  <c r="AP120" i="29"/>
  <c r="AP117" i="29" s="1"/>
  <c r="AP150" i="29" s="1"/>
  <c r="AL120" i="29"/>
  <c r="AL117" i="29" s="1"/>
  <c r="AL150" i="29" s="1"/>
  <c r="BA120" i="29"/>
  <c r="BL120" i="29" s="1"/>
  <c r="AW120" i="29"/>
  <c r="AS120" i="29"/>
  <c r="AS117" i="29" s="1"/>
  <c r="AS150" i="29" s="1"/>
  <c r="AO120" i="29"/>
  <c r="AO117" i="29" s="1"/>
  <c r="AO150" i="29" s="1"/>
  <c r="AK120" i="29"/>
  <c r="AK117" i="29" s="1"/>
  <c r="AK150" i="29" s="1"/>
  <c r="AG120" i="29"/>
  <c r="AH120" i="29" s="1"/>
  <c r="AZ117" i="29"/>
  <c r="AY117" i="29"/>
  <c r="BB117" i="29"/>
  <c r="AT117" i="29"/>
  <c r="AU117" i="29"/>
  <c r="AI117" i="29"/>
  <c r="AS149" i="29" l="1"/>
  <c r="AS151" i="29"/>
  <c r="AP151" i="29"/>
  <c r="AP149" i="29"/>
  <c r="AR149" i="29"/>
  <c r="AR151" i="29"/>
  <c r="BC151" i="29"/>
  <c r="BC149" i="29"/>
  <c r="AK149" i="29"/>
  <c r="AK151" i="29"/>
  <c r="AE150" i="29"/>
  <c r="AJ149" i="29"/>
  <c r="AL151" i="29"/>
  <c r="AL149" i="29"/>
  <c r="AG117" i="29"/>
  <c r="BA117" i="29"/>
  <c r="BE117" i="29"/>
  <c r="AT150" i="29"/>
  <c r="BK117" i="29"/>
  <c r="AZ150" i="29"/>
  <c r="AM151" i="29"/>
  <c r="AM149" i="29"/>
  <c r="BH120" i="29"/>
  <c r="AW117" i="29"/>
  <c r="F122" i="29"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AQ151" i="29"/>
  <c r="AQ149" i="29"/>
  <c r="AF149" i="29"/>
  <c r="AF151" i="29"/>
  <c r="BG120" i="29"/>
  <c r="AV117" i="29"/>
  <c r="BI120" i="29"/>
  <c r="AX117" i="29"/>
  <c r="BD117" i="29"/>
  <c r="AI150" i="29"/>
  <c r="BM117" i="29"/>
  <c r="BB150" i="29"/>
  <c r="BF117" i="29"/>
  <c r="AU150" i="29"/>
  <c r="BJ117" i="29"/>
  <c r="AY150" i="29"/>
  <c r="AO149" i="29"/>
  <c r="AO151" i="29"/>
  <c r="AN149" i="29"/>
  <c r="AN151" i="29"/>
  <c r="AU151" i="29" l="1"/>
  <c r="BF151" i="29" s="1"/>
  <c r="AU149" i="29"/>
  <c r="BF150" i="29"/>
  <c r="AI151" i="29"/>
  <c r="BD151" i="29" s="1"/>
  <c r="BD150" i="29"/>
  <c r="AI149" i="29"/>
  <c r="BG117" i="29"/>
  <c r="AV150" i="29"/>
  <c r="BE150" i="29"/>
  <c r="AT149" i="29"/>
  <c r="F136" i="29" a="1"/>
  <c r="F136" i="29" s="1"/>
  <c r="BO135" i="29"/>
  <c r="AJ135" i="29"/>
  <c r="AJ151" i="29" s="1"/>
  <c r="AE151" i="29"/>
  <c r="AE149" i="29"/>
  <c r="BH117" i="29"/>
  <c r="AW150" i="29"/>
  <c r="AZ149" i="29"/>
  <c r="BK150" i="29"/>
  <c r="AZ151" i="29"/>
  <c r="BK151" i="29" s="1"/>
  <c r="BL117" i="29"/>
  <c r="BA150" i="29"/>
  <c r="AY151" i="29"/>
  <c r="BJ151" i="29" s="1"/>
  <c r="AY149" i="29"/>
  <c r="BJ150" i="29"/>
  <c r="BM150" i="29"/>
  <c r="BB151" i="29"/>
  <c r="BM151" i="29" s="1"/>
  <c r="BB149" i="29"/>
  <c r="BI117" i="29"/>
  <c r="AX150" i="29"/>
  <c r="AH117" i="29"/>
  <c r="AG150" i="29"/>
  <c r="BI150" i="29" l="1"/>
  <c r="AX151" i="29"/>
  <c r="BI151" i="29" s="1"/>
  <c r="AX149" i="29"/>
  <c r="BA149" i="29"/>
  <c r="BL150" i="29"/>
  <c r="BA151" i="29"/>
  <c r="BL151" i="29" s="1"/>
  <c r="AV149" i="29"/>
  <c r="BG150" i="29"/>
  <c r="AV151" i="29"/>
  <c r="BG151" i="29" s="1"/>
  <c r="AW149" i="29"/>
  <c r="BH150" i="29"/>
  <c r="AW151" i="29"/>
  <c r="BH151" i="29" s="1"/>
  <c r="AG149" i="29"/>
  <c r="AH149" i="29" s="1"/>
  <c r="AG151" i="29"/>
  <c r="AH150" i="29"/>
  <c r="AH151" i="29" s="1"/>
  <c r="F137" i="29" a="1"/>
  <c r="F137" i="29" s="1"/>
  <c r="AJ137" i="29" l="1"/>
  <c r="F138" i="29" a="1"/>
  <c r="F138" i="29" s="1"/>
  <c r="BO137" i="29"/>
  <c r="AT137" i="29"/>
  <c r="AT138" i="29" l="1"/>
  <c r="AJ138" i="29"/>
  <c r="F139" i="29" a="1"/>
  <c r="F139" i="29" s="1"/>
  <c r="BO138" i="29"/>
  <c r="F140" i="29" l="1" a="1"/>
  <c r="F140" i="29" s="1"/>
  <c r="AJ139" i="29"/>
  <c r="BO140" i="29" l="1"/>
  <c r="AT140" i="29"/>
  <c r="F141" i="29" a="1"/>
  <c r="F141" i="29" s="1"/>
  <c r="AJ140" i="29"/>
  <c r="F142" i="29" l="1" a="1"/>
  <c r="F142" i="29" s="1"/>
  <c r="BO141" i="29"/>
  <c r="AT141" i="29"/>
  <c r="AJ141" i="29"/>
  <c r="F143" i="29" l="1" a="1"/>
  <c r="F143" i="29" s="1"/>
  <c r="BO142" i="29"/>
  <c r="AT142" i="29"/>
  <c r="AJ142" i="29"/>
  <c r="AJ143" i="29" l="1"/>
  <c r="F144" i="29" a="1"/>
  <c r="F144" i="29" s="1"/>
  <c r="BO143" i="29"/>
  <c r="AT143" i="29"/>
  <c r="BE143" i="29" s="1"/>
  <c r="AT144" i="29" l="1"/>
  <c r="AJ144" i="29"/>
  <c r="F145" i="29" a="1"/>
  <c r="F145" i="29" s="1"/>
  <c r="BO144" i="29"/>
  <c r="F146" i="29" l="1" a="1"/>
  <c r="F146" i="29" s="1"/>
  <c r="BO145" i="29"/>
  <c r="AT145" i="29"/>
  <c r="AJ145" i="29"/>
  <c r="F147" i="29" l="1" a="1"/>
  <c r="F147" i="29" s="1"/>
  <c r="BO146" i="29"/>
  <c r="AT146" i="29"/>
  <c r="AJ146" i="29"/>
  <c r="AJ147" i="29" l="1"/>
  <c r="BO147" i="29"/>
  <c r="F148" i="29" a="1"/>
  <c r="F148" i="29" s="1"/>
  <c r="F149" i="29" s="1" a="1"/>
  <c r="F149" i="29" s="1"/>
  <c r="F150" i="29" s="1" a="1"/>
  <c r="F150" i="29" s="1"/>
  <c r="F151" i="29" s="1" a="1"/>
  <c r="F151" i="29" s="1"/>
  <c r="F152" i="29" s="1" a="1"/>
  <c r="F152" i="29" s="1"/>
  <c r="F153" i="29" s="1" a="1"/>
  <c r="F153" i="29" s="1"/>
  <c r="F154" i="29" s="1" a="1"/>
  <c r="F154" i="29" s="1"/>
  <c r="AT147" i="29"/>
  <c r="F155" i="29" l="1" a="1"/>
  <c r="F155" i="29" s="1"/>
  <c r="F156" i="29" s="1" a="1"/>
  <c r="F156" i="29" s="1"/>
  <c r="F157" i="29" s="1" a="1"/>
  <c r="F157" i="29" s="1"/>
  <c r="F158" i="29" s="1" a="1"/>
  <c r="F158" i="29" s="1"/>
  <c r="F159" i="29" s="1" a="1"/>
  <c r="F159" i="29" s="1"/>
  <c r="F160" i="29" s="1" a="1"/>
  <c r="F160" i="29" s="1"/>
  <c r="F161" i="29" s="1" a="1"/>
  <c r="F161" i="29" s="1"/>
  <c r="F162" i="29" s="1" a="1"/>
  <c r="F162" i="29" s="1"/>
  <c r="BC154" i="29"/>
  <c r="AY154" i="29"/>
  <c r="AU154" i="29"/>
  <c r="AQ154" i="29"/>
  <c r="AM154" i="29"/>
  <c r="AI154" i="29"/>
  <c r="AE154" i="29"/>
  <c r="BB154" i="29"/>
  <c r="AX154" i="29"/>
  <c r="AT154" i="29"/>
  <c r="AP154" i="29"/>
  <c r="AL154" i="29"/>
  <c r="BA154" i="29"/>
  <c r="AW154" i="29"/>
  <c r="AS154" i="29"/>
  <c r="AO154" i="29"/>
  <c r="AK154" i="29"/>
  <c r="AG154" i="29"/>
  <c r="AZ154" i="29"/>
  <c r="AV154" i="29"/>
  <c r="AR154" i="29"/>
  <c r="AN154" i="29"/>
  <c r="AJ154" i="29"/>
  <c r="AF154" i="29"/>
  <c r="AJ161" i="29" l="1"/>
  <c r="AJ160" i="29"/>
  <c r="AJ155" i="29"/>
  <c r="AJ157" i="29" s="1"/>
  <c r="AJ158" i="29" s="1"/>
  <c r="AZ161" i="29"/>
  <c r="BK161" i="29" s="1"/>
  <c r="AZ160" i="29"/>
  <c r="AZ155" i="29"/>
  <c r="AZ157" i="29" s="1"/>
  <c r="AZ158" i="29" s="1"/>
  <c r="BA156" i="29" s="1" a="1"/>
  <c r="BA156" i="29" s="1"/>
  <c r="BA159" i="29" s="1"/>
  <c r="AS161" i="29"/>
  <c r="AS160" i="29"/>
  <c r="AS155" i="29"/>
  <c r="AS157" i="29" s="1"/>
  <c r="AS158" i="29" s="1"/>
  <c r="AP161" i="29"/>
  <c r="AP160" i="29"/>
  <c r="AP155" i="29"/>
  <c r="AP157" i="29" s="1"/>
  <c r="AP158" i="29" s="1"/>
  <c r="AE155" i="29"/>
  <c r="AE157" i="29" s="1"/>
  <c r="AE158" i="29" s="1"/>
  <c r="AE161" i="29"/>
  <c r="AE160" i="29"/>
  <c r="AU155" i="29"/>
  <c r="AU157" i="29" s="1"/>
  <c r="AU158" i="29" s="1"/>
  <c r="AV156" i="29" s="1" a="1"/>
  <c r="AV156" i="29" s="1"/>
  <c r="AV159" i="29" s="1"/>
  <c r="AU161" i="29"/>
  <c r="BF161" i="29" s="1"/>
  <c r="AU160" i="29"/>
  <c r="AN161" i="29"/>
  <c r="AN160" i="29"/>
  <c r="AN155" i="29"/>
  <c r="AN157" i="29" s="1"/>
  <c r="AN158" i="29" s="1"/>
  <c r="AG161" i="29"/>
  <c r="AG160" i="29"/>
  <c r="AH154" i="29"/>
  <c r="AG155" i="29"/>
  <c r="AW161" i="29"/>
  <c r="BH161" i="29" s="1"/>
  <c r="AW160" i="29"/>
  <c r="AW155" i="29"/>
  <c r="AW157" i="29" s="1"/>
  <c r="AW158" i="29" s="1"/>
  <c r="AX156" i="29" s="1" a="1"/>
  <c r="AX156" i="29" s="1"/>
  <c r="AX159" i="29" s="1"/>
  <c r="AT161" i="29"/>
  <c r="BE161" i="29" s="1"/>
  <c r="AT160" i="29"/>
  <c r="AT155" i="29"/>
  <c r="AT157" i="29" s="1"/>
  <c r="AT158" i="29" s="1"/>
  <c r="AU156" i="29" s="1" a="1"/>
  <c r="AU156" i="29" s="1"/>
  <c r="AU159" i="29" s="1"/>
  <c r="AI155" i="29"/>
  <c r="AI157" i="29" s="1"/>
  <c r="AI158" i="29" s="1"/>
  <c r="AI161" i="29"/>
  <c r="BD161" i="29" s="1"/>
  <c r="AI160" i="29"/>
  <c r="AY155" i="29"/>
  <c r="AY157" i="29" s="1"/>
  <c r="AY158" i="29" s="1"/>
  <c r="AZ156" i="29" s="1" a="1"/>
  <c r="AZ156" i="29" s="1"/>
  <c r="AZ159" i="29" s="1"/>
  <c r="AY161" i="29"/>
  <c r="BJ161" i="29" s="1"/>
  <c r="AY160" i="29"/>
  <c r="AR161" i="29"/>
  <c r="AR160" i="29"/>
  <c r="AR155" i="29"/>
  <c r="AR157" i="29" s="1"/>
  <c r="AR158" i="29" s="1"/>
  <c r="AK161" i="29"/>
  <c r="AK160" i="29"/>
  <c r="AK155" i="29"/>
  <c r="AK157" i="29" s="1"/>
  <c r="AK158" i="29" s="1"/>
  <c r="BA161" i="29"/>
  <c r="BL161" i="29" s="1"/>
  <c r="BA160" i="29"/>
  <c r="BA155" i="29"/>
  <c r="BA157" i="29" s="1"/>
  <c r="BA158" i="29" s="1"/>
  <c r="BB156" i="29" s="1" a="1"/>
  <c r="BB156" i="29" s="1"/>
  <c r="BB159" i="29" s="1"/>
  <c r="AX161" i="29"/>
  <c r="BI161" i="29" s="1"/>
  <c r="AX160" i="29"/>
  <c r="AX155" i="29"/>
  <c r="AX157" i="29" s="1"/>
  <c r="AX158" i="29" s="1"/>
  <c r="AY156" i="29" s="1" a="1"/>
  <c r="AY156" i="29" s="1"/>
  <c r="AY159" i="29" s="1"/>
  <c r="AM155" i="29"/>
  <c r="AM157" i="29" s="1"/>
  <c r="AM158" i="29" s="1"/>
  <c r="AM161" i="29"/>
  <c r="AM160" i="29"/>
  <c r="BC155" i="29"/>
  <c r="BC157" i="29" s="1"/>
  <c r="BC158" i="29" s="1"/>
  <c r="BC161" i="29"/>
  <c r="BC160" i="29"/>
  <c r="AF161" i="29"/>
  <c r="AF160" i="29"/>
  <c r="AF155" i="29"/>
  <c r="AF157" i="29" s="1"/>
  <c r="AF158" i="29" s="1"/>
  <c r="AV161" i="29"/>
  <c r="BG161" i="29" s="1"/>
  <c r="AV160" i="29"/>
  <c r="AV155" i="29"/>
  <c r="AV157" i="29" s="1"/>
  <c r="AV158" i="29" s="1"/>
  <c r="AW156" i="29" s="1" a="1"/>
  <c r="AW156" i="29" s="1"/>
  <c r="AW159" i="29" s="1"/>
  <c r="AO161" i="29"/>
  <c r="AO160" i="29"/>
  <c r="AO155" i="29"/>
  <c r="AO157" i="29" s="1"/>
  <c r="AO158" i="29" s="1"/>
  <c r="AL161" i="29"/>
  <c r="AL160" i="29"/>
  <c r="AL155" i="29"/>
  <c r="AL157" i="29" s="1"/>
  <c r="AL158" i="29" s="1"/>
  <c r="BB161" i="29"/>
  <c r="BM161" i="29" s="1"/>
  <c r="BB160" i="29"/>
  <c r="BB155" i="29"/>
  <c r="BB157" i="29" s="1"/>
  <c r="BB158" i="29" s="1"/>
  <c r="BC156" i="29" s="1" a="1"/>
  <c r="BC156" i="29" s="1"/>
  <c r="BC159" i="29" s="1"/>
  <c r="AQ155" i="29"/>
  <c r="AQ157" i="29" s="1"/>
  <c r="AQ158" i="29" s="1"/>
  <c r="AQ161" i="29"/>
  <c r="AQ160" i="29"/>
  <c r="AZ162" i="29"/>
  <c r="AV162" i="29"/>
  <c r="AR162" i="29"/>
  <c r="AN162" i="29"/>
  <c r="AJ162" i="29"/>
  <c r="AF162" i="29"/>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BA162" i="29"/>
  <c r="AW162" i="29"/>
  <c r="AS162" i="29"/>
  <c r="AO162" i="29"/>
  <c r="AK162" i="29"/>
  <c r="AG162" i="29"/>
  <c r="AK166" i="29" l="1"/>
  <c r="AK164" i="29"/>
  <c r="AK163" i="29"/>
  <c r="AK165" i="29" s="1"/>
  <c r="AG67" i="27" s="1"/>
  <c r="AO166" i="29"/>
  <c r="AO164" i="29"/>
  <c r="AO163" i="29"/>
  <c r="AO165" i="29" s="1"/>
  <c r="AS67" i="27" s="1"/>
  <c r="AL166" i="29"/>
  <c r="AL164" i="29"/>
  <c r="AL163" i="29"/>
  <c r="AL165" i="29" s="1"/>
  <c r="AJ67" i="27" s="1"/>
  <c r="BB166" i="29"/>
  <c r="BB164" i="29"/>
  <c r="BB163" i="29"/>
  <c r="BB165" i="29" s="1"/>
  <c r="BC67" i="27" s="1"/>
  <c r="BC65" i="27" s="1"/>
  <c r="AQ166" i="29"/>
  <c r="AQ164" i="29"/>
  <c r="AQ163" i="29"/>
  <c r="AQ165" i="29" s="1"/>
  <c r="AY67" i="27" s="1"/>
  <c r="AT137" i="27"/>
  <c r="AS35" i="27"/>
  <c r="AU35" i="27" s="1"/>
  <c r="AE79" i="27"/>
  <c r="AW137" i="27"/>
  <c r="AG35" i="27"/>
  <c r="AI35" i="27" s="1"/>
  <c r="BC97" i="27"/>
  <c r="AG38" i="27"/>
  <c r="AZ91" i="27"/>
  <c r="AJ79" i="27"/>
  <c r="AL79" i="27" s="1"/>
  <c r="BE49" i="27"/>
  <c r="AZ105" i="27"/>
  <c r="AZ103" i="27" s="1"/>
  <c r="AT81" i="27"/>
  <c r="AG91" i="27"/>
  <c r="AP97" i="27"/>
  <c r="AR97" i="27" s="1"/>
  <c r="AP95" i="27"/>
  <c r="AR95" i="27" s="1"/>
  <c r="AM34" i="27"/>
  <c r="AJ34" i="27"/>
  <c r="BE105" i="27"/>
  <c r="AH37" i="27"/>
  <c r="AP111" i="27"/>
  <c r="AK123" i="27"/>
  <c r="AK121" i="27" s="1"/>
  <c r="AD55" i="27"/>
  <c r="AJ90" i="27"/>
  <c r="AG100" i="26"/>
  <c r="AQ37" i="27"/>
  <c r="AJ111" i="27"/>
  <c r="AG90" i="26"/>
  <c r="AY61" i="27"/>
  <c r="BC91" i="27"/>
  <c r="BF90" i="27"/>
  <c r="BF92" i="27" s="1"/>
  <c r="BC37" i="27"/>
  <c r="AE97" i="27"/>
  <c r="BC111" i="27"/>
  <c r="BC109" i="27" s="1"/>
  <c r="AJ49" i="27"/>
  <c r="AS37" i="27"/>
  <c r="AU37" i="27" s="1"/>
  <c r="AV37" i="27"/>
  <c r="AX37" i="27" s="1"/>
  <c r="AW117" i="27"/>
  <c r="AW115" i="27" s="1"/>
  <c r="AT134" i="27"/>
  <c r="AT136" i="27" s="1"/>
  <c r="AS61" i="27"/>
  <c r="AC82" i="31"/>
  <c r="AJ78" i="27"/>
  <c r="AN81" i="27"/>
  <c r="AN90" i="27"/>
  <c r="AP91" i="27"/>
  <c r="AR91" i="27" s="1"/>
  <c r="AK134" i="27"/>
  <c r="BB55" i="27"/>
  <c r="AK37" i="27"/>
  <c r="BE55" i="27"/>
  <c r="BE95" i="27"/>
  <c r="BG95" i="27" s="1"/>
  <c r="AQ123" i="27"/>
  <c r="AQ121" i="27" s="1"/>
  <c r="AN117" i="27"/>
  <c r="AN115" i="27" s="1"/>
  <c r="AE105" i="27"/>
  <c r="AE103" i="27" s="1"/>
  <c r="AV41" i="27"/>
  <c r="AX41" i="27" s="1"/>
  <c r="BE97" i="27"/>
  <c r="BG97" i="27" s="1"/>
  <c r="AJ55" i="27"/>
  <c r="AE134" i="27"/>
  <c r="BF55" i="27"/>
  <c r="BF53" i="27" s="1"/>
  <c r="AE49" i="27"/>
  <c r="AE47" i="27" s="1"/>
  <c r="AK49" i="27"/>
  <c r="AK47" i="27" s="1"/>
  <c r="AM37" i="27"/>
  <c r="AO37" i="27" s="1"/>
  <c r="AZ49" i="27"/>
  <c r="AZ47" i="27" s="1"/>
  <c r="BB117" i="27"/>
  <c r="AJ135" i="27"/>
  <c r="AD34" i="27"/>
  <c r="BB37" i="27"/>
  <c r="BD37" i="27" s="1"/>
  <c r="BB78" i="27"/>
  <c r="AS41" i="27"/>
  <c r="AU41" i="27" s="1"/>
  <c r="AK95" i="27"/>
  <c r="AH95" i="27"/>
  <c r="BE90" i="27"/>
  <c r="AD97" i="27"/>
  <c r="AF97" i="27" s="1"/>
  <c r="AP93" i="27"/>
  <c r="AR93" i="27" s="1"/>
  <c r="AK35" i="27"/>
  <c r="AE137" i="27"/>
  <c r="AJ35" i="27"/>
  <c r="AL35" i="27" s="1"/>
  <c r="AE55" i="27"/>
  <c r="AE53" i="27" s="1"/>
  <c r="AN137" i="27"/>
  <c r="AW111" i="27"/>
  <c r="AW109" i="27" s="1"/>
  <c r="AV93" i="27"/>
  <c r="AX93" i="27" s="1"/>
  <c r="BE117" i="27"/>
  <c r="AT97" i="27"/>
  <c r="AH123" i="27"/>
  <c r="AH121" i="27" s="1"/>
  <c r="AE34" i="27"/>
  <c r="AE36" i="27" s="1"/>
  <c r="AP117" i="27"/>
  <c r="BB95" i="27"/>
  <c r="BD95" i="27" s="1"/>
  <c r="BB79" i="27"/>
  <c r="BD79" i="27" s="1"/>
  <c r="AV97" i="27"/>
  <c r="AX97" i="27" s="1"/>
  <c r="AN97" i="27"/>
  <c r="AD79" i="27"/>
  <c r="AF79" i="27" s="1"/>
  <c r="AZ111" i="27"/>
  <c r="AZ109" i="27" s="1"/>
  <c r="BC123" i="27"/>
  <c r="BC121" i="27" s="1"/>
  <c r="AD91" i="27"/>
  <c r="AV49" i="27"/>
  <c r="AG93" i="26"/>
  <c r="AD90" i="27"/>
  <c r="AY39" i="27"/>
  <c r="BA39" i="27" s="1"/>
  <c r="AJ38" i="27"/>
  <c r="AT135" i="27"/>
  <c r="AW34" i="27"/>
  <c r="AW36" i="27" s="1"/>
  <c r="AZ41" i="27"/>
  <c r="BB34" i="27"/>
  <c r="AW90" i="27"/>
  <c r="AW92" i="27" s="1"/>
  <c r="AK93" i="27"/>
  <c r="AH49" i="27"/>
  <c r="AH47" i="27" s="1"/>
  <c r="AV117" i="27"/>
  <c r="AD95" i="27"/>
  <c r="AG38" i="26"/>
  <c r="BC81" i="27"/>
  <c r="AY81" i="27"/>
  <c r="BA81" i="27" s="1"/>
  <c r="AS97" i="27"/>
  <c r="AU97" i="27" s="1"/>
  <c r="AM117" i="27"/>
  <c r="AJ81" i="27"/>
  <c r="AL81" i="27" s="1"/>
  <c r="BF79" i="27"/>
  <c r="AN135" i="27"/>
  <c r="AS78" i="27"/>
  <c r="AG42" i="26"/>
  <c r="AJ97" i="27"/>
  <c r="AM134" i="27"/>
  <c r="BF34" i="27"/>
  <c r="BF36" i="27" s="1"/>
  <c r="AZ97" i="27"/>
  <c r="AY135" i="27"/>
  <c r="BA135" i="27" s="1"/>
  <c r="AS49" i="27"/>
  <c r="AH79" i="27"/>
  <c r="BE79" i="27"/>
  <c r="BG79" i="27" s="1"/>
  <c r="AK90" i="27"/>
  <c r="AW79" i="27"/>
  <c r="AJ117" i="27"/>
  <c r="AQ117" i="27"/>
  <c r="AQ115" i="27" s="1"/>
  <c r="BE137" i="27"/>
  <c r="BG137" i="27" s="1"/>
  <c r="AQ34" i="27"/>
  <c r="AQ36" i="27" s="1"/>
  <c r="AM105" i="27"/>
  <c r="AT34" i="27"/>
  <c r="AT36" i="27" s="1"/>
  <c r="AH78" i="27"/>
  <c r="AH80" i="27" s="1"/>
  <c r="AP105" i="27"/>
  <c r="AG37" i="27"/>
  <c r="AI37" i="27" s="1"/>
  <c r="AN95" i="27"/>
  <c r="BF97" i="27"/>
  <c r="BF95" i="27"/>
  <c r="AW123" i="27"/>
  <c r="AW121" i="27" s="1"/>
  <c r="AV95" i="27"/>
  <c r="AX95" i="27" s="1"/>
  <c r="AD117" i="27"/>
  <c r="AP94" i="27"/>
  <c r="AW135" i="27"/>
  <c r="BF78" i="27"/>
  <c r="BF80" i="27" s="1"/>
  <c r="AY117" i="27"/>
  <c r="BC94" i="27"/>
  <c r="BC96" i="27" s="1"/>
  <c r="AZ135" i="27"/>
  <c r="BC34" i="27"/>
  <c r="BC36" i="27" s="1"/>
  <c r="AG37" i="26"/>
  <c r="AT117" i="27"/>
  <c r="AT115" i="27" s="1"/>
  <c r="AN105" i="27"/>
  <c r="AN103" i="27" s="1"/>
  <c r="AT123" i="27"/>
  <c r="AT121" i="27" s="1"/>
  <c r="AV134" i="27"/>
  <c r="AN91" i="27"/>
  <c r="AK97" i="27"/>
  <c r="AG94" i="27"/>
  <c r="AV34" i="27"/>
  <c r="BB90" i="27"/>
  <c r="AC31" i="31"/>
  <c r="AD111" i="27"/>
  <c r="AM79" i="27"/>
  <c r="AO79" i="27" s="1"/>
  <c r="AE135" i="27"/>
  <c r="AJ95" i="27"/>
  <c r="AL95" i="27" s="1"/>
  <c r="AP123" i="27"/>
  <c r="AZ37" i="27"/>
  <c r="AZ93" i="27"/>
  <c r="AQ105" i="27"/>
  <c r="AQ103" i="27" s="1"/>
  <c r="AZ95" i="27"/>
  <c r="AM35" i="27"/>
  <c r="AO35" i="27" s="1"/>
  <c r="AZ34" i="27"/>
  <c r="AZ36" i="27" s="1"/>
  <c r="AE35" i="27"/>
  <c r="AG97" i="27"/>
  <c r="AG39" i="26"/>
  <c r="AS79" i="27"/>
  <c r="AU79" i="27" s="1"/>
  <c r="AV137" i="27"/>
  <c r="AX137" i="27" s="1"/>
  <c r="AY41" i="27"/>
  <c r="BA41" i="27" s="1"/>
  <c r="BC35" i="27"/>
  <c r="AE90" i="27"/>
  <c r="AV79" i="27"/>
  <c r="AX79" i="27" s="1"/>
  <c r="AE37" i="27"/>
  <c r="AT35" i="27"/>
  <c r="AS123" i="27"/>
  <c r="AW41" i="27"/>
  <c r="BE91" i="27"/>
  <c r="BG91" i="27" s="1"/>
  <c r="AP137" i="27"/>
  <c r="AR137" i="27" s="1"/>
  <c r="BE135" i="27"/>
  <c r="BG135" i="27" s="1"/>
  <c r="AS90" i="27"/>
  <c r="AD35" i="27"/>
  <c r="AF35" i="27" s="1"/>
  <c r="AT79" i="27"/>
  <c r="BB111" i="27"/>
  <c r="AJ94" i="27"/>
  <c r="AW105" i="27"/>
  <c r="AW103" i="27" s="1"/>
  <c r="BE93" i="27"/>
  <c r="BG93" i="27" s="1"/>
  <c r="AT37" i="27"/>
  <c r="BC78" i="27"/>
  <c r="BC80" i="27" s="1"/>
  <c r="AD41" i="27"/>
  <c r="AF41" i="27" s="1"/>
  <c r="AP90" i="27"/>
  <c r="AV81" i="27"/>
  <c r="AX81" i="27" s="1"/>
  <c r="BB91" i="27"/>
  <c r="BD91" i="27" s="1"/>
  <c r="AG134" i="27"/>
  <c r="AW78" i="27"/>
  <c r="AW80" i="27" s="1"/>
  <c r="AQ78" i="27"/>
  <c r="AQ80" i="27" s="1"/>
  <c r="BE78" i="27"/>
  <c r="AK135" i="27"/>
  <c r="BC38" i="27"/>
  <c r="BC40" i="27" s="1"/>
  <c r="BB123" i="27"/>
  <c r="AT105" i="27"/>
  <c r="AT103" i="27" s="1"/>
  <c r="AE95" i="27"/>
  <c r="AY94" i="27"/>
  <c r="AY38" i="27"/>
  <c r="AQ35" i="27"/>
  <c r="AM94" i="27"/>
  <c r="BB41" i="27"/>
  <c r="BD41" i="27" s="1"/>
  <c r="AS34" i="27"/>
  <c r="AY111" i="27"/>
  <c r="AM49" i="27"/>
  <c r="AN49" i="27"/>
  <c r="AN47" i="27" s="1"/>
  <c r="AE91" i="27"/>
  <c r="AG93" i="27"/>
  <c r="AK117" i="27"/>
  <c r="AK115" i="27" s="1"/>
  <c r="AH34" i="27"/>
  <c r="AH36" i="27" s="1"/>
  <c r="AV90" i="27"/>
  <c r="AK55" i="27"/>
  <c r="AK53" i="27" s="1"/>
  <c r="AG92" i="26"/>
  <c r="AP55" i="27"/>
  <c r="BB105" i="27"/>
  <c r="AK34" i="27"/>
  <c r="AK36" i="27" s="1"/>
  <c r="AS111" i="27"/>
  <c r="BC79" i="27"/>
  <c r="AP78" i="27"/>
  <c r="BB81" i="27"/>
  <c r="BD81" i="27" s="1"/>
  <c r="AG40" i="26"/>
  <c r="AQ49" i="27"/>
  <c r="AQ47" i="27" s="1"/>
  <c r="BC55" i="27"/>
  <c r="BC53" i="27" s="1"/>
  <c r="AG95" i="27"/>
  <c r="AH117" i="27"/>
  <c r="AH115" i="27" s="1"/>
  <c r="AS91" i="27"/>
  <c r="AU91" i="27" s="1"/>
  <c r="AM123" i="27"/>
  <c r="BF123" i="27"/>
  <c r="BF121" i="27" s="1"/>
  <c r="AY123" i="27"/>
  <c r="AV78" i="27"/>
  <c r="BB35" i="27"/>
  <c r="BD35" i="27" s="1"/>
  <c r="AV94" i="27"/>
  <c r="AG55" i="27"/>
  <c r="AM95" i="27"/>
  <c r="AO95" i="27" s="1"/>
  <c r="AH137" i="27"/>
  <c r="AQ97" i="27"/>
  <c r="AQ134" i="27"/>
  <c r="AQ136" i="27" s="1"/>
  <c r="AJ123" i="27"/>
  <c r="AY105" i="27"/>
  <c r="AQ111" i="27"/>
  <c r="AQ109" i="27" s="1"/>
  <c r="AG111" i="27"/>
  <c r="AT55" i="27"/>
  <c r="AT53" i="27" s="1"/>
  <c r="AY55" i="27"/>
  <c r="BC105" i="27"/>
  <c r="BC103" i="27" s="1"/>
  <c r="AD93" i="27"/>
  <c r="AT93" i="27"/>
  <c r="AM78" i="27"/>
  <c r="AG88" i="26"/>
  <c r="AM90" i="27"/>
  <c r="AH111" i="27"/>
  <c r="AH109" i="27" s="1"/>
  <c r="AE123" i="27"/>
  <c r="AE121" i="27" s="1"/>
  <c r="AZ117" i="27"/>
  <c r="AZ115" i="27" s="1"/>
  <c r="AP134" i="27"/>
  <c r="AE94" i="27"/>
  <c r="AW49" i="27"/>
  <c r="AW47" i="27" s="1"/>
  <c r="AG39" i="27"/>
  <c r="AI39" i="27" s="1"/>
  <c r="AW94" i="27"/>
  <c r="AW96" i="27" s="1"/>
  <c r="AE93" i="27"/>
  <c r="BF49" i="27"/>
  <c r="BF47" i="27" s="1"/>
  <c r="AN123" i="27"/>
  <c r="AN121" i="27" s="1"/>
  <c r="BF105" i="27"/>
  <c r="BF103" i="27" s="1"/>
  <c r="BE81" i="27"/>
  <c r="BG81" i="27" s="1"/>
  <c r="AG117" i="27"/>
  <c r="AP49" i="27"/>
  <c r="AH90" i="27"/>
  <c r="AY37" i="27"/>
  <c r="BA37" i="27" s="1"/>
  <c r="AG50" i="26"/>
  <c r="AG41" i="26"/>
  <c r="AH105" i="27"/>
  <c r="AH103" i="27" s="1"/>
  <c r="AG61" i="27"/>
  <c r="AD78" i="27"/>
  <c r="AM41" i="27"/>
  <c r="AO41" i="27" s="1"/>
  <c r="AT78" i="27"/>
  <c r="AT80" i="27" s="1"/>
  <c r="BC95" i="27"/>
  <c r="BC135" i="27"/>
  <c r="AQ41" i="27"/>
  <c r="AY134" i="27"/>
  <c r="AN94" i="27"/>
  <c r="AN96" i="27" s="1"/>
  <c r="AM81" i="27"/>
  <c r="AO81" i="27" s="1"/>
  <c r="AD105" i="27"/>
  <c r="AV135" i="27"/>
  <c r="AX135" i="27" s="1"/>
  <c r="AH93" i="27"/>
  <c r="BE37" i="27"/>
  <c r="BG37" i="27" s="1"/>
  <c r="AD37" i="27"/>
  <c r="AF37" i="27" s="1"/>
  <c r="AD81" i="27"/>
  <c r="AF81" i="27" s="1"/>
  <c r="AK41" i="27"/>
  <c r="AK91" i="27"/>
  <c r="AG137" i="27"/>
  <c r="AW81" i="27"/>
  <c r="AG79" i="27"/>
  <c r="AI79" i="27" s="1"/>
  <c r="AQ55" i="27"/>
  <c r="AQ53" i="27" s="1"/>
  <c r="BF93" i="27"/>
  <c r="AQ94" i="27"/>
  <c r="AQ96" i="27" s="1"/>
  <c r="AZ134" i="27"/>
  <c r="AZ136" i="27" s="1"/>
  <c r="AZ35" i="27"/>
  <c r="BE123" i="27"/>
  <c r="AM111" i="27"/>
  <c r="BF41" i="27"/>
  <c r="BB94" i="27"/>
  <c r="AE111" i="27"/>
  <c r="AE109" i="27" s="1"/>
  <c r="AZ81" i="27"/>
  <c r="AS134" i="27"/>
  <c r="AH41" i="27"/>
  <c r="BB135" i="27"/>
  <c r="BD135" i="27" s="1"/>
  <c r="BE41" i="27"/>
  <c r="BG41" i="27" s="1"/>
  <c r="AS95" i="27"/>
  <c r="AU95" i="27" s="1"/>
  <c r="AM55" i="27"/>
  <c r="AG101" i="26"/>
  <c r="AV123" i="27"/>
  <c r="AH55" i="27"/>
  <c r="AH53" i="27" s="1"/>
  <c r="AT94" i="27"/>
  <c r="AT96" i="27" s="1"/>
  <c r="AJ93" i="27"/>
  <c r="AL93" i="27" s="1"/>
  <c r="AV35" i="27"/>
  <c r="AX35" i="27" s="1"/>
  <c r="AK94" i="27"/>
  <c r="AK96" i="27" s="1"/>
  <c r="AN37" i="27"/>
  <c r="AS55" i="27"/>
  <c r="AZ94" i="27"/>
  <c r="AZ96" i="27" s="1"/>
  <c r="AN41" i="27"/>
  <c r="AQ91" i="27"/>
  <c r="AS38" i="27"/>
  <c r="AQ81" i="27"/>
  <c r="AS137" i="27"/>
  <c r="AU137" i="27" s="1"/>
  <c r="AK137" i="27"/>
  <c r="AS81" i="27"/>
  <c r="AU81" i="27" s="1"/>
  <c r="AG87" i="26"/>
  <c r="BF111" i="27"/>
  <c r="BF109" i="27" s="1"/>
  <c r="AK111" i="27"/>
  <c r="AK109" i="27" s="1"/>
  <c r="BB134" i="27"/>
  <c r="AK105" i="27"/>
  <c r="AK103" i="27" s="1"/>
  <c r="BE34" i="27"/>
  <c r="AN34" i="27"/>
  <c r="AN36" i="27" s="1"/>
  <c r="AY35" i="27"/>
  <c r="BA35" i="27" s="1"/>
  <c r="AH35" i="27"/>
  <c r="BF91" i="27"/>
  <c r="AN93" i="27"/>
  <c r="AJ39" i="27"/>
  <c r="AL39" i="27" s="1"/>
  <c r="AM93" i="27"/>
  <c r="AO93" i="27" s="1"/>
  <c r="AM97" i="27"/>
  <c r="AO97" i="27" s="1"/>
  <c r="AJ134" i="27"/>
  <c r="AN134" i="27"/>
  <c r="AN136" i="27" s="1"/>
  <c r="AN55" i="27"/>
  <c r="AN53" i="27" s="1"/>
  <c r="AH135" i="27"/>
  <c r="AH97" i="27"/>
  <c r="BF135" i="27"/>
  <c r="AE78" i="27"/>
  <c r="AE80" i="27" s="1"/>
  <c r="BF117" i="27"/>
  <c r="BF115" i="27" s="1"/>
  <c r="AG99" i="26"/>
  <c r="BC41" i="27"/>
  <c r="BC39" i="27"/>
  <c r="AP81" i="27"/>
  <c r="AR81" i="27" s="1"/>
  <c r="AN78" i="27"/>
  <c r="AN80" i="27" s="1"/>
  <c r="BC49" i="27"/>
  <c r="BC47" i="27" s="1"/>
  <c r="BF81" i="27"/>
  <c r="AD123" i="27"/>
  <c r="BE94" i="27"/>
  <c r="AJ37" i="27"/>
  <c r="AL37" i="27" s="1"/>
  <c r="AY95" i="27"/>
  <c r="BA95" i="27" s="1"/>
  <c r="AQ135" i="27"/>
  <c r="AQ93" i="27"/>
  <c r="BB97" i="27"/>
  <c r="BD97" i="27" s="1"/>
  <c r="AQ90" i="27"/>
  <c r="AQ92" i="27" s="1"/>
  <c r="AP34" i="27"/>
  <c r="AH134" i="27"/>
  <c r="BC137" i="27"/>
  <c r="AP79" i="27"/>
  <c r="AR79" i="27" s="1"/>
  <c r="AD94" i="27"/>
  <c r="BF94" i="27"/>
  <c r="BF96" i="27" s="1"/>
  <c r="AY49" i="27"/>
  <c r="AT90" i="27"/>
  <c r="AT92" i="27" s="1"/>
  <c r="AG49" i="27"/>
  <c r="BF134" i="27"/>
  <c r="BF136" i="27" s="1"/>
  <c r="AV91" i="27"/>
  <c r="AX91" i="27" s="1"/>
  <c r="AN111" i="27"/>
  <c r="AN109" i="27" s="1"/>
  <c r="BF37" i="27"/>
  <c r="AT41" i="27"/>
  <c r="AW93" i="27"/>
  <c r="AG123" i="27"/>
  <c r="AG34" i="27"/>
  <c r="AW91" i="27"/>
  <c r="AY91" i="27"/>
  <c r="BA91" i="27" s="1"/>
  <c r="AQ137" i="27"/>
  <c r="AP37" i="27"/>
  <c r="AR37" i="27" s="1"/>
  <c r="AK79" i="27"/>
  <c r="AV111" i="27"/>
  <c r="AS135" i="27"/>
  <c r="AU135" i="27" s="1"/>
  <c r="AG81" i="27"/>
  <c r="AI81" i="27" s="1"/>
  <c r="BF35" i="27"/>
  <c r="AM137" i="27"/>
  <c r="AO137" i="27" s="1"/>
  <c r="BF137" i="27"/>
  <c r="AY137" i="27"/>
  <c r="BA137" i="27" s="1"/>
  <c r="AG36" i="26"/>
  <c r="AG90" i="27"/>
  <c r="AW95" i="27"/>
  <c r="AJ91" i="27"/>
  <c r="AJ41" i="27"/>
  <c r="AL41" i="27" s="1"/>
  <c r="BB137" i="27"/>
  <c r="BD137" i="27" s="1"/>
  <c r="BE111" i="27"/>
  <c r="AS105" i="27"/>
  <c r="AH94" i="27"/>
  <c r="AH96" i="27" s="1"/>
  <c r="AG78" i="27"/>
  <c r="AD49" i="27"/>
  <c r="BB93" i="27"/>
  <c r="BD93" i="27" s="1"/>
  <c r="AN35" i="27"/>
  <c r="AP41" i="27"/>
  <c r="AR41" i="27" s="1"/>
  <c r="AK78" i="27"/>
  <c r="AK80" i="27" s="1"/>
  <c r="AM135" i="27"/>
  <c r="AO135" i="27" s="1"/>
  <c r="AW35" i="27"/>
  <c r="AY79" i="27"/>
  <c r="BA79" i="27" s="1"/>
  <c r="BC90" i="27"/>
  <c r="BC92" i="27" s="1"/>
  <c r="BB49" i="27"/>
  <c r="AS93" i="27"/>
  <c r="AU93" i="27" s="1"/>
  <c r="AH91" i="27"/>
  <c r="AZ90" i="27"/>
  <c r="AZ92" i="27" s="1"/>
  <c r="AZ55" i="27"/>
  <c r="AZ53" i="27" s="1"/>
  <c r="AG48" i="26"/>
  <c r="AT91" i="27"/>
  <c r="AY90" i="27"/>
  <c r="AJ61" i="27"/>
  <c r="AZ79" i="27"/>
  <c r="BC134" i="27"/>
  <c r="BC136" i="27" s="1"/>
  <c r="AW97" i="27"/>
  <c r="AG41" i="27"/>
  <c r="AI41" i="27" s="1"/>
  <c r="AH81" i="27"/>
  <c r="BE35" i="27"/>
  <c r="BG35" i="27" s="1"/>
  <c r="AV55" i="27"/>
  <c r="AT49" i="27"/>
  <c r="AT47" i="27" s="1"/>
  <c r="AD135" i="27"/>
  <c r="AF135" i="27" s="1"/>
  <c r="AD137" i="27"/>
  <c r="AF137" i="27" s="1"/>
  <c r="BE134" i="27"/>
  <c r="BC93" i="27"/>
  <c r="AY34" i="27"/>
  <c r="AY93" i="27"/>
  <c r="BA93" i="27" s="1"/>
  <c r="AN79" i="27"/>
  <c r="AV105" i="27"/>
  <c r="AG105" i="27"/>
  <c r="AT95" i="27"/>
  <c r="AQ95" i="27"/>
  <c r="AP35" i="27"/>
  <c r="AR35" i="27" s="1"/>
  <c r="AE41" i="27"/>
  <c r="AJ137" i="27"/>
  <c r="BC117" i="27"/>
  <c r="BC115" i="27" s="1"/>
  <c r="AS94" i="27"/>
  <c r="AG43" i="26"/>
  <c r="AK81" i="27"/>
  <c r="AG135" i="27"/>
  <c r="AI135" i="27" s="1"/>
  <c r="AG91" i="26"/>
  <c r="AY97" i="27"/>
  <c r="BA97" i="27" s="1"/>
  <c r="AY78" i="27"/>
  <c r="AE81" i="27"/>
  <c r="AZ137" i="27"/>
  <c r="AM91" i="27"/>
  <c r="AO91" i="27" s="1"/>
  <c r="AE117" i="27"/>
  <c r="AE115" i="27" s="1"/>
  <c r="AQ79" i="27"/>
  <c r="AD134" i="27"/>
  <c r="AP135" i="27"/>
  <c r="AR135" i="27" s="1"/>
  <c r="AW55" i="27"/>
  <c r="AW53" i="27" s="1"/>
  <c r="AW37" i="27"/>
  <c r="AS117" i="27"/>
  <c r="AW134" i="27"/>
  <c r="AW136" i="27" s="1"/>
  <c r="AG89" i="26"/>
  <c r="AT111" i="27"/>
  <c r="AT109" i="27" s="1"/>
  <c r="AZ123" i="27"/>
  <c r="AZ121" i="27" s="1"/>
  <c r="AG94" i="26"/>
  <c r="AJ105" i="27"/>
  <c r="AS39" i="27"/>
  <c r="AU39" i="27" s="1"/>
  <c r="AZ78" i="27"/>
  <c r="AZ80" i="27" s="1"/>
  <c r="AG49" i="26"/>
  <c r="AR166" i="29"/>
  <c r="BB39" i="27" s="1"/>
  <c r="BD39" i="27" s="1"/>
  <c r="AR164" i="29"/>
  <c r="BB38" i="27" s="1"/>
  <c r="AR163" i="29"/>
  <c r="BB61" i="27" s="1"/>
  <c r="AS166" i="29"/>
  <c r="BE39" i="27" s="1"/>
  <c r="BG39" i="27" s="1"/>
  <c r="AS164" i="29"/>
  <c r="BE38" i="27" s="1"/>
  <c r="AS163" i="29"/>
  <c r="BE61" i="27" s="1"/>
  <c r="AP166" i="29"/>
  <c r="AV39" i="27" s="1"/>
  <c r="AX39" i="27" s="1"/>
  <c r="AP164" i="29"/>
  <c r="AV38" i="27" s="1"/>
  <c r="AP163" i="29"/>
  <c r="AV61" i="27" s="1"/>
  <c r="AE166" i="29"/>
  <c r="AE164" i="29"/>
  <c r="AE163" i="29"/>
  <c r="AE165" i="29" s="1"/>
  <c r="AU166" i="29"/>
  <c r="AH39" i="27" s="1"/>
  <c r="AU164" i="29"/>
  <c r="AH38" i="27" s="1"/>
  <c r="AH40" i="27" s="1"/>
  <c r="AU163" i="29"/>
  <c r="AH61" i="27" s="1"/>
  <c r="AH59" i="27" s="1"/>
  <c r="AF166" i="29"/>
  <c r="AF164" i="29"/>
  <c r="AF163" i="29"/>
  <c r="AF165" i="29" s="1"/>
  <c r="AV166" i="29"/>
  <c r="AK39" i="27" s="1"/>
  <c r="AV164" i="29"/>
  <c r="AK38" i="27" s="1"/>
  <c r="AK40" i="27" s="1"/>
  <c r="AV163" i="29"/>
  <c r="AK61" i="27" s="1"/>
  <c r="AK59" i="27" s="1"/>
  <c r="AH160" i="29"/>
  <c r="AH162" i="29"/>
  <c r="AG166" i="29"/>
  <c r="AG164" i="29"/>
  <c r="AH164" i="29" s="1"/>
  <c r="AG163" i="29"/>
  <c r="AT166" i="29"/>
  <c r="AE39" i="27" s="1"/>
  <c r="AT164" i="29"/>
  <c r="AE38" i="27" s="1"/>
  <c r="AE40" i="27" s="1"/>
  <c r="AT163" i="29"/>
  <c r="AE61" i="27" s="1"/>
  <c r="AE59" i="27" s="1"/>
  <c r="AI166" i="29"/>
  <c r="AI164" i="29"/>
  <c r="AI163" i="29"/>
  <c r="AI165" i="29" s="1"/>
  <c r="AY166" i="29"/>
  <c r="AT39" i="27" s="1"/>
  <c r="AY164" i="29"/>
  <c r="AT38" i="27" s="1"/>
  <c r="AT40" i="27" s="1"/>
  <c r="AY163" i="29"/>
  <c r="AT61" i="27" s="1"/>
  <c r="AT59" i="27" s="1"/>
  <c r="AJ166" i="29"/>
  <c r="AD39" i="27" s="1"/>
  <c r="AF39" i="27" s="1"/>
  <c r="AJ164" i="29"/>
  <c r="AD38" i="27" s="1"/>
  <c r="AJ163" i="29"/>
  <c r="AD61" i="27" s="1"/>
  <c r="AZ166" i="29"/>
  <c r="AW39" i="27" s="1"/>
  <c r="AZ164" i="29"/>
  <c r="AW38" i="27" s="1"/>
  <c r="AW40" i="27" s="1"/>
  <c r="AZ163" i="29"/>
  <c r="AW61" i="27" s="1"/>
  <c r="AW59" i="27" s="1"/>
  <c r="AW166" i="29"/>
  <c r="AN39" i="27" s="1"/>
  <c r="AW164" i="29"/>
  <c r="AN38" i="27" s="1"/>
  <c r="AN40" i="27" s="1"/>
  <c r="AW163" i="29"/>
  <c r="AN61" i="27" s="1"/>
  <c r="AN59" i="27" s="1"/>
  <c r="BA166" i="29"/>
  <c r="AZ39" i="27" s="1"/>
  <c r="BA164" i="29"/>
  <c r="AZ38" i="27" s="1"/>
  <c r="AZ40" i="27" s="1"/>
  <c r="BA163" i="29"/>
  <c r="AZ61" i="27" s="1"/>
  <c r="AZ59" i="27" s="1"/>
  <c r="AX166" i="29"/>
  <c r="AQ39" i="27" s="1"/>
  <c r="AX164" i="29"/>
  <c r="AQ38" i="27" s="1"/>
  <c r="AQ40" i="27" s="1"/>
  <c r="AX163" i="29"/>
  <c r="AQ61" i="27" s="1"/>
  <c r="AQ59" i="27" s="1"/>
  <c r="AM166" i="29"/>
  <c r="AM39" i="27" s="1"/>
  <c r="AO39" i="27" s="1"/>
  <c r="AM164" i="29"/>
  <c r="AM38" i="27" s="1"/>
  <c r="AM163" i="29"/>
  <c r="AM61" i="27" s="1"/>
  <c r="BC166" i="29"/>
  <c r="BF39" i="27" s="1"/>
  <c r="BC164" i="29"/>
  <c r="BF38" i="27" s="1"/>
  <c r="BF40" i="27" s="1"/>
  <c r="BC163" i="29"/>
  <c r="BF61" i="27" s="1"/>
  <c r="BF59" i="27" s="1"/>
  <c r="AN166" i="29"/>
  <c r="AP39" i="27" s="1"/>
  <c r="AR39" i="27" s="1"/>
  <c r="AN164" i="29"/>
  <c r="AP38" i="27" s="1"/>
  <c r="AN163" i="29"/>
  <c r="AP61" i="27" s="1"/>
  <c r="AH155" i="29"/>
  <c r="AG157" i="29"/>
  <c r="AL91" i="27" l="1"/>
  <c r="AE96" i="27"/>
  <c r="AL137" i="27"/>
  <c r="AI137" i="27"/>
  <c r="AI95" i="27"/>
  <c r="BC61" i="27"/>
  <c r="BC59" i="27" s="1"/>
  <c r="AH136" i="27"/>
  <c r="AV165" i="29"/>
  <c r="AK67" i="27" s="1"/>
  <c r="AK65" i="27" s="1"/>
  <c r="AU165" i="29"/>
  <c r="AH67" i="27" s="1"/>
  <c r="AH65" i="27" s="1"/>
  <c r="AP165" i="29"/>
  <c r="AV67" i="27" s="1"/>
  <c r="AV65" i="27" s="1"/>
  <c r="AX65" i="27" s="1"/>
  <c r="AS165" i="29"/>
  <c r="BE67" i="27" s="1"/>
  <c r="BE65" i="27" s="1"/>
  <c r="BG65" i="27" s="1"/>
  <c r="AR165" i="29"/>
  <c r="BB67" i="27" s="1"/>
  <c r="BD67" i="27" s="1"/>
  <c r="AH163" i="29"/>
  <c r="AM59" i="27"/>
  <c r="AO59" i="27" s="1"/>
  <c r="AO61" i="27"/>
  <c r="AX61" i="27"/>
  <c r="AV59" i="27"/>
  <c r="AX59" i="27" s="1"/>
  <c r="AF38" i="27"/>
  <c r="AD40" i="27"/>
  <c r="BD61" i="27"/>
  <c r="BB59" i="27"/>
  <c r="BD59" i="27" s="1"/>
  <c r="BE40" i="27"/>
  <c r="BG38" i="27"/>
  <c r="AI67" i="27"/>
  <c r="AG65" i="27"/>
  <c r="AI65" i="27" s="1"/>
  <c r="AR61" i="27"/>
  <c r="AP59" i="27"/>
  <c r="AR59" i="27" s="1"/>
  <c r="AU67" i="27"/>
  <c r="AS65" i="27"/>
  <c r="AU65" i="27" s="1"/>
  <c r="BG61" i="27"/>
  <c r="BE59" i="27"/>
  <c r="BG59" i="27" s="1"/>
  <c r="AO38" i="27"/>
  <c r="AM40" i="27"/>
  <c r="AV40" i="27"/>
  <c r="AX38" i="27"/>
  <c r="BD38" i="27"/>
  <c r="BB40" i="27"/>
  <c r="BA67" i="27"/>
  <c r="AY65" i="27"/>
  <c r="BA65" i="27" s="1"/>
  <c r="AR38" i="27"/>
  <c r="AP40" i="27"/>
  <c r="AF61" i="27"/>
  <c r="AD59" i="27"/>
  <c r="AF59" i="27" s="1"/>
  <c r="AL67" i="27"/>
  <c r="AJ65" i="27"/>
  <c r="AL65" i="27" s="1"/>
  <c r="AG158" i="29"/>
  <c r="AH158" i="29" s="1"/>
  <c r="AH157" i="29"/>
  <c r="AN165" i="29"/>
  <c r="AP67" i="27" s="1"/>
  <c r="BC165" i="29"/>
  <c r="BF67" i="27" s="1"/>
  <c r="BF65" i="27" s="1"/>
  <c r="AM165" i="29"/>
  <c r="AM67" i="27" s="1"/>
  <c r="AX165" i="29"/>
  <c r="AQ67" i="27" s="1"/>
  <c r="AQ65" i="27" s="1"/>
  <c r="BA165" i="29"/>
  <c r="AZ67" i="27" s="1"/>
  <c r="AZ65" i="27" s="1"/>
  <c r="AW165" i="29"/>
  <c r="AN67" i="27" s="1"/>
  <c r="AN65" i="27" s="1"/>
  <c r="AZ165" i="29"/>
  <c r="AW67" i="27" s="1"/>
  <c r="AW65" i="27" s="1"/>
  <c r="AJ165" i="29"/>
  <c r="AD67" i="27" s="1"/>
  <c r="AY165" i="29"/>
  <c r="AT67" i="27" s="1"/>
  <c r="AT65" i="27" s="1"/>
  <c r="AT165" i="29"/>
  <c r="AE67" i="27" s="1"/>
  <c r="AE65" i="27" s="1"/>
  <c r="AG165" i="29"/>
  <c r="AH165" i="29" s="1"/>
  <c r="AU117" i="27"/>
  <c r="AS115" i="27"/>
  <c r="AU115" i="27" s="1"/>
  <c r="AF134" i="27"/>
  <c r="AD136" i="27"/>
  <c r="BA78" i="27"/>
  <c r="AY80" i="27"/>
  <c r="AS96" i="27"/>
  <c r="AU94" i="27"/>
  <c r="BE136" i="27"/>
  <c r="BG134" i="27"/>
  <c r="AG92" i="27"/>
  <c r="AI90" i="27"/>
  <c r="AI34" i="27"/>
  <c r="AG36" i="27"/>
  <c r="BA49" i="27"/>
  <c r="AY47" i="27"/>
  <c r="BA47" i="27" s="1"/>
  <c r="BG34" i="27"/>
  <c r="BE36" i="27"/>
  <c r="AS136" i="27"/>
  <c r="AU134" i="27"/>
  <c r="AR49" i="27"/>
  <c r="AP47" i="27"/>
  <c r="AR47" i="27" s="1"/>
  <c r="AR134" i="27"/>
  <c r="AP136" i="27"/>
  <c r="BA55" i="27"/>
  <c r="AY53" i="27"/>
  <c r="BA53" i="27" s="1"/>
  <c r="AV96" i="27"/>
  <c r="AX94" i="27"/>
  <c r="AP80" i="27"/>
  <c r="AR78" i="27"/>
  <c r="BD105" i="27"/>
  <c r="BB103" i="27"/>
  <c r="BD103" i="27" s="1"/>
  <c r="AI93" i="27"/>
  <c r="BA111" i="27"/>
  <c r="AY109" i="27"/>
  <c r="BA109" i="27" s="1"/>
  <c r="BA94" i="27"/>
  <c r="AY96" i="27"/>
  <c r="AR90" i="27"/>
  <c r="AP92" i="27"/>
  <c r="AJ96" i="27"/>
  <c r="AL94" i="27"/>
  <c r="AE92" i="27"/>
  <c r="BD90" i="27"/>
  <c r="BB92" i="27"/>
  <c r="AK92" i="27"/>
  <c r="AL97" i="27"/>
  <c r="AF95" i="27"/>
  <c r="AF91" i="27"/>
  <c r="BB80" i="27"/>
  <c r="BD78" i="27"/>
  <c r="BD117" i="27"/>
  <c r="BB115" i="27"/>
  <c r="BD115" i="27" s="1"/>
  <c r="AJ53" i="27"/>
  <c r="AL53" i="27" s="1"/>
  <c r="AL55" i="27"/>
  <c r="BG55" i="27"/>
  <c r="BE53" i="27"/>
  <c r="BG53" i="27" s="1"/>
  <c r="AJ80" i="27"/>
  <c r="AL78" i="27"/>
  <c r="AJ92" i="27"/>
  <c r="AL90" i="27"/>
  <c r="AR111" i="27"/>
  <c r="AP109" i="27"/>
  <c r="AR109" i="27" s="1"/>
  <c r="AO34" i="27"/>
  <c r="AM36" i="27"/>
  <c r="AH166" i="29"/>
  <c r="AI105" i="27"/>
  <c r="AG103" i="27"/>
  <c r="AI103" i="27" s="1"/>
  <c r="BA34" i="27"/>
  <c r="AY36" i="27"/>
  <c r="AX55" i="27"/>
  <c r="AV53" i="27"/>
  <c r="AX53" i="27" s="1"/>
  <c r="AL61" i="27"/>
  <c r="AJ59" i="27"/>
  <c r="AL59" i="27" s="1"/>
  <c r="BD49" i="27"/>
  <c r="BB47" i="27"/>
  <c r="BD47" i="27" s="1"/>
  <c r="AI123" i="27"/>
  <c r="AG121" i="27"/>
  <c r="AI121" i="27" s="1"/>
  <c r="AI49" i="27"/>
  <c r="AG47" i="27"/>
  <c r="AI47" i="27" s="1"/>
  <c r="BE96" i="27"/>
  <c r="BG94" i="27"/>
  <c r="AG83" i="26"/>
  <c r="AG81" i="26" s="1"/>
  <c r="AG79" i="26" s="1"/>
  <c r="AX123" i="27"/>
  <c r="AV121" i="27"/>
  <c r="AX121" i="27" s="1"/>
  <c r="AO111" i="27"/>
  <c r="AM109" i="27"/>
  <c r="AO109" i="27" s="1"/>
  <c r="AD80" i="27"/>
  <c r="AF78" i="27"/>
  <c r="AI117" i="27"/>
  <c r="AG115" i="27"/>
  <c r="AI115" i="27" s="1"/>
  <c r="AM92" i="27"/>
  <c r="AO90" i="27"/>
  <c r="BA105" i="27"/>
  <c r="AY103" i="27"/>
  <c r="BA103" i="27" s="1"/>
  <c r="AO123" i="27"/>
  <c r="AM121" i="27"/>
  <c r="AO121" i="27" s="1"/>
  <c r="AR55" i="27"/>
  <c r="AP53" i="27"/>
  <c r="AR53" i="27" s="1"/>
  <c r="AV92" i="27"/>
  <c r="AX90" i="27"/>
  <c r="AO94" i="27"/>
  <c r="AM96" i="27"/>
  <c r="BG78" i="27"/>
  <c r="BE80" i="27"/>
  <c r="AG136" i="27"/>
  <c r="AI134" i="27"/>
  <c r="AV36" i="27"/>
  <c r="AX34" i="27"/>
  <c r="AV136" i="27"/>
  <c r="AX134" i="27"/>
  <c r="AO105" i="27"/>
  <c r="AM103" i="27"/>
  <c r="AO103" i="27" s="1"/>
  <c r="AJ115" i="27"/>
  <c r="AL115" i="27" s="1"/>
  <c r="AL117" i="27"/>
  <c r="AV115" i="27"/>
  <c r="AX115" i="27" s="1"/>
  <c r="AX117" i="27"/>
  <c r="BB36" i="27"/>
  <c r="BD34" i="27"/>
  <c r="AJ40" i="27"/>
  <c r="AL38" i="27"/>
  <c r="AF90" i="27"/>
  <c r="AD92" i="27"/>
  <c r="AR117" i="27"/>
  <c r="AP115" i="27"/>
  <c r="AR115" i="27" s="1"/>
  <c r="AN92" i="27"/>
  <c r="AL49" i="27"/>
  <c r="AJ47" i="27"/>
  <c r="AL47" i="27" s="1"/>
  <c r="AL111" i="27"/>
  <c r="AJ109" i="27"/>
  <c r="AL109" i="27" s="1"/>
  <c r="AF55" i="27"/>
  <c r="AD53" i="27"/>
  <c r="AF53" i="27" s="1"/>
  <c r="BE47" i="27"/>
  <c r="BG47" i="27" s="1"/>
  <c r="BG49" i="27"/>
  <c r="AG40" i="27"/>
  <c r="AI38" i="27"/>
  <c r="AL105" i="27"/>
  <c r="AJ103" i="27"/>
  <c r="AL103" i="27" s="1"/>
  <c r="AX105" i="27"/>
  <c r="AV103" i="27"/>
  <c r="AX103" i="27" s="1"/>
  <c r="AY92" i="27"/>
  <c r="BA90" i="27"/>
  <c r="AF49" i="27"/>
  <c r="AD47" i="27"/>
  <c r="AF47" i="27" s="1"/>
  <c r="AU105" i="27"/>
  <c r="AS103" i="27"/>
  <c r="AU103" i="27" s="1"/>
  <c r="AG32" i="26"/>
  <c r="AG30" i="26" s="1"/>
  <c r="AG28" i="26" s="1"/>
  <c r="AX111" i="27"/>
  <c r="AV109" i="27"/>
  <c r="AX109" i="27" s="1"/>
  <c r="AD96" i="27"/>
  <c r="AF94" i="27"/>
  <c r="AP36" i="27"/>
  <c r="AR34" i="27"/>
  <c r="AF123" i="27"/>
  <c r="AD121" i="27"/>
  <c r="AF121" i="27" s="1"/>
  <c r="BD134" i="27"/>
  <c r="BB136" i="27"/>
  <c r="AS40" i="27"/>
  <c r="AU38" i="27"/>
  <c r="AU55" i="27"/>
  <c r="AS53" i="27"/>
  <c r="AU53" i="27" s="1"/>
  <c r="BG123" i="27"/>
  <c r="BE121" i="27"/>
  <c r="BG121" i="27" s="1"/>
  <c r="AI61" i="27"/>
  <c r="AG59" i="27"/>
  <c r="AI59" i="27" s="1"/>
  <c r="AF93" i="27"/>
  <c r="AL123" i="27"/>
  <c r="AJ121" i="27"/>
  <c r="AL121" i="27" s="1"/>
  <c r="AV80" i="27"/>
  <c r="AX78" i="27"/>
  <c r="AS109" i="27"/>
  <c r="AU109" i="27" s="1"/>
  <c r="AU111" i="27"/>
  <c r="AU34" i="27"/>
  <c r="AS36" i="27"/>
  <c r="BD123" i="27"/>
  <c r="BB121" i="27"/>
  <c r="BD121" i="27" s="1"/>
  <c r="BD111" i="27"/>
  <c r="BB109" i="27"/>
  <c r="BD109" i="27" s="1"/>
  <c r="AS92" i="27"/>
  <c r="AU90" i="27"/>
  <c r="AI97" i="27"/>
  <c r="AR123" i="27"/>
  <c r="AP121" i="27"/>
  <c r="AR121" i="27" s="1"/>
  <c r="AF111" i="27"/>
  <c r="AD109" i="27"/>
  <c r="AF109" i="27" s="1"/>
  <c r="AG96" i="27"/>
  <c r="AI94" i="27"/>
  <c r="AP96" i="27"/>
  <c r="AR94" i="27"/>
  <c r="AR105" i="27"/>
  <c r="AP103" i="27"/>
  <c r="AR103" i="27" s="1"/>
  <c r="AU78" i="27"/>
  <c r="AS80" i="27"/>
  <c r="BG117" i="27"/>
  <c r="BE115" i="27"/>
  <c r="BG115" i="27" s="1"/>
  <c r="AD36" i="27"/>
  <c r="AF34" i="27"/>
  <c r="BD55" i="27"/>
  <c r="BB53" i="27"/>
  <c r="BD53" i="27" s="1"/>
  <c r="AU61" i="27"/>
  <c r="AS59" i="27"/>
  <c r="AU59" i="27" s="1"/>
  <c r="BG105" i="27"/>
  <c r="BE103" i="27"/>
  <c r="BG103" i="27" s="1"/>
  <c r="AI78" i="27"/>
  <c r="AG80" i="27"/>
  <c r="BE109" i="27"/>
  <c r="BG109" i="27" s="1"/>
  <c r="BG111" i="27"/>
  <c r="AJ136" i="27"/>
  <c r="AL134" i="27"/>
  <c r="AO55" i="27"/>
  <c r="AM53" i="27"/>
  <c r="AO53" i="27" s="1"/>
  <c r="BB96" i="27"/>
  <c r="BD94" i="27"/>
  <c r="AF105" i="27"/>
  <c r="AD103" i="27"/>
  <c r="AF103" i="27" s="1"/>
  <c r="AY136" i="27"/>
  <c r="BA134" i="27"/>
  <c r="AH92" i="27"/>
  <c r="AO78" i="27"/>
  <c r="AM80" i="27"/>
  <c r="AI111" i="27"/>
  <c r="AG109" i="27"/>
  <c r="AI109" i="27" s="1"/>
  <c r="AI55" i="27"/>
  <c r="AG53" i="27"/>
  <c r="AI53" i="27" s="1"/>
  <c r="BA123" i="27"/>
  <c r="AY121" i="27"/>
  <c r="BA121" i="27" s="1"/>
  <c r="AO49" i="27"/>
  <c r="AM47" i="27"/>
  <c r="AO47" i="27" s="1"/>
  <c r="BA38" i="27"/>
  <c r="AY40" i="27"/>
  <c r="AU123" i="27"/>
  <c r="AS121" i="27"/>
  <c r="AU121" i="27" s="1"/>
  <c r="BA117" i="27"/>
  <c r="AY115" i="27"/>
  <c r="BA115" i="27" s="1"/>
  <c r="AF117" i="27"/>
  <c r="AD115" i="27"/>
  <c r="AF115" i="27" s="1"/>
  <c r="AS47" i="27"/>
  <c r="AU47" i="27" s="1"/>
  <c r="AU49" i="27"/>
  <c r="AM136" i="27"/>
  <c r="AO134" i="27"/>
  <c r="AO117" i="27"/>
  <c r="AM115" i="27"/>
  <c r="AO115" i="27" s="1"/>
  <c r="AX49" i="27"/>
  <c r="AV47" i="27"/>
  <c r="AX47" i="27" s="1"/>
  <c r="BE92" i="27"/>
  <c r="BG90" i="27"/>
  <c r="AL135" i="27"/>
  <c r="AE136" i="27"/>
  <c r="AK136" i="27"/>
  <c r="BA61" i="27"/>
  <c r="AY59" i="27"/>
  <c r="BA59" i="27" s="1"/>
  <c r="AJ36" i="27"/>
  <c r="AL34" i="27"/>
  <c r="AI91" i="27"/>
  <c r="AX67" i="27" l="1"/>
  <c r="BG67" i="27"/>
  <c r="BB65" i="27"/>
  <c r="BD65" i="27" s="1"/>
  <c r="AH161" i="29"/>
  <c r="AG77" i="26"/>
  <c r="AT139" i="30"/>
  <c r="AT139" i="29"/>
  <c r="AP65" i="27"/>
  <c r="AR65" i="27" s="1"/>
  <c r="AR67" i="27"/>
  <c r="AO67" i="27"/>
  <c r="AM65" i="27"/>
  <c r="AO65" i="27" s="1"/>
  <c r="AG128" i="26"/>
  <c r="AT279" i="30" s="1"/>
  <c r="AT283" i="30"/>
  <c r="AF67" i="27"/>
  <c r="AD65" i="27"/>
  <c r="AF65" i="27" s="1"/>
  <c r="BE279" i="30" l="1"/>
  <c r="AT295" i="30"/>
  <c r="AT293" i="30"/>
  <c r="AT135" i="30"/>
  <c r="AT135" i="29"/>
  <c r="BE135" i="30" l="1"/>
  <c r="AT151" i="30"/>
  <c r="BE151" i="30" s="1"/>
  <c r="BE295" i="30"/>
  <c r="BD295" i="30"/>
  <c r="AT305" i="30"/>
  <c r="AT304" i="30"/>
  <c r="AT302" i="30"/>
  <c r="BE135" i="29"/>
  <c r="AT151" i="29"/>
  <c r="BE151" i="29" s="1"/>
  <c r="AU300" i="30" l="1" a="1"/>
  <c r="AU300" i="30" s="1"/>
  <c r="AT310" i="30"/>
  <c r="BE305" i="30"/>
  <c r="BD305" i="30"/>
  <c r="AU302" i="30" l="1"/>
  <c r="AU308" i="30"/>
  <c r="AV300" i="30" l="1" a="1"/>
  <c r="AV300" i="30" s="1"/>
  <c r="AU310" i="30"/>
  <c r="AU303" i="30"/>
  <c r="AV302" i="30" l="1"/>
  <c r="AV303" i="30" s="1"/>
  <c r="AV308" i="30"/>
  <c r="AW300" i="30" l="1" a="1"/>
  <c r="AW300" i="30" s="1"/>
  <c r="AW303" i="30" s="1"/>
  <c r="AV310" i="3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<sst xmlns="http://schemas.openxmlformats.org/spreadsheetml/2006/main" count="22661" uniqueCount="4771">
  <si>
    <t>Расположение</t>
  </si>
  <si>
    <t>Тип</t>
  </si>
  <si>
    <t>Комментарий</t>
  </si>
  <si>
    <t xml:space="preserve"> (требуется обновление)</t>
  </si>
  <si>
    <t>Код отчёта: EXPERT.VSVO.2026.EIAS</t>
  </si>
  <si>
    <t>Версия отчёта: 1.0.11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</si>
  <si>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</si>
  <si>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</si>
  <si>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</si>
  <si>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</si>
  <si>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</si>
  <si>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</si>
  <si>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</si>
  <si>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</si>
  <si>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</si>
  <si>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</si>
  <si>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</si>
  <si>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</si>
  <si>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</si>
  <si>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</si>
  <si>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</si>
  <si>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</si>
  <si>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</si>
  <si>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</si>
  <si>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</si>
  <si>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</si>
  <si>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</si>
  <si>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</si>
  <si>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</si>
  <si>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</si>
  <si>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</si>
  <si>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</si>
  <si>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</si>
  <si>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</si>
  <si>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</si>
  <si>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</si>
  <si>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</si>
  <si>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</si>
  <si>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</si>
  <si>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</si>
  <si>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</si>
  <si>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</si>
  <si>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</si>
  <si>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</si>
  <si>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</si>
  <si>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</si>
  <si>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</si>
  <si>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</si>
  <si>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</si>
  <si>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</si>
  <si>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</si>
  <si>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</si>
  <si>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</si>
  <si>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</si>
  <si>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</si>
  <si>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</si>
  <si>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</si>
  <si>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</si>
  <si>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</si>
  <si>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</si>
  <si>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</si>
  <si>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</si>
  <si>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</si>
  <si>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</si>
  <si>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</si>
  <si>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</si>
  <si>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</si>
  <si>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</si>
  <si>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</si>
  <si>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</si>
  <si>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</si>
  <si>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</si>
  <si>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</si>
  <si>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</si>
  <si>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</si>
  <si>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</si>
  <si>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</si>
  <si>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</si>
  <si>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</si>
  <si>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</si>
  <si>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</si>
  <si>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</si>
  <si>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</si>
  <si>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</si>
  <si>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</si>
  <si>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</si>
  <si>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</si>
  <si>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</si>
  <si>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</si>
  <si>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</si>
  <si>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</si>
  <si>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</si>
  <si>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</si>
  <si>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</si>
  <si>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</si>
  <si>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</si>
  <si>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</si>
  <si>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</si>
  <si>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</si>
  <si>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</si>
  <si>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</si>
  <si>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</si>
  <si>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</si>
  <si>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</si>
  <si>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</si>
  <si>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</si>
  <si>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</si>
  <si>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</si>
  <si>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</si>
  <si>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</si>
  <si>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</si>
  <si>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"Водоканал"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</si>
  <si>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</si>
  <si>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</si>
  <si>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"Водоканал"</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</si>
  <si>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</si>
  <si>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</si>
  <si>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</si>
  <si>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1124202000053</t>
  </si>
  <si>
    <t>ИНН</t>
  </si>
  <si>
    <t>4202043124</t>
  </si>
  <si>
    <t>КПП</t>
  </si>
  <si>
    <t>420201001</t>
  </si>
  <si>
    <t>Код по ОКПО</t>
  </si>
  <si>
    <t/>
  </si>
  <si>
    <t>L2_7</t>
  </si>
  <si>
    <t>Организационно-правовая форма</t>
  </si>
  <si>
    <t>6 52 43 | Муниципальные унитарные предприятия</t>
  </si>
  <si>
    <t>L2_8</t>
  </si>
  <si>
    <t>Юридический адрес</t>
  </si>
  <si>
    <t>652600, г.Белово, ул. Тельмана, 3</t>
  </si>
  <si>
    <t>L2_9</t>
  </si>
  <si>
    <t>Фактический адрес</t>
  </si>
  <si>
    <t>L2_10</t>
  </si>
  <si>
    <t>Телефон организации</t>
  </si>
  <si>
    <t>8-384-52-2-15-54</t>
  </si>
  <si>
    <t>L2_11</t>
  </si>
  <si>
    <t>e-mail</t>
  </si>
  <si>
    <t>vodokanal.mup@mail.ru</t>
  </si>
  <si>
    <t>L2_12</t>
  </si>
  <si>
    <t>ФИО руководителя</t>
  </si>
  <si>
    <t>Драничников Степан Константинович</t>
  </si>
  <si>
    <t>L2_13</t>
  </si>
  <si>
    <t>Должность руководителя</t>
  </si>
  <si>
    <t>директор</t>
  </si>
  <si>
    <t>L2_14</t>
  </si>
  <si>
    <t>Официальный сайт регулируемой организации в сети "Интернет"</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</si>
  <si>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</si>
  <si>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</si>
  <si>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</si>
  <si>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</si>
  <si>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</si>
  <si>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</si>
  <si>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</si>
  <si>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</si>
  <si>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</si>
  <si>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</si>
  <si>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</si>
  <si>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</si>
  <si>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</si>
  <si>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</si>
  <si>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</si>
  <si>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</si>
  <si>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</si>
  <si>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</si>
  <si>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</si>
  <si>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</si>
  <si>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</si>
  <si>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</si>
  <si>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</si>
  <si>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https://portal.eias.ru/Portal/DownloadPage.aspx?type=12&amp;guid=de42eeed-ccee-438a-8004-e3ec000adc07</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</si>
  <si>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</si>
  <si>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</si>
  <si>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</si>
  <si>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</si>
  <si>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</si>
  <si>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</si>
  <si>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</si>
  <si>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</si>
  <si>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</si>
  <si>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</si>
  <si>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</si>
  <si>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</si>
  <si>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</si>
  <si>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</si>
  <si>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</si>
  <si>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</si>
  <si>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</si>
  <si>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</si>
  <si>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</si>
  <si>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</si>
  <si>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</si>
  <si>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</si>
  <si>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Об утверждении Программы комплексного развития систем коммунальной инфраструктуры Беловского городского округа Кемеровской области – Кузбасса до 2036 года. Актуализированная редакция на 2023 год</t>
  </si>
  <si>
    <t>Вид</t>
  </si>
  <si>
    <t>решение</t>
  </si>
  <si>
    <t>Номер</t>
  </si>
  <si>
    <t>53/294-н</t>
  </si>
  <si>
    <t>Дата принятия</t>
  </si>
  <si>
    <t>19.07.2022</t>
  </si>
  <si>
    <t>URL-ссылка на решение</t>
  </si>
  <si>
    <t>HAS_DOC3</t>
  </si>
  <si>
    <t>Наличие схемы холодного водоснабжения / водоотведения</t>
  </si>
  <si>
    <t>L4_8</t>
  </si>
  <si>
    <t>Об утверждении Схемы водоснабжения и водоотведения Беловского городского округа Кемеровской области - Кузбасса до 2030 года. Актуализированная редакция на 2023 год.</t>
  </si>
  <si>
    <t>постановление</t>
  </si>
  <si>
    <t>2162-п</t>
  </si>
  <si>
    <t>https://data-platform.ru/lk/files/Files/imenod/29ea4f7b-7795-4a67-8acd-d9ad5b8965b1</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</si>
  <si>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</si>
  <si>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</si>
  <si>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</si>
  <si>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</si>
  <si>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</si>
  <si>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 69-ОЗ</t>
  </si>
  <si>
    <t>HAS_DOC5</t>
  </si>
  <si>
    <t>нет</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</si>
  <si>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</si>
  <si>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</si>
  <si>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</si>
  <si>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</si>
  <si>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</si>
  <si>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</si>
  <si>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</si>
  <si>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</si>
  <si>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</si>
  <si>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</si>
  <si>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</si>
  <si>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</si>
  <si>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</si>
  <si>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Данные об ответственном исполнителе от организации</t>
  </si>
  <si>
    <t>ФИО исполнителя</t>
  </si>
  <si>
    <t>Шевченко Виктория Дмитриевна</t>
  </si>
  <si>
    <t>L5_1</t>
  </si>
  <si>
    <t>Должность исполнителя</t>
  </si>
  <si>
    <t>Начальник планово-экономического отдела</t>
  </si>
  <si>
    <t>L5_2</t>
  </si>
  <si>
    <t>Контактный телефон исполнителя</t>
  </si>
  <si>
    <t>8-923-497-34-24</t>
  </si>
  <si>
    <t>L5_3</t>
  </si>
  <si>
    <t>e-mail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</si>
  <si>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</si>
  <si>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</si>
  <si>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</si>
  <si>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</si>
  <si>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</si>
  <si>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</si>
  <si>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</si>
  <si>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</si>
  <si>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</si>
  <si>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</si>
  <si>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</si>
  <si>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</si>
  <si>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</si>
  <si>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</si>
  <si>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</si>
  <si>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</si>
  <si>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</si>
  <si>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</si>
  <si>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</si>
  <si>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</si>
  <si>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586</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</si>
  <si>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</si>
  <si>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</si>
  <si>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</si>
  <si>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</si>
  <si>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</si>
  <si>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</si>
  <si>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</si>
  <si>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</si>
  <si>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</si>
  <si>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</si>
  <si>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</si>
  <si>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</si>
  <si>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</si>
  <si>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</si>
  <si>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</si>
  <si>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</si>
  <si>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</si>
  <si>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</si>
  <si>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ХВС.42.27977465.0005</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</si>
  <si>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</si>
  <si>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</si>
  <si>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</si>
  <si>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</si>
  <si>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Оказание услуг на территории: город Белово (ОКТМО: 32707000) - г Белово; пгт Инской; пгт Новый Городок, мкр. Бабанаково, мкр. Чертинский, мкр. 8-е Марта; с Заречное</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</si>
  <si>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</si>
  <si>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</si>
  <si>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</si>
  <si>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</si>
  <si>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</si>
  <si>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56-ВС</t>
  </si>
  <si>
    <t>L7_2</t>
  </si>
  <si>
    <t>ФИО уполномоченного по делу</t>
  </si>
  <si>
    <t>Белоусова Ирина Анатольевна</t>
  </si>
  <si>
    <t>L7_3</t>
  </si>
  <si>
    <t>Должность уполномоченного по делу</t>
  </si>
  <si>
    <t>Главный консультант</t>
  </si>
  <si>
    <t>L7_4</t>
  </si>
  <si>
    <t>Контактный телефон уполномоченного по делу</t>
  </si>
  <si>
    <t>8 (3842) 34-94-52</t>
  </si>
  <si>
    <t>L7_5</t>
  </si>
  <si>
    <t>e-mail уполномоченного по делу</t>
  </si>
  <si>
    <t>belousova-ia@recko.ako.ru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</si>
  <si>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</si>
  <si>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</si>
  <si>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</si>
  <si>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</si>
  <si>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</si>
  <si>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</si>
  <si>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</si>
  <si>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</si>
  <si>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</si>
  <si>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</si>
  <si>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</si>
  <si>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</si>
  <si>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</si>
  <si>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</si>
  <si>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</si>
  <si>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</si>
  <si>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</si>
  <si>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</si>
  <si>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</si>
  <si>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</si>
  <si>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</si>
  <si>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</si>
  <si>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</si>
  <si>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</si>
  <si>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</si>
  <si>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</si>
  <si>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</si>
  <si>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</si>
  <si>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</si>
  <si>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</si>
  <si>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</si>
  <si>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</si>
  <si>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</si>
  <si>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</si>
  <si>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</si>
  <si>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</si>
  <si>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</si>
  <si>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</si>
  <si>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Белово</t>
  </si>
  <si>
    <t>32707000</t>
  </si>
  <si>
    <t>городской округ</t>
  </si>
  <si>
    <t>Организации  присвоен статус гарантирующего поставщика услуг холодного водоснабжения  в административных границах г. Белово, мкрн Старо-Белово, пгт. Инской,  мкрн. Бабанаково, мкрн 8-е марта, мкрн Чертинский, пгт Новый Городок, с. Заречное.</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</si>
  <si>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</si>
  <si>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</si>
  <si>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</si>
  <si>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</si>
  <si>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</si>
  <si>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</si>
  <si>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</si>
  <si>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</si>
  <si>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</si>
  <si>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</si>
  <si>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</si>
  <si>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</si>
  <si>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</si>
  <si>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</si>
  <si>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</si>
  <si>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</si>
  <si>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</si>
  <si>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</si>
  <si>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</si>
  <si>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</si>
  <si>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</si>
  <si>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</si>
  <si>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</si>
  <si>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</si>
  <si>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</si>
  <si>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</si>
  <si>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</si>
  <si>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</si>
  <si>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</si>
  <si>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</si>
  <si>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</si>
  <si>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</si>
  <si>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</si>
  <si>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</si>
  <si>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</si>
  <si>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</si>
  <si>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</si>
  <si>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</si>
  <si>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</si>
  <si>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</si>
  <si>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</si>
  <si>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</si>
  <si>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</si>
  <si>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</si>
  <si>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</si>
  <si>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</si>
  <si>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Согласно форме статистической отчетности "1-водопровод" за 2024 год.</t>
  </si>
  <si>
    <t>Форма статистической отчетности "1-водопровод" за 2024 год: 4 шт.  Согласно пояснительной записке организации - имеется  5  насосных станций (НС подкачки № 3 "ПЕРМЯКИ", НС II подъема д. "НОВОХУДЯКОВО",  НС одкачки 27 кв. ул. октябрьская, НС подкачки ул. Советская;  + 1 транзитная НС д. Уроп - РЕЗЕРВ) + 4 гидроузла (№2, №3, №5, №7).</t>
  </si>
  <si>
    <t>Принято на основании Дополнительных соглашений  к Договору хоз. ведения от 16.04.2018 № 02/18:  ДС от 11.09.2024 б/н - 513,8 км (г. Белово) + ДС от 13.11.2024 б/н (г. Белово) - 8,602 км + ДС от 25.03.2025 б/н (г. Белово) - 0,17 км = 522,572 км.    Форма "1-водопровод" за 2024 год:  611,78 км (в т.ч. пгт. Грамотеино - 89,58 км согласно ДС от 11.09.2024 б/н).</t>
  </si>
  <si>
    <t>1. Вода, добываемая из артезианских скважин №№ 1-ц, 3-ц, 3, 9, 7, 27, 11 по системе водопроводов поступает в резервуар-накопитель объемом 250 куб.м., расположенный на НАСОСНОЙ СТАНЦИИ ПОДКАЧКИ №3 ( с. ПЕРМЯКИ), и далее насосом ЦН 400-105 перекачивается по магистральному водоводу Ду 530 мм. протяженностью 8 км. в резервуар-накопитель объемом 500 куб.м., расположенный на НАСОСНОЙ СТАНЦИИ II ПОДЪЕМА «ХУДЯКИ». В этот же резервуар принимается вода от скважин № 10, 20-р, 29, 21 и 15. С насосной станции «Худяки» насосом ЦН 1000-180 вода по магистральному водоводу Ду 530 мм протяженностью 13,4 км перекачивается в резервуар-накопитель объемом 1000 куб.м., находящийся на НАСОСНОЙ СТАНЦИИ ГИДРОУЗЛА №2 «УРОП». В данный водопровод, на участке между насосной станции II подъема «Худяки» и гидроузлом №2 «Уроп», поступает вода, добываемая из скважин № 138а, 166, 166б и 170. (Продолжение см.ниже).</t>
  </si>
  <si>
    <t>{                  _x000D_
         funcDyn: 'msg1',_x000D_
         blok: 'blok_1',_x000D_
         wsCross: 'Список объектов',_x000D_
         linkFormula: 'AB-AC',_x000D_
         levelDyn: ''_x000D_
}</t>
  </si>
  <si>
    <t>Комментарии и обоснования к разделу</t>
  </si>
  <si>
    <t xml:space="preserve">Кроме того, по системе водопроводов в резервуар-накопитель гидроузла №2 подаѐтся вода, добываемая из скважин № 205а, 169а, 169, 139б, 139а,138, 168а (168), 197а, 192а, 137, 4-б, 3-б, 5-б, 6-б. </t>
  </si>
  <si>
    <t xml:space="preserve">Насосом Д 2000-100 весь объем добытой воды перекачивается с гидроузла №2 «Уроп» по магистральному водопроводу Ду 720 мм протяжѐнностью 25,9 км в резервуары-накопители (15 000 куб.м. – 2 шт., 7000 куб.м. – 2 шт.), расположенные на ГИДРОУЗЛЕ №7. На расстоянии 5,3 км. от гидроузла №2 «Уроп» на магистральном водопроводе Ду 720 мм. находится транзитная СТАНЦИЯ ПОДКАЧКИ №1 с насосами Д 2000-100, которая включается в работу периодически, при пиковом водоразборе в засушливый период. Кроме того, непосредственно в данный водопровод принимается вода из скважин № 2-х, 4, 4-а,4-б,4-в,3 и 6, а также производится отбор воды абонентам п.Инской и еще части абонентов. </t>
  </si>
  <si>
    <t xml:space="preserve">Необходимость наличия ранее указанных насосных станций связана со сложным рельефом местности на участке: насосная станция подкачки №3 (с.Пермяки) - насосная станция II подъѐма «Худяки» - гидроузел №2 «Уроп» - гидроузел №7. </t>
  </si>
  <si>
    <t>2. С ГИДРОУЗЛА №7 производится подача воды по РАЗВОДЯЩИМ МАГИСТРАЛЬНЫМ ВОДОПРОВОДАМ: 
А) - на ЦЕНТРАЛЬНУЮ ЧАСТЬ ГОРОДА «самотеком» по двум магистральным водоводам Ду 500 мм; - «левая» и «правая» нитки водопроводов. С «правой» нитки производится отбор воды потребителям центральной части города и частичная подпитка емкостейГИДРОУЗЛА №3. По «левой» нитке вода подаѐтся в резервуары – накопители (2000 куб.м. – 2шт.) ГИДРОУЗЛА №3, потребителям центральной части города, а также по магистральному водоводу Ду 400 мм. потребителям пос. Бабанаково.</t>
  </si>
  <si>
    <t xml:space="preserve">С резервуаров – накопителей ГИДРОУЗЛА № 3 вода насосными агрегатами подаѐтся по разводящим водопроводным сетям потребителям города (3 микрорайон,4 микрорайон, частный жилой сектор). Применение насосов на гидроузле №3 связано с особенностями рельефа местности, делающей невозможной создание необходимого располагаемого напора в точках присоединения потребителей при применении самотечной схемы водоснабжения. </t>
  </si>
  <si>
    <t xml:space="preserve">Б) - на ПОС. НОВЫЙ ГОРОДОК насосным агрегатом вода по магистральному водоводу Ду 500 мм подаѐтся в резервуары – накопители ГИДРОУЗЛА №5, расположенного в пос. Новый Городок.  На участке гидроузел №7 – гидроузел №5 из данного водопровода осуществляется отбор воды ряду потребителей: совхоз «Вишнѐвский», п. Бабанаково, совхоз «Ильич», ш. «Новая», п. Рудничный. С резервуаров – накопителей гидроузла №5 вода подаѐтся насосными агрегатами потребителям п. Новый Городок и котельную №11. </t>
  </si>
  <si>
    <t xml:space="preserve">Применение насосов на гидроузле №7 и гидроузле №5 связано с особенностями рельефа местности, делающей невозможной создание необходимого располагаемого напора в точках присоединения потребителей при применении самотечной схемы водоснабжения. </t>
  </si>
  <si>
    <t xml:space="preserve">Согласно представленному Договору хозяйственного ведения от 16.04.2018 № 02/18,  в целях осуществления регулируемой деятельности  на территории г. Беловского городского округа (ЗА ИСКЛЮЧЕНИЕМ пгт. Грамотеино и д. Грамотеино)  организации переданы ВОДОПРОВОДНЫЕ СЕТИ  общей протяженностью   522,572 км, в том числе: по   Дополнительному соглашению (ДС) от 11.09.2024 б/н - 513,8 км, по  ДС от 13.11.2024 б/н - 8,602 км (водовод от гидроузла № 7 до 3 микрорайона), по  ДС от 25.03.2025 б/н  - 0,17 км  (квартал Сосновый, 12).  </t>
  </si>
  <si>
    <t>При этом следует отметить, что   отраженный  в Форме статистической отчетности "1-водопровод" за 2024 год   показатель протяженности  сетей, обслуживаемых   МУП "Водоканал"  (611,78 км),  включает  водопроводные сети  пгт. Грамотеино в размере  89,58 км (переданы  в соответствии с  ДС от 11.09.2024 б/н).</t>
  </si>
  <si>
    <t>Отраженный в указанном документе показатель  "Число НАСОСНЫХ СТАНЦИЙ 2-ГО и 3-ГО ПОДЪЕМА"  (4 шт.)  не включает   имеющиеся гидроузлы  (№2, №3, №5, №7), а также резервную (транзитную) насосную станцию в д. Уроп.</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</si>
  <si>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</si>
  <si>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</si>
  <si>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</si>
  <si>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</si>
  <si>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</si>
  <si>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</si>
  <si>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</si>
  <si>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</si>
  <si>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</si>
  <si>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</si>
  <si>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</si>
  <si>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</si>
  <si>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</si>
  <si>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</si>
  <si>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</si>
  <si>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</si>
  <si>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</si>
  <si>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</si>
  <si>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</si>
  <si>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</si>
  <si>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Водопроводная сеть 4 микрорайон</t>
  </si>
  <si>
    <t>г Белово, 0, 0</t>
  </si>
  <si>
    <t>хозяйственное ведение</t>
  </si>
  <si>
    <t>договор</t>
  </si>
  <si>
    <t>02/18</t>
  </si>
  <si>
    <t>09.08.2018</t>
  </si>
  <si>
    <t>бессрочно  (доп. соглашение  от 11.09.2024 б/н)</t>
  </si>
  <si>
    <t>Сооружения 7 гидроузла</t>
  </si>
  <si>
    <t>2</t>
  </si>
  <si>
    <t>Водопроводная сеть мкн 8 Марта</t>
  </si>
  <si>
    <t>Водоснабжение п.Старо-Белово</t>
  </si>
  <si>
    <t>4</t>
  </si>
  <si>
    <t>Водопроводные сети мкн Телеут</t>
  </si>
  <si>
    <t>5</t>
  </si>
  <si>
    <t>Водопроводная сеть гидроузел №7-гидроузел №5</t>
  </si>
  <si>
    <t>6</t>
  </si>
  <si>
    <t>Городская распределительная сеть от гидроузла №7 (центральная часть)</t>
  </si>
  <si>
    <t>7</t>
  </si>
  <si>
    <t>Водопроводная сеть от ВК в пойме р. Иня до гидроузла №7</t>
  </si>
  <si>
    <t>8</t>
  </si>
  <si>
    <t>Водопроводные сети п.Чертинский</t>
  </si>
  <si>
    <t>9</t>
  </si>
  <si>
    <t>Гидроузел №7</t>
  </si>
  <si>
    <t>10</t>
  </si>
  <si>
    <t>Водопроводные сети п.Бабанаково</t>
  </si>
  <si>
    <t>11</t>
  </si>
  <si>
    <t>Водопроводные сети 3 микрорайона</t>
  </si>
  <si>
    <t>12</t>
  </si>
  <si>
    <t>Водовод от гидроузла №7 до 3 микрорайона</t>
  </si>
  <si>
    <t>13</t>
  </si>
  <si>
    <t>бессрочно  (доп. соглашение  от 13.11.2024 б/н)</t>
  </si>
  <si>
    <t>Насосная станция подкачки ул.Октябрьская</t>
  </si>
  <si>
    <t>г Белово, ул. Октябрьская, 0</t>
  </si>
  <si>
    <t>14</t>
  </si>
  <si>
    <t>Гидроузел №3</t>
  </si>
  <si>
    <t>г Белово, ул. Пролетарская, 3</t>
  </si>
  <si>
    <t>Насосная станция подкачки ул.Советская</t>
  </si>
  <si>
    <t>г Белово, ул. Советский, 0</t>
  </si>
  <si>
    <t>16</t>
  </si>
  <si>
    <t>Водоснабжение п.Уроп</t>
  </si>
  <si>
    <t>д Уроп, 0, 0</t>
  </si>
  <si>
    <t>17</t>
  </si>
  <si>
    <t>Гидроузел №2</t>
  </si>
  <si>
    <t>18</t>
  </si>
  <si>
    <t>Насосная станция подкачки №1  д.Уроп</t>
  </si>
  <si>
    <t>19</t>
  </si>
  <si>
    <t>Водопроводные сети п.Инской</t>
  </si>
  <si>
    <t>пгт Инской, 0, 0</t>
  </si>
  <si>
    <t>20</t>
  </si>
  <si>
    <t>Водопроводная сеть пгт. Новый Городок</t>
  </si>
  <si>
    <t>пгт Новый Городок, 0, 0</t>
  </si>
  <si>
    <t>21</t>
  </si>
  <si>
    <t>Гидроузел №5</t>
  </si>
  <si>
    <t>пгт Новый Городок, ул. Мусоргского, 0</t>
  </si>
  <si>
    <t>22</t>
  </si>
  <si>
    <t>Водопроводная сеть с.Заречное</t>
  </si>
  <si>
    <t>с Заречное, 0, 0</t>
  </si>
  <si>
    <t>23</t>
  </si>
  <si>
    <t>Насосная станция Новохудякова</t>
  </si>
  <si>
    <t>с Новохудяково, 0, 0</t>
  </si>
  <si>
    <t>24</t>
  </si>
  <si>
    <t>Водопроводные сети с.Пермяки</t>
  </si>
  <si>
    <t>с Пермяки, 0, 0</t>
  </si>
  <si>
    <t>25</t>
  </si>
  <si>
    <t>Насосная станция №3 Пермяки</t>
  </si>
  <si>
    <t>26</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</si>
  <si>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</si>
  <si>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</si>
  <si>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</si>
  <si>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</si>
  <si>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</si>
  <si>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</si>
  <si>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</si>
  <si>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</si>
  <si>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</si>
  <si>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Пункт 3 Статьи 164  "Налогового кодекса Российской Федерации (часть вторая)"от 05.08.2000 N 117-Ф (в ред. Федерального закона от 03.08.2018 N 303-ФЗ).
"</t>
  </si>
  <si>
    <t>Пункт 3 Статьи 164  "Налогового кодекса Российской Федерации (часть вторая)" от 05.08.2000 N 117-ФЗ (в редакции Федерального закона от 28.11.2025 N 425-ФЗ).</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</si>
  <si>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</si>
  <si>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</si>
  <si>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</si>
  <si>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</si>
  <si>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</si>
  <si>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</si>
  <si>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</si>
  <si>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</si>
  <si>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</si>
  <si>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</si>
  <si>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</si>
  <si>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</si>
  <si>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</si>
  <si>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</si>
  <si>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</si>
  <si>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</si>
  <si>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</si>
  <si>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</si>
  <si>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</si>
  <si>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</si>
  <si>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</si>
  <si>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</si>
  <si>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</si>
  <si>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</si>
  <si>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</si>
  <si>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</si>
  <si>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</si>
  <si>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</si>
  <si>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</si>
  <si>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</si>
  <si>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</si>
  <si>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</si>
  <si>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</si>
  <si>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</si>
  <si>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</si>
  <si>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</si>
  <si>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</si>
  <si>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</si>
  <si>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</si>
  <si>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</si>
  <si>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</si>
  <si>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</si>
  <si>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</si>
  <si>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</si>
  <si>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</si>
  <si>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</si>
  <si>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</si>
  <si>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</si>
  <si>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</si>
  <si>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</si>
  <si>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</si>
  <si>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</si>
  <si>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</si>
  <si>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</si>
  <si>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</si>
  <si>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</si>
  <si>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</si>
  <si>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</si>
  <si>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</si>
  <si>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Базовый вариант "Прогноза социально-экономического развития Российской Федерации на 2026 год и на плановый период 2027 и 2028 годов", опубликованный на официальном сайте Минэкономразвития России 26.09.2025.</t>
  </si>
  <si>
    <t>Федеральные законы от 24.07.1998 № 125-ФЗ, от 22.12.2005 № 179-ФЗ (в ред. от 26.10.2024 N 352-ФЗ); Статья 425 "Налогового кодекса Российской Федерации (часть вторая)" от 05.08.2000 N 117-ФЗ.</t>
  </si>
  <si>
    <t>1) Часть 3 Статьи 425  "Налогового кодекса Российской Федерации (часть вторая)" от 05.08.2000 N 117-ФЗ (ред. от 15.12.2025);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t>
  </si>
  <si>
    <t>Пункт 3 Статьи 333.12  "Налогового кодекса Российской Федерации (часть вторая)" от 05.08.2000 N 117-ФЗ.</t>
  </si>
  <si>
    <t>Пункт 3 Статьи 333.12  "Налогового кодекса Российской Федерации (часть вторая)" от 05.08.2000 N 117-ФЗ (в ред. Федерального закона от 28.11.2025 N 425-ФЗ).​</t>
  </si>
  <si>
    <t>(С учетом дополнительного коэффициента 1,1 (Пункты 1, 1.1, 4 Статьи 333.12  "Налогового кодекса Российской Федерации (часть вторая)" от 05.08.2000 N 117-ФЗ).</t>
  </si>
  <si>
    <t>Пункты 1, 1.1 Статьи 333.12  "Налогового кодекса Российской Федерации (часть вторая)" от 05.08.2000 N 117-ФЗ) (в ред. Федерального закона от 28.11.2025 N 425-ФЗ).​</t>
  </si>
  <si>
    <t>Статья 380 "Налогового кодекса Российской Федерации (часть вторая)" от 05.08.2000 N 117-ФЗ; Закон Кемеровской области - Кузбасса от 26.11.2003 N 60-ОЗ "О налоге на имущество организаций".</t>
  </si>
  <si>
    <t>Статья 380 "Налогового кодекса Российской Федерации (часть вторая)" от 05.08.2000 N 117-ФЗ; Закон Кемеровской области - Кузбасса от 26.11.2003 N 60-ОЗ (ред. от 27.11.2025) "О налоге на имущество организаций".</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</si>
  <si>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</si>
  <si>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</si>
  <si>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</si>
  <si>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</si>
  <si>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</si>
  <si>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</si>
  <si>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</si>
  <si>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</si>
  <si>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</si>
  <si>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</si>
  <si>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</si>
  <si>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</si>
  <si>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</si>
  <si>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</si>
  <si>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</si>
  <si>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</si>
  <si>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</si>
  <si>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</si>
  <si>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</si>
  <si>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</si>
  <si>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</si>
  <si>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</si>
  <si>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</si>
  <si>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</si>
  <si>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</si>
  <si>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</si>
  <si>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</si>
  <si>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</si>
  <si>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</si>
  <si>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</si>
  <si>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</si>
  <si>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</si>
  <si>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</si>
  <si>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</si>
  <si>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</si>
  <si>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</si>
  <si>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</si>
  <si>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</si>
  <si>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</si>
  <si>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</si>
  <si>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</si>
  <si>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</si>
  <si>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</si>
  <si>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</si>
  <si>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</si>
  <si>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</si>
  <si>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</si>
  <si>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</si>
  <si>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</si>
  <si>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</si>
  <si>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</si>
  <si>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</si>
  <si>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</si>
  <si>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</si>
  <si>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</si>
  <si>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</si>
  <si>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</si>
  <si>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</si>
  <si>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</si>
  <si>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</si>
  <si>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</si>
  <si>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</si>
  <si>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</si>
  <si>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</si>
  <si>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</si>
  <si>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</si>
  <si>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</si>
  <si>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</si>
  <si>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</si>
  <si>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</si>
  <si>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</si>
  <si>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</si>
  <si>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</si>
  <si>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</si>
  <si>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</si>
  <si>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</si>
  <si>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</si>
  <si>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</si>
  <si>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</si>
  <si>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</si>
  <si>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</si>
  <si>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</si>
  <si>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</si>
  <si>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</si>
  <si>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</si>
  <si>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</si>
  <si>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</si>
  <si>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</si>
  <si>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</si>
  <si>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</si>
  <si>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</si>
  <si>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</si>
  <si>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</si>
  <si>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</si>
  <si>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</si>
  <si>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</si>
  <si>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</si>
  <si>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</si>
  <si>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</si>
  <si>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</si>
  <si>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</si>
  <si>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</si>
  <si>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</si>
  <si>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</si>
  <si>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</si>
  <si>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</si>
  <si>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</si>
  <si>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</si>
  <si>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</si>
  <si>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</si>
  <si>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</si>
  <si>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</si>
  <si>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</si>
  <si>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</si>
  <si>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</si>
  <si>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</si>
  <si>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</si>
  <si>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</si>
  <si>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</si>
  <si>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</si>
  <si>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</si>
  <si>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</si>
  <si>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</si>
  <si>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</si>
  <si>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</si>
  <si>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</si>
  <si>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</si>
  <si>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</si>
  <si>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</si>
  <si>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</si>
  <si>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</si>
  <si>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</si>
  <si>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</si>
  <si>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</si>
  <si>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</si>
  <si>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</si>
  <si>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</si>
  <si>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</si>
  <si>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</si>
  <si>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</si>
  <si>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</si>
  <si>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</si>
  <si>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</si>
  <si>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</si>
  <si>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</si>
  <si>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</si>
  <si>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</si>
  <si>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</si>
  <si>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</si>
  <si>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</si>
  <si>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</si>
  <si>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</si>
  <si>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</si>
  <si>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</si>
  <si>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</si>
  <si>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</si>
  <si>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</si>
  <si>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</si>
  <si>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</si>
  <si>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</si>
  <si>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</si>
  <si>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</si>
  <si>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</si>
  <si>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</si>
  <si>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</si>
  <si>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</si>
  <si>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</si>
  <si>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</si>
  <si>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</si>
  <si>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</si>
  <si>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</si>
  <si>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</si>
  <si>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</si>
  <si>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</si>
  <si>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</si>
  <si>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</si>
  <si>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</si>
  <si>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</si>
  <si>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</si>
  <si>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</si>
  <si>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</si>
  <si>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</si>
  <si>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</si>
  <si>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</si>
  <si>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</si>
  <si>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</si>
  <si>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</si>
  <si>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</si>
  <si>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</si>
  <si>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</si>
  <si>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</si>
  <si>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</si>
  <si>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</si>
  <si>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</si>
  <si>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</si>
  <si>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</si>
  <si>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</si>
  <si>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</si>
  <si>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</si>
  <si>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</si>
  <si>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</si>
  <si>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</si>
  <si>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</si>
  <si>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</si>
  <si>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</si>
  <si>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</si>
  <si>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</si>
  <si>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</si>
  <si>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</si>
  <si>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</si>
  <si>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</si>
  <si>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</si>
  <si>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</si>
  <si>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</si>
  <si>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</si>
  <si>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</si>
  <si>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</si>
  <si>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</si>
  <si>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</si>
  <si>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</si>
  <si>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</si>
  <si>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</si>
  <si>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</si>
  <si>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</si>
  <si>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</si>
  <si>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</si>
  <si>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</si>
  <si>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</si>
  <si>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</si>
  <si>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</si>
  <si>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</si>
  <si>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</si>
  <si>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</si>
  <si>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</si>
  <si>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</si>
  <si>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</si>
  <si>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</si>
  <si>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</si>
  <si>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</si>
  <si>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</si>
  <si>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</si>
  <si>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</si>
  <si>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</si>
  <si>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</si>
  <si>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</si>
  <si>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</si>
  <si>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</si>
  <si>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</si>
  <si>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Принято с учетом предложения организации и данных формы статистической отчетности "1-водопровод".</t>
  </si>
  <si>
    <t>Рассчитано, исходя из утвержденного нормативного уровня потерь воды и принятых плановых объемов реализации.</t>
  </si>
  <si>
    <t>Принято в соответствии с Постановлением РЭК Кузбасса от 09.12.2025 № 389 "Об установлении нормативов потерь холодной питьевой воды в централизованных системах водоснабжения при ее транспортировке на 2026 - 2028 годы"</t>
  </si>
  <si>
    <t>П. 5 Методических указаний ФСТ РФ № 1746-э.</t>
  </si>
  <si>
    <t>.</t>
  </si>
  <si>
    <t>{                  _x000D_
         funcDyn: 'msg1',_x000D_
         blok: 'blok_1',_x000D_
         wsCross: 'Условные метры',_x000D_
         linkFormula: 'AB-AB',_x000D_
         levelDyn: ''_x000D_
}</t>
  </si>
  <si>
    <t>ДО 11.09.2024  МУП "ВОДОКАНАЛ"  являлось  гарантирующим поставщиком услуг холодного водоснабжения  только на территории пгт. Грамотеино, д. Грамотеино и в районе Котельной № 10  по ул. Полярная № 3  северного промузла г. Белово  (статус был присвоен  постановлением Администрации Беловского городского округа  от 28.11.2014 № 328-п).   Эксплуатация  объектов  водоснабжения  осуществлялась на основании   Договора от 16.04.2018 № 02/18  о закреплении муниципального имущества на праве хозяйственного ведения.</t>
  </si>
  <si>
    <t xml:space="preserve">Централизованная система холодного водоснабжения  в  административных границах центральной части г. Белово, мкр-на Старо-Белово, пгт. Инской, мкр-на Бабанаково,  мкр-н 8-е Марта,  мкрн Чертинский,  пгт новый Городок и с. Заречное   обслуживалась обществом с ограниченной ответственностью «Водоснабжение» (ИНН 4202023801), для которого были установлены долгосрочные тарифы на питьевую воду и водоотведение на 2024-2028 гг. </t>
  </si>
  <si>
    <t xml:space="preserve">Право владения и пользования  ООО "Водоснабжение"  в отношении объектов централизованной системы Беловского городского округа было установлено договором аренды муниципального оборудования от 01.11.2005 № 11/05 и договором № 02-07/07 аренды объектов муниципального нежилого фонда от 01.03.2007, заключенными с Комитетом по управлению муниципальным имуществом Администрации г. Белово.  РЕШЕНИЯМИ АРБИТРАЖНОГО СУДА КЕМЕРОВСКОЙ ОБЛАСТИ  от 12.04.2024 по Делу № А27-14228/2023 и от 20.08.2024 по Делу № А27-20383/2023 данные договоры были РАСТОРГНУТЫ.  </t>
  </si>
  <si>
    <t>В соответствии с Постановлением Администрации Беловского городского округа от 11.09.2024 № 3813-п ,  на основании Дополнительного соглашения от 11.09.2024  б/н  к  Договору от 16.04.2018 № 02/18,  объекты  централизованной системы холодного водоснабжения Беловского городского  округа переданы в эксплуатацию МУП «Водоканал».   На основании соответствующего  заявления  организации,   Региональной энергетической комиссией Кузбасса  для данной организации были  установлены   тарифы на питьевую воду  методом экономически обоснованных расходов, на период с 18.12.2024 по 31.12.2025.</t>
  </si>
  <si>
    <t>Следует отметить, что  в графах  приведенной выше таблицы "2024 год. ФАКТ по данным организации" и "2024 год. ФАКТ, принятый органом регулирования"   отражены данные  ЗА ПЕРИОД  С МОМЕНТА ПЕРЕДАЧИ ИМУЩЕСТВА (11.09.2024) по 31.12.2024 (документально подтверждены).</t>
  </si>
  <si>
    <t>ОРГАНИЗАЦИЕЙ предлагается учесть  ПЛАНОВЫЕ ОБЪЕМЫ РЕАЛИЗАЦИИ: на 2026 год - исходя из фактического показателя  за 9 месяцев 2025 года  (январь - сентябрь),  в пересчете на 12 месяцев;  на 2027 и 2028 годы - на уровне плана 2026 г.   ​</t>
  </si>
  <si>
    <t xml:space="preserve">В связи с отсутствием информации об объемах реализации за 2024 год (предыдущая организация прекратила деятельность в сентябре 2024 г.),  специалистом РЭК Кузбасса объемы реализации  на 2026 - 2028 гг.  приняты в размере, предложенном организацией (снижение  к плану 2025 г. составило  1,0%).  </t>
  </si>
  <si>
    <t>Данные об объемах реализации за  9 месяцев  текущего 2025 года представлены  через платформу ЕИАС  вместе с письмом МУП "Водоканал"  от 10.11.2025 (вх. № 7196, исх. от 07.11.2025 №  1025), в ответ на запрос регулирующего органа  от 01.11.2025 № М-10-61 /3746-02.</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</si>
  <si>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</si>
  <si>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</si>
  <si>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</si>
  <si>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</si>
  <si>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</si>
  <si>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</si>
  <si>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</si>
  <si>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</si>
  <si>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</si>
  <si>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</si>
  <si>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</si>
  <si>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</si>
  <si>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</si>
  <si>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</si>
  <si>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</si>
  <si>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</si>
  <si>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</si>
  <si>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</si>
  <si>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</si>
  <si>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</si>
  <si>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</si>
  <si>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</si>
  <si>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</si>
  <si>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</si>
  <si>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</si>
  <si>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</si>
  <si>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</si>
  <si>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</si>
  <si>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</si>
  <si>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</si>
  <si>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1) Пункты 22 - 23, 65 (л) Основ ценообразования  2)  П. 49 (10) , 16, 18(1), 19, 33 Методических указаний ФСТ России № 1746-э.</t>
  </si>
  <si>
    <t>Препарат антимикробный "БИОПАГ" (твердая форма)</t>
  </si>
  <si>
    <t>3) Статья 23 Федерального закона от 07.12.2011 N 416-ФЗ (ред. от 08.08.2024) "О водоснабжении и водоотведении". 2) Статья 18 Федерального закона от 30.03.1999 N 52-ФЗ (ред. от 26.12.2024) "О санитарно-эпидемиологическом благополучии населения". 3) Постановление Главного государственного санитарного врача РФ от 28.01.2021 N 3 (ред. от 15.11.2024)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4) "МДК 3-02.2001. Правила технической эксплуатации систем и сооружений коммунального водоснабжения и канализации" (утв. Приказом Госстроя РФ от 30.12.1999 N 168).</t>
  </si>
  <si>
    <t>{                  _x000D_
         funcDyn: 'msg1',_x000D_
         blok: 'blok_1',_x000D_
         wsCross: 'ЭЭ',_x000D_
         linkFormula: 'AB-AB',_x000D_
         levelDyn: ''_x000D_
}</t>
  </si>
  <si>
    <t xml:space="preserve">Объемный расход  реагента  на 2026-2028 гг. заявлен организацией в размере  98,43 кг/год  (в т.ч. 2,4 кг - на обеззараживание воды, 75,08 кг - обработка резервуаров, 20,95 - дезинфекция сетей ВС),  Расчет  нормативного расхода  выполнен согласно представленной "Инструкции № 4/10 по применению препарата микробного "БИОПАГ" для дезинфекции поверхностей и воды". Предложенная плановая  цена на  2026 г. -  9360,00 руб./кг (НДС не облагается), исходя из цены 9000 руб./кг (НДС не облагается, согласно представленного договора поставки от 11.10.2024 № 011, заключенного с ООО "АРС" (г. Кемерово) и счетов-фактур от 05.02.2025 № 47, от 17.12.2024 № 47), с учетом индекса потребительских цен (ИПЦ) 104,0% на 2025 г.;    цены на  2027 г. -  9725,04 руб. /кг, на 2028 г. -  10094,59 руб./кг.  </t>
  </si>
  <si>
    <t xml:space="preserve">Закупочные процедуры  в  части поставок данного реагента  в   2024-2025 гг. не проводились, в связи с тем, что   ТВЕРДАЯ ФОРМА данного препарата  является товаром, практически не представленным на  потребительском рынке.  В материалах от 07.11.2025 организация также представила пояснительную записку  со ссылкой  на пункт 4 Части 1 Статьи  93   Федерального закона от 05.04.2013 N 44-ФЗ "О контрактной системе в сфере закупок товаров, работ, услуг для обеспечения государственных и муниципальных нужд" , которым установлено, что </t>
  </si>
  <si>
    <t>" осуществление закупки товара, работы или услуги на сумму, не превышающую шестисот тысяч рублей, либо закупки товара на сумму, предусмотренную частью 12 настоящей статьи, если такая закупка осуществляется в электронной форме. При этом годовой объем закупок, которые заказчик вправе осуществить на основании настоящего пункта, не должен превышать два миллиона рублей или не должен превышать десять процентов совокупного годового объема закупок заказчика и не должен составлять более чем пятьдесят миллионов рублей."</t>
  </si>
  <si>
    <t>По имеющейся в распоряжении РЭК Кузбасса информации, на территории  данного субъекта Российской Федерации  в процессе производства питьевой воды реагент  "Биопаг (твердая форма)"  , кроме МУП "Водоканал",  использует единственная организация  - ООО "ТВК" (г. Белово).</t>
  </si>
  <si>
    <t>Фактические  затраты  за период с 11.09.2024 по 31.12.2024  составили 56,34 тыс. руб. (в объеме 6,26 кг по цене 90000,00 руб./кг),  за 9 месяцев 2025 года -  471,06 тыс. руб. (в объеме  52,34 кг, по средней цене  9000,00 руб./кг). Данные подтверждены  копиями актов на списание реагента и карточками счета 20 по соответствующей статье.</t>
  </si>
  <si>
    <t>По итогам проведенной экспертизы ПЛАНОВЫЙ  РАСХОД  реагента  в натуральном выражении  на   2026-2028 гг. определен специалистом РЭК Кузбасса на  уровне, предложенном организацией (98,43 кг/год).</t>
  </si>
  <si>
    <t>В связи с отсутствием подтверждения проведения закупочных процедур,  ПЛАНОВАЯ ЦЕНА на "Биопаг"  на  2026 год  определена  на уровне  плана по ООО "ТВК" г. Белово - исходя из фактической средневзвешенной цены 2024 г. (6561,43 руб./кг, уточнено на основании представленных материальных  отчетов и счетов-фактур ООО "РЕВЕРС-ПЛЮС", г. Кемерово), с учетом ИЦП  (индексов цен производителей)  химических веществ 104,2% на 2025 г. и 104,0% на 2026 г., согласно базовому варианту "Прогноза соц.-экономического развития РФ на 2026 г. и на плановый период 2027 и 2028 гг." от 26.09.2025.NaN</t>
  </si>
  <si>
    <t>Плановые цены на   2027  и 2028 год  рассчитаны от плановой цены каждого предыдущего года  с учетом  ИЦП  химических веществ 103,9% на 2027 г. и 103,8% на 2028 г.</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</si>
  <si>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</si>
  <si>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</si>
  <si>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</si>
  <si>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</si>
  <si>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</si>
  <si>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</si>
  <si>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</si>
  <si>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</si>
  <si>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</si>
  <si>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</si>
  <si>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</si>
  <si>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</si>
  <si>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</si>
  <si>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</si>
  <si>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</si>
  <si>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</si>
  <si>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</si>
  <si>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</si>
  <si>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</si>
  <si>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</si>
  <si>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</si>
  <si>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</si>
  <si>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</si>
  <si>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</si>
  <si>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</si>
  <si>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</si>
  <si>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</si>
  <si>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</si>
  <si>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</si>
  <si>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</si>
  <si>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</si>
  <si>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</si>
  <si>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</si>
  <si>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</si>
  <si>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</si>
  <si>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</si>
  <si>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</si>
  <si>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</si>
  <si>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</si>
  <si>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</si>
  <si>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</si>
  <si>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</si>
  <si>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</si>
  <si>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</si>
  <si>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1) Пункты 22 - 23 Основ ценообразования  2)  П. 16, 20, 33 Методических указаний ФСТ России № 1746-э.</t>
  </si>
  <si>
    <t>Плановые годовые показатели удельного расхода электроэнергии рассчитаны по отношению к показателям объемов добычи воды из артезианских скважин . План на 2026 год принят на уровне  ПЛАНА 2025 г.  МУП "Водоканал" , что соответствует фактическому показателю по  организации, ранее обслуживавшей систему (ООО "Водоснабжение") за 2023 г.</t>
  </si>
  <si>
    <t>СН2</t>
  </si>
  <si>
    <t>{                  _x000D_
         funcDyn: 'msg1',_x000D_
         blok: 'blok_1',_x000D_
         wsCross: 'Амортизация',_x000D_
         linkFormula: 'AB-AB',_x000D_
         levelDyn: ''_x000D_
}</t>
  </si>
  <si>
    <t>Поставка электроэнергии для нужд холодного водоснабжения осуществляется  на основании Договора энергоснабжения от 28.11.2024 № 602415, заключенного с ПАО "Кузбассэнергосбыт".</t>
  </si>
  <si>
    <t>Фактические затраты   на покупную электрическую энергию ДЛЯ ПРОИЗВОДСТВЕННЫХ НУЖД за 9 месяцев 2025 года  составили  78193,75 тыс. руб.,  в том числе активная энергия СН-2 -  35739,99 тыс. руб. (13642,34 тыс. кВт*ч по  2,6198 руб./кВт*ч),  заявленная мощность - 42453,76 тыс. руб.  (19,21 Мвт /год / 9 = 2,134 МВт/мес.), в качестве подтверждения  величины затрат представлены:  карточка счета 20  по  соответствующей статье, копии счетов-фактур и ежемесячных  расшифровок потребления  энергии каждым объектом.</t>
  </si>
  <si>
    <t xml:space="preserve">Годовые объемы потребления электроэнергии  на производственные нужды  заявлены организацией на 2026 -2028 гг. , исходя из  удельного расхода  2,725 кВт*ч/м3. </t>
  </si>
  <si>
    <t>В процессе экспертизы материалов тарифного дела  специалистом РЭК Кузбасса  плановый удельный расход  на 2026 год  определен  на уровне  ПЛАНА 2025 г.  МУП "Водоканал" , что соответствует фактическому показателю по  организации, ранее обслуживавшей систему (ООО "Водоснабжение") за 2023 г.   На 2027 и 2028 годы - на уровне плана 2026 г.</t>
  </si>
  <si>
    <t>Плановые годовые объемы потребления энергии рассчитаны, исходя из принятых показателей удельного расхода электроэнергии и плановых годовых объемов добычи воды из  артезианских скважин.</t>
  </si>
  <si>
    <t>Объемы заявленной мощности  определены на уровне плана 2025 года (что соответствует величинам, заявленным организацией).</t>
  </si>
  <si>
    <t>Плановые цены на электрическую энергию и мощность  на 2026 год рассчитаны регулирующим органом, исходя из  соответствующих  фактических средневзвешенных цен за 9 месяцев 2025 г. , с учетом ИЦП электроэнергии  113,2% на 2026 г. (согласно базовому варианту Прогноза Минэкономразвития РФ от 26.09.2025).</t>
  </si>
  <si>
    <t>Плановые цены на 2027 и 2028 годы - от плановых цен каждого предыдущего года, с учетом ИЦП  электроэнергии  109,1% на 2027 г. ,  104,9% на 2028 г. согласно базовому варианту Прогноза  от 26.09.2025.</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</si>
  <si>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</si>
  <si>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</si>
  <si>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</si>
  <si>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</si>
  <si>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</si>
  <si>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</si>
  <si>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</si>
  <si>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</si>
  <si>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</si>
  <si>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</si>
  <si>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</si>
  <si>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</si>
  <si>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</si>
  <si>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</si>
  <si>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</si>
  <si>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</si>
  <si>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</si>
  <si>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</si>
  <si>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</si>
  <si>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</si>
  <si>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</si>
  <si>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</si>
  <si>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</si>
  <si>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</si>
  <si>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</si>
  <si>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</si>
  <si>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</si>
  <si>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</si>
  <si>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</si>
  <si>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</si>
  <si>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</si>
  <si>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</si>
  <si>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</si>
  <si>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</si>
  <si>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</si>
  <si>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</si>
  <si>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</si>
  <si>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</si>
  <si>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</si>
  <si>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</si>
  <si>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</si>
  <si>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</si>
  <si>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</si>
  <si>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</si>
  <si>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</si>
  <si>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</si>
  <si>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</si>
  <si>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</si>
  <si>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</si>
  <si>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</si>
  <si>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</si>
  <si>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</si>
  <si>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</si>
  <si>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</si>
  <si>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</si>
  <si>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</si>
  <si>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</si>
  <si>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</si>
  <si>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</si>
  <si>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</si>
  <si>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</si>
  <si>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</si>
  <si>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</si>
  <si>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</si>
  <si>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</si>
  <si>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</si>
  <si>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</si>
  <si>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</si>
  <si>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</si>
  <si>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</si>
  <si>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</si>
  <si>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</si>
  <si>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</si>
  <si>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</si>
  <si>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</si>
  <si>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</si>
  <si>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</si>
  <si>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</si>
  <si>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</si>
  <si>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</si>
  <si>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</si>
  <si>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</si>
  <si>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</si>
  <si>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</si>
  <si>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</si>
  <si>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</si>
  <si>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</si>
  <si>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</si>
  <si>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</si>
  <si>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</si>
  <si>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</si>
  <si>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</si>
  <si>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</si>
  <si>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</si>
  <si>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</si>
  <si>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</si>
  <si>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</si>
  <si>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</si>
  <si>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</si>
  <si>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</si>
  <si>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Расходы по данной статье не заявлены.</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</si>
  <si>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</si>
  <si>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</si>
  <si>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</si>
  <si>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</si>
  <si>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</si>
  <si>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</si>
  <si>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</si>
  <si>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</si>
  <si>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</si>
  <si>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</si>
  <si>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</si>
  <si>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</si>
  <si>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</si>
  <si>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</si>
  <si>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</si>
  <si>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</si>
  <si>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</si>
  <si>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</si>
  <si>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</si>
  <si>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</si>
  <si>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</si>
  <si>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</si>
  <si>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</si>
  <si>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</si>
  <si>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</si>
  <si>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</si>
  <si>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</si>
  <si>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</si>
  <si>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</si>
  <si>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</si>
  <si>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</si>
  <si>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Расходы не заявлены.</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</si>
  <si>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</si>
  <si>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</si>
  <si>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</si>
  <si>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</si>
  <si>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</si>
  <si>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</si>
  <si>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</si>
  <si>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</si>
  <si>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</si>
  <si>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</si>
  <si>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</si>
  <si>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</si>
  <si>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</si>
  <si>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</si>
  <si>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</si>
  <si>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</si>
  <si>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</si>
  <si>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</si>
  <si>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</si>
  <si>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</si>
  <si>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</si>
  <si>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</si>
  <si>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</si>
  <si>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</si>
  <si>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</si>
  <si>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</si>
  <si>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</si>
  <si>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</si>
  <si>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</si>
  <si>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</si>
  <si>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</si>
  <si>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</si>
  <si>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</si>
  <si>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</si>
  <si>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</si>
  <si>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</si>
  <si>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</si>
  <si>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</si>
  <si>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</si>
  <si>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</si>
  <si>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</si>
  <si>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</si>
  <si>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</si>
  <si>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</si>
  <si>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</si>
  <si>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</si>
  <si>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</si>
  <si>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</si>
  <si>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</si>
  <si>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</si>
  <si>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</si>
  <si>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</si>
  <si>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</si>
  <si>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</si>
  <si>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</si>
  <si>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</si>
  <si>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</si>
  <si>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П. 39(б), п. 48  Методических указаний ФСТ России № 1746-э.</t>
  </si>
  <si>
    <t>{                  _x000D_
         funcDyn: 'msg1',_x000D_
         blok: 'blok_1',_x000D_
         wsCross: 'ФОТ',_x000D_
         linkFormula: 'AB-AB',_x000D_
         levelDyn: ''_x000D_
}</t>
  </si>
  <si>
    <t>1. ЗАТРАТЫ НА ТЕПЛОВУЮ ЭНЕРГИЮ. По данной статье  отражены затраты на покупку тепловой энергии и горячей воды. поставляемой ООО "Теплоэнергетик" (г. Белово)  (отапливаются  здания гаражей в пос. Бабанаково, ЦНС по ул. Октябрьская).</t>
  </si>
  <si>
    <t>Фактические затраты за 9 месяцев 2025 года составили  12,699 тыс. руб., в том числе  тепловая энергия -  12,693 тыс. руб. (5,18 Гкал по 2449,87 руб./Гкал) , горячая вода - 0,00548 тыс. руб.  (0,11 м3 по  49,77 руб./м3).</t>
  </si>
  <si>
    <t>Плановые объемы потребления энергоресурсов  определены специалистом РЭК Кузбасса  на следующем уровне:  тепловая энергия -   9,38 Гкал  (на уровне факта  2023 г. по ООО "Водоснабжение" в связи с отсутствием  фактических данных за 2024 год), горячая вода - в объеме 0,264 м3 (факт 5 мес. 2025 г. в пересчете на год). Тарифы -  исходя из тарифов, указанных в  представленной счет-фактуре ООО Теплоэнергетик" от 30.11.2025  (2449,87 руб./Гкал  и 55,74  руб./м3), с учетом ИЦП электроэнергии, газа и пара 113,2% на 2026 год.</t>
  </si>
  <si>
    <t>2. ЗАТРАТЫ НА ТОПЛИВО. По данной статье  заявлены организацией и учтены регулирующим органом  на 2026-2028 годы затраты на  УГОЛЬ  МАРКИ "ДР" ДЛЯ ОТОПЛЕНИЯ ПРОИЗВОДСТВЕННЫХ ОБЪЕКТОВ (насосно-фильтровальная станция в д. Уроп и гараж в д. Пермяки).</t>
  </si>
  <si>
    <t>Ранее  плановые и фактические затраты на  уголь  отражались в составе ОПЕРАЦИОННЫХ РАСХОДОВ  по статье "МАТЕРИАЛЫ И ЗАПАСНЫЕ ЧАСТИ".   Расходы за   период с  11.09.2024  по 31.12.2024  (в 2024 г. организацией применялась УПРОЩЕННАЯ СИСТЕМА НАЛОГООБЛОЖЕНИЯ, с 01.01.2025 МУП "Водоканал" перешло на общую систему) составили  362,10 тыс. руб. с учетом НДС  (102,0  т  по 3550,00 руб./т ).</t>
  </si>
  <si>
    <t>Плановые затраты на 9 месяцев 2025 г. (в пересчете от годовой величины) составили  627,11 тыс. руб.  (320,63 т по 1955,86 руб./т без НДС); фактические затраты за 9 месяцев 2025 г. - 1046,2 тыс. руб. (349,2 т по средневзвешенной цене  2989,47 руб./т без НДС , в том числе стоимость угля  марки ДР (300-600) калорийностью 5200 ккал/кг - 2666,67 руб./т и доставка  291,67 руб./т ,поставщик - ООО "ЕВРОКОМ", г. Новосибирск).</t>
  </si>
  <si>
    <t>В качестве обоснования затрат  организацией представлены:   1)  расчеты НОРМАТИВНОГО ПОТРЕБЛЕНИЯ УГЛЯ (при калорийности 5000,00 ккал/кг)  по участкам  "Уроп" (441,5 т) и "Пермяки" (41,2 т),  выполненные на основании данных о тепловых нагрузках зданий и  мощности установленных  котлов;  ;  2) копия  Контракта с ООО "Кузбасстопливосбыт"   от 01.01.2023  № 2-п/23-Бл на поставку угля ДР 0-200 (300) на условиях самовывоза  (2400,00 руб./т с учетом НДС);   3) копия договора поставки твердого топлива  от 01.11.2024 №  01/11/2024 , заключенного с ООО "ЕВРОКОМ" ; 4) счета-фактуры  ООО "ЕВРОКОМ" на поставку угля  Др  от 31.01.2025 № 14, от 28.02.2025 № 28; 5)   "Акты на списание топлива / материалов" за  декабрь  2024 г.  и 1, 2 кварталы  2025 г.;  6)  карточки счета 20  по статье "Уголь (г. Белово)" за 2024 г. и за 1 квартал 2025 г.</t>
  </si>
  <si>
    <t>Закупочные процедуры  в  части поставок угля  в   2024-2025 гг. не проводились, В материалах от 07.11.2025 организация  представила пояснительную записку  со ссылкой  на пункт 4 Части 1 Статьи  93   Федерального закона от 05.04.2013 N 44-ФЗ "О контрактной системе в сфере закупок товаров, работ, услуг для обеспечения государственных и муниципальных нужд" , которым установлено, что  " осуществление закупки товара, работы или услуги на сумму, не превышающую шестисот тысяч рублей, либо закупки товара на сумму, предусмотренную частью 12 настоящей статьи, если такая закупка осуществляется в электронной форме. При этом годовой объем закупок, которые заказчик вправе осуществить на основании настоящего пункта, не должен превышать два миллиона рублей или не должен превышать десять процентов совокупного годового объема закупок заказчика и не должен составлять более чем пятьдесят миллионов рублей."</t>
  </si>
  <si>
    <t>ПЛАНОВЫЕ ЗАТРАТЫ на  2026 год  рассчитаны специалистом РЭК Кузбасса, исходя из предложенной организацией расчетной нормативной потребности в размере  482,7 т (=441,5 т + 41,2 т).  Плановая цена угля ДР  определена  в размере 2167,05 руб./т без учета НДС (на условиях поставки до склада потребителя), в том числе стоимость 1 т  угля -  согласно  "ПРОГНОЗУ ЦЕН НА УГОЛЬ  с 01.01.2026 год" , размещенному   на официальном сайте РЭК Кузбасса, по углю марки ДР  - 1860,5 руб./т (без НДС) , +  стоимость доставки: 306,55 руб./т без учета НДС (= 291,67 руб./т согласно договору № 01/11/2024 от 01.11.2024 с ООО "ЕВРОКОМ" с учетом  ИПЦ 105,1%  на 2026 г. согласно базовому варианту Прогноза Минэкономразвития России от 26.09.2025).</t>
  </si>
  <si>
    <t>ЗАТРАТЫ НА  ПОКУПНУЮ ТЕПЛОВУЮ ЭНЕРГИЮ И  УГОЛЬ НА 2027 и на 2028 ГОДЫ  рассчитаны специалистом РЭК Кузбасса от плановых затрат каждого предыдущего года , с учетом индексов цен производителей (ИЦП) электрической энергии, газа и пара   109,1% на 2027 г. и 104,9% на 2028 г. согласно базовому варианту Прогноза Минэкономразвития России от 26.09.2025.</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</si>
  <si>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</si>
  <si>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</si>
  <si>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</si>
  <si>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</si>
  <si>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</si>
  <si>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</si>
  <si>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</si>
  <si>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</si>
  <si>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</si>
  <si>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</si>
  <si>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</si>
  <si>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</si>
  <si>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</si>
  <si>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</si>
  <si>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</si>
  <si>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</si>
  <si>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</si>
  <si>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</si>
  <si>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</si>
  <si>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</si>
  <si>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</si>
  <si>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</si>
  <si>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</si>
  <si>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</si>
  <si>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</si>
  <si>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</si>
  <si>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</si>
  <si>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</si>
  <si>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</si>
  <si>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</si>
  <si>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</si>
  <si>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</si>
  <si>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</si>
  <si>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</si>
  <si>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</si>
  <si>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</si>
  <si>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</si>
  <si>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</si>
  <si>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</si>
  <si>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</si>
  <si>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П. 17 Методических указаний ФСТ России № 1746-э.</t>
  </si>
  <si>
    <t>Основной производственный персонал</t>
  </si>
  <si>
    <t>Приказ Минстроя России от 23.03.2020 N 154/пр "Об утверждении Типовых отраслевых норм численности работников водопроводно-канализационного хозяйства"</t>
  </si>
  <si>
    <t>1) Федеральный закон от 28.11.2025 N 429-ФЗ "О внесении изменения в статью 1 Федерального закона "О минимальном размере оплаты труда"; 2) Статья 130 "Трудового кодекса Российской Федерации" от 30.12.2001 N 197-ФЗ (ред.от 29.09.2025 N 364-ФЗ); 3) Постановление Совмина СССР, ВЦСПС от 01.08.1989 N 601 "О районных коэффициентах к заработной плате рабочих и служащих предприятий, организаций и учреждений, расположенных в Кемеровской области и на территории г. Г. Воркуты и Инты".</t>
  </si>
  <si>
    <t>цеховый персонал</t>
  </si>
  <si>
    <t>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t>
  </si>
  <si>
    <t>Ремонтный персонал (включая аварийно-ремонтный)</t>
  </si>
  <si>
    <t>П. 23 (3) Методических указаний ФСТ России № 1746-э.</t>
  </si>
  <si>
    <t>П. 25 (2) Методических указаний ФСТ России № 1746-э.</t>
  </si>
  <si>
    <t>Административно-управленческий персонал (АУП)</t>
  </si>
  <si>
    <t>"Кузбасское региональное соглашение между Кемеровским областным союзом организаций профсоюзов "Федерация профсоюзных организаций Кузбасса", Правительством Кемеровской области - Кузбасса и работодателями Кемеровской области - Кузбасса на 2025 - 2027 годы" (Зарегистрировано Министерством труда и занятости населения Кузбасса 23.10.2024 N 12).</t>
  </si>
  <si>
    <t>{                  _x000D_
         funcDyn: 'msg1',_x000D_
         blok: 'blok_1',_x000D_
         wsCross: 'Административные',_x000D_
         linkFormula: 'AB-AB',_x000D_
         levelDyn: ''_x000D_
}</t>
  </si>
  <si>
    <t>Фактические затраты 2024 года НЕ ЯВЛЯЮТСЯ показательными и  недостаточно  информативны  для формирования плановых затрат на 2026 год,  что связано с возникшими  сложностями  в найме  персонала после ликвидации предыдущей организации и переходу МУП "Водоканал" к новому виду  регулируемой деятельности  (холодное водоснабжение на территории г. Белово). Это  выразилось., в частности,  в крайне низких показателях  фактической численности за  указанный период: основной персонал - 22 чел., цеховый персонал - 22 чел., ремонтный персонал -  13 чел., административно-управленческий персонал - 9 чел.</t>
  </si>
  <si>
    <t>В связи с этим, а также учитывая ожидаемое  значительное  увеличение  расходов в связи с изменениями в трудовом законодательстве (рост размера  минимальной оплаты труда),  организацией предложено   определить плановые  затраты  на оплату труда  ОСНОВНОГО ПРОИЗВОДСТВЕННОГО,  ЦЕХОВОГО  и РЕМОНТНОГО  ПЕРСОНАЛА на предстоящий период, исходя  из   фактической численности  данных категорий работников  за 9 месяцев  2025 года   и средней заработной платы,  установленной на уровне минимальной оплаты труда (МРОТ)  -  27093,00 руб./чел./мес., утвержденной  с 01.01.2026  Федеральным законом от 28.11.2025 N 429-ФЗ "О внесении изменения в статью 1 Федерального закона "О минимальном размере оплаты труда", увеличенной на районный коэффициент 1,3  (Постановление Совмина СССР, ВЦСПС от 01.08.1989 N 601 "О районных коэффициентах к заработной плате рабочих и служащих предприятий, организаций и учреждений, расположенных в Кемеровской области и на территории г. Г. Воркуты и Инты").</t>
  </si>
  <si>
    <t>Расходы на оплату труда АДМИНИСТРАТИВНО-УПРАВЛЕНЧЕСКОГО ПЕРСОНАЛА предлагается  установить, исходя из   фактической численности   за 9 месяцев  2025 года   -  30,0 человек -  и средней заработной платы  42265,08  руб./чел./мес.,  определенной  в соответствии с  пунктом 3.50 (абзац второй)  "Кузбасского регионального соглашения между Кемеровским областным союзом организаций профсоюзов "Федерация профсоюзных организаций Кузбасса", Правительством Кемеровской области - Кузбасса и работодателями Кемеровской области - Кузбасса на 2025 - 2027 годы" (ред. от 18.12.2025) -   в размере   1,2 минимального размера оплаты труда на 2026 год, с начислением районного коэффициента (27093,00 руб./чел./мес. * 1,3 * 1,2 = 42265,08 руб./чел./мес.).</t>
  </si>
  <si>
    <t>При этом НОРМАТИВНАЯ  численность  работников , рассчитанная  организацией  на основе  "Типовых отраслевых норм численности работников водопроводно-канализационного хозяйства", утвержденных  Приказом Минстроя России от 23.03.2020 N 154/пр, составила  383,0 чел. , в том числе  рабочие всех категорий  - 293,0 чел.,   руководители, инженерно-технические работники и служащие - 90,0 чел.</t>
  </si>
  <si>
    <t xml:space="preserve">В материалах, представленных  организацией 10.11.2025 (вх. № 7196)  вместе со скорректированным расчетом финансовых потребностей  и фактическими данными за 9 месяцев 2025 года,  приложена копия  ПРОЕКТА ШТАТНОГО РАСПИСАНИЯ  НА 2026 ГОД,   в соответствии с которым предлагается  сократить   общую  штатную численность  работников, обслуживающих систему холодного водоснабжения   Беловского городского округа (за исключением пгт. Грамотеино)  с  292 человек (согласно представленным ранее Штатным расписаниям, утвержденным на 2024 и 2025 г.) до   269 человек, что соответствует указанным в  расположенной выше таблице  ПРЕДЛАГАЕМЫМ ПЛАНОВЫМ ВЕЛИЧИНАМ на 2026 год. </t>
  </si>
  <si>
    <t xml:space="preserve">Кроме того, в обоснование предложенных плановых и фактических затрат организацией представлены:  1)  копия Коллективного договора между администрацией и работниками МУП "Водоканал"  (подписан  02.02.2023), содержащего, в том числе,  Положение об оплате труда  и Положение о квартальном премировании работников); 2)  Расчет нормативной численности рабочих, специалистов и служащих (выполнен в соответствии с  Приказом Минстроя России от 23.03.2020 N 154/пр);  3) Форма статистической отчетности "П-4. Сведения о численности и заработной плате работников" за Январь-Декабрь 2024 г. и за Январь -Сентябрь 2025 г.; 4)  расчеты расходов на оплату труда  по регулируемым видам деятельности, выполненные в формате Приложения 2.2 и Приложения 2.2.1 к Методическим указаниям ФСТ № 1746-э;  </t>
  </si>
  <si>
    <t>5) расчеты  среднего процента компенсирующих выплат  и среднего процента премиальных выплат;  6)  "Тарифная сетка по оплате труда на 2026 год" и с 01.06.2025;  7)  "Распределение численности  по видам  затрат г. Белово" (2024-2026 гг.);  8) регистры бухгалтерского учета "Анализ счета 70" ; 9) Справочная таблица Федеральной службы  гос. статистики  "Средняя заработная плата  работников организаций по видам  экономической деятельности" (Январь 2025 г.)</t>
  </si>
  <si>
    <t>В обоснование расходов по статье  "СТРАХОВЫЕ ВЗНОСЫ НА ОБЯЗАТЕЛЬНОЕ СОЦИАЛЬНОЕ СТРАХОВАНИЕ"  организацией приложены:  1) регистр бухгалтерского учета "Анализ счета 69" за 2024 г., 1 квартал и 9 месяцев 2025 г.; 2) "Расчет по страховым взносам" (Форма по КНД 1151111)  за 9 месяцев 2025 г.; 3)  Единая форма "Сведения для ведения индивидуального (персонифицированного)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(ЕФС-1)"; 3) "Уведомление о страховом тарифе на  обязательное социальное страхование от несчастных случаев на производстве и профессиональных заболеваний" (на 2025 год).</t>
  </si>
  <si>
    <t>РЕГУЛИРУЮЩИМ ОРГАНОМ ПЛАНОВЫЕ ЗАТРАТЫ на 2026 год   на ОПЛАТУ ТРУДА  ОСНОВНОГО ПРОИЗВОДСТВЕННОГО, ЦЕХОВОГО и РЕМОНТНОГО ПЕРСОНАЛА  (включая показатели численности и заработной платы по каждой категории),  предложенные организацией, признаны экономически обоснованными и приняты к учету  в необходимой валовой выручке.</t>
  </si>
  <si>
    <t>Затраты на оплату  труда АДМИНИСТРАТИВНО-УПРАВЛЕНЧЕСКОГО ПЕРСОНАЛА  приняты, исходя из   предложенного организацией уровня средней заработной платы  (42265,08 руб./чел./мес.) и численности  26,0 человек,  определенной по итогам проведенной экспертизы на уровне ПЛАНОВЫХ ПОКАЗАТЕЛЕЙ  2024-2025 гг. (26,0 чел.).</t>
  </si>
  <si>
    <t xml:space="preserve">СТРАХОВЫЕ ВЗНОСЫ НА ОБЯЗАТЕЛЬНОЕ СОЦИАЛЬНОЕ СТРАХОВАНИЕ по всем категориям  персонала определены в размере 30,2% от ФОТ (фонда оплаты труда), в том числе:  1)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медицинское страхование  - исходя из  единого страхового тарифа 30,0%  (согласно  пункту (1) Части 3  Статьи 425 Главы 34 "СТРАХОВЫЕ ВЗНОСЫ"  "Налогового кодекса Российской Федерации (часть вторая)" от 05.08.2000 N 117-ФЗ (ред. от 30.09.2024 № 337-ФЗ);  2)  на обязательное социальное страхование от несчастных случаев на производстве и профессиональных заболеваний - исходя из страхового тарифа 0,2% в соответствии с присвоенным 1-м классом профессионального риска (согласно представленному  "Уведомлению о страховом тарифе..." на 2025 год.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</si>
  <si>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</si>
  <si>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</si>
  <si>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</si>
  <si>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</si>
  <si>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</si>
  <si>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</si>
  <si>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</si>
  <si>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</si>
  <si>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</si>
  <si>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</si>
  <si>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</si>
  <si>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</si>
  <si>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</si>
  <si>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</si>
  <si>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</si>
  <si>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</si>
  <si>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</si>
  <si>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</si>
  <si>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</si>
  <si>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</si>
  <si>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</si>
  <si>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</si>
  <si>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</si>
  <si>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</si>
  <si>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</si>
  <si>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</si>
  <si>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</si>
  <si>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</si>
  <si>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</si>
  <si>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</si>
  <si>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</si>
  <si>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</si>
  <si>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</si>
  <si>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</si>
  <si>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</si>
  <si>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</si>
  <si>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</si>
  <si>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</si>
  <si>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</si>
  <si>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</si>
  <si>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</si>
  <si>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</si>
  <si>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</si>
  <si>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</si>
  <si>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</si>
  <si>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</si>
  <si>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</si>
  <si>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</si>
  <si>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</si>
  <si>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</si>
  <si>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</si>
  <si>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</si>
  <si>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П 25 (2) Методических указаний № 1746-э.</t>
  </si>
  <si>
    <t>П 25 (1) Методических указаний № 1746-э.</t>
  </si>
  <si>
    <t>Учтены расходы на ПОКУПНУЮ ЭЛЕКТРОЭНЕРГИЮ ДЛЯ ОБЩЕХОЗЯЙСТВЕННЫХ НУЖД. П. 22, 23 "Основ ценообразования в сфере водоснабжения и водоотведения".</t>
  </si>
  <si>
    <t>1) П 25 (3), п. 28, п. 29 Методических указаний № 1746-э. 2) "Классификация основных средств, включаемых в амортизационные группы"  (утверждена постановлением Правительства Российской Федерации от 1 января 2002 г. N 1).</t>
  </si>
  <si>
    <t>П. 25 (1) , п. 25 (4) - 25 (7) Методических указаний  № 1746-э.</t>
  </si>
  <si>
    <t>{                  _x000D_
         funcDyn: 'msg1',_x000D_
         blok: 'blok_1',_x000D_
         wsCross: 'Сбытовые расходы ГО',_x000D_
         linkFormula: 'AB-AB',_x000D_
         levelDyn: ''_x000D_
}</t>
  </si>
  <si>
    <t xml:space="preserve">3.1  "УСЛУГИ СВЯЗИ И ИНТЕРНЕТ",  3.5. "УСЛУГИ ПО ВНЕВЕДОМСТВЕННОЙ ОХРАНЕ ОБЪЕКТОВ И ТЕРРИТОРИЙ",  "ИНФОРМАЦИОННЫЕ УСЛУГИ".  Затраты по данным статьям предложены , исходя из   соответствующих фактических затрат за 9 месяцев 2025 года по каждой статье (251,42 тыс. руб., 174,20 тыс. руб. и 218,48 тыс. руб. соответственно), в пересчете на 12 месяцев, с учетом ИПЦ Минэкономразвития России  105,1%  на  2026 год.  </t>
  </si>
  <si>
    <t>Специалистом РЭК  Кузбасса данные расходы приняты на уровне величин, предложенных организацией.</t>
  </si>
  <si>
    <t xml:space="preserve">3.7 "ИНЫЕ РАБОТЫ И (ИЛИ) УСЛУГИ".  По данной статье отражены затраты  на ПОКУПНУЮ ЭЛЕКТРОЭНЕРГИЮ ДЛЯ ОБЩЕХОЗЯЙСТВЕННЫХ НУЖД.  Затраты по статье предложены организацией, исходя из   соответствующих фактических затрат за 9 месяцев 2025 года  (2093,03 тыс. руб.), в пересчете на 12 месяцев, с учетом ИПЦ  (индекса потребительских цен) Минэкономразвития России  105,1%  на  2026 год.  </t>
  </si>
  <si>
    <t>ФАКТИЧЕСКИЕ ЗАТРАТЫ за 9 мес. 2025 г.  по общехозяйственным объектам (здания АБК ул. 2-я Рабочая и ул. Железнодорожная, гараж по ул. Вахрушева, здание мастерских и охраны ТП-15 ул. Чистопольская)  сложились из стоимости активной энергии  - 952,13 тыс. руб.  (375,106 кВт*час. по цене 2,5383 руб./кВт*ч) и  стоимости заявленной мощности - 1140,90 тыс. руб. ( 532 МВт/год по 2144,47 руб./МВт*мес., распределено  пропорционально количеству потребленной активной энергии). К итоговой сумме затрат применен ИЦП электроэнергии 113,2% на 2026 г.</t>
  </si>
  <si>
    <t>Так как операционные расходы в течение долгосрочного периода не корректируются, во избежание дефицита средств на оплату электроэнергии специалистом РЭК Кузбасса  предложенная организацией сумма расходов  пересчитана, исходя из  ИЦП (индекса цен производителей)  электрической энергии  113,2% на 2026 год согласно базовому варианту Прогноза Минэкономразвития  России от 26.09.2025. (2933,03 тыс. руб. / 1,051 * 1,132 = 3159,08 тыс. руб.).</t>
  </si>
  <si>
    <t xml:space="preserve">4. "АРЕНДНАЯ ПЛАТА".  Организацией по данной статье заявлены : 1)  РАСХОДЫ   НА АРЕНДУ ОФИСНЫХ ПОМЕЩЕНИЙ  (офис по ул. Железнодорожная, 64 (ИП Дугина) и помещения под  Расчетно-кассовый центр (ООО "Торгсиб") - в размере 975,26 тыс. руб.  ;   2)  АРЕНДА ТРАНСПОРТА ДЛЯ ПЕРЕВОЗКИ АУП  (директор, зам. директора, главный инженер). -  495,85 тыс. руб. </t>
  </si>
  <si>
    <t>АРЕНДА ОФИСНЫХ ПОМЕЩЕНИЙ.   Расходы на аренду нежилого здания  общей площадью 294,6 м2, расположенного по адресу: г. Белово,  по ул. Железнодорожная, 64   заявлены исходя из  РЫНОЧНОЙ  стоимости  арендной платы   в размере  254,00 руб. /м2, подтвержденной приложенной копией "Отчета № 008/06.25 "   об оценке рыночной стоимости арендной платы, проведенной ООО "Профессионал" по состоянию на  09.06.2025.  Годовая величина арендной платы на 2026 год составляет:  254,00 руб./м2 * 294,6  м2 * 12 месяцев *  1,051  (с учетом ИПЦ  МИнэкономразвития России 105,1% на 2026 год) = 943,735 тыс. руб./год.</t>
  </si>
  <si>
    <t>Расходы на аренду  помещения (ячейка № 6) площадью 10,7 м2 в   ООО ТЦ  "Торгсиб", расположенного по адресу: г. Белово, ул. Лермонтова, 11  по договору с ООО "Торгсиб" от 02.12.2024 (б/н) (представлен в тарифном деле) составляют 2500,00 руб./мес. ,или 30,00 тыс. руб./год., плановые затраты на 2026 год с учетом ИПЦ Минэкономразвития России  105,1% составят  31,53 тыс. руб. ;  943,735 + 31,53 = 975,265 тыс. руб.</t>
  </si>
  <si>
    <t>АРЕНДА ТРАНСПОРТА . Организацией заявлены расходы на аренду   3-х   автомобилей  "Лада ГРАНТА 219140"  согласно  Договора аренды транспортного средства без экипажа № 2-25/МУП от 01.01.2025.  Годовая величина затрат  исчислена  как сумма  годовых амортизационных отчислений  по каждому транспортному средству , (определены , в свою очередь,  на основании величин балансовой стоимости, указанных в Приложении № 3 к договору , и нормативного срока  полезного использования  5 лет)  и транспортного налога (720,00 руб./ед*год).</t>
  </si>
  <si>
    <t>Специалистом РЭК Кузбасса заявленные расходы по статье "АРЕНДНАЯ ПЛАТА" признаны экономически обоснованными и приняты на уровне, предложенном организацией.</t>
  </si>
  <si>
    <t xml:space="preserve">8.3. "ИНЫЕ РАСХОДЫ".   Организацией заявлено:  1)  расходы на   МАТЕРИАЛЫ ДЛЯ НУЖД  АУП  (ГСМ; канцелярские товары, прочие ) -  1517,24 тыс. руб. ;   2)   УСЛУГИ СТОРоННИХ ОРГАНИЗАЦИЙ   ДЛЯ АДМИНИСТРАТИВНЫХ НУЖД -  обслуживание ПО (программного обеспечения), ККМ (контрольно-кассовых машин), оргтехники; транспортно-экспедиционные услуги; коммунальные услуги; проф.дезинфекционные работы;  реклама;  питьевая вода для хозяйственно-бытовых нужд; вывоз мусора; подбор персонала; обучение работников - всего на сумму  756,45 тыс. руб. </t>
  </si>
  <si>
    <t>Плановые затраты на 2026 год рассчитаны организацией от фактических затрат за 9 месяцев 2025 года, в пересчете на 12 месяцев, с учетом ИПЦ Минэкономразвития России 105,1% .</t>
  </si>
  <si>
    <t>Специалистом РЭК Кузбасса расходы по данной статье  скорректированы в части   затрат на КАНЦЕЛЯРСКИЕ ТОВАРЫ   (приняты, исходя из утвержденной ПЛАНОВОЙ  величины расходов  на  2025 год  - 539,92 тыс. руб., с учетом ИПЦ 105,1%.   ПРОЧИЕ МАТЕРИАЛЫ И УСЛУГИ учтены  в размере величин, предложенной организацией.</t>
  </si>
  <si>
    <t>Фактические затраты   по всем  видам  расходов для административных нужд подтверждены регистрами бухгалтерского учета (карточки сч. 26 по соответствующей статье) , копиями договоров и учетно-платежных документов.</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</si>
  <si>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</si>
  <si>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</si>
  <si>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</si>
  <si>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</si>
  <si>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</si>
  <si>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</si>
  <si>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</si>
  <si>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</si>
  <si>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</si>
  <si>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</si>
  <si>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</si>
  <si>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</si>
  <si>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</si>
  <si>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</si>
  <si>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</si>
  <si>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</si>
  <si>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</si>
  <si>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</si>
  <si>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Пункт 26(7), пункт 27  Методических указаний № 1746-э.</t>
  </si>
  <si>
    <t>{                  _x000D_
         funcDyn: 'msg1',_x000D_
         blok: 'blok_1',_x000D_
         wsCross: 'Налоги',_x000D_
         linkFormula: 'AB-AB',_x000D_
         levelDyn: ''_x000D_
}</t>
  </si>
  <si>
    <t>На основании пункта  26(7)    по данной статье  отражены  заявленные организацией расходы  по Агентскому договору от 14.09.2012 № 09/12-юр/р   на оказание  услуг по начислению, приему, перерасчету, распределению платы  населения (проживающие в благоустроенном и частном секторе жилого фонда) за коммунальные услуги и перечисление  собранных средств на  банковские счета МУП  "Водоканал".  Согласно  Дополнительному соглашению  № 2 от 14.11.2022 к указанному договору ,  вознаграждение агента  за оказанные услуги составляет 3,1%  (без НДС)  от суммы собранных  средств.</t>
  </si>
  <si>
    <t>Фактические затраты  по данной статье за 9 месяцев 2025 г. составили  1725,67 тыс. руб. (при плане 2013,75 тыс. руб.) .  Расходы подтверждены данными Оборотно-сальдовой ведомости по сч. 44 "Расходы на продажу", копиями счетов-фактур и  ежемесячных "Отчетов платежного агента".</t>
  </si>
  <si>
    <t>На 2026 год плановые затраты рассчитаны организацией   от  указанной величины, в пересчете на 12 месяцев, с учетом ИПЦ Минэкономразвития России 105,1%.</t>
  </si>
  <si>
    <t>Специалистом РЭК Кузбасса расходы приняты к учету в необходимой валовой выручке  на  2026 г.  в размере, предложенном организацией.</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</si>
  <si>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</si>
  <si>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</si>
  <si>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</si>
  <si>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</si>
  <si>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</si>
  <si>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</si>
  <si>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</si>
  <si>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</si>
  <si>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</si>
  <si>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</si>
  <si>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</si>
  <si>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</si>
  <si>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</si>
  <si>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</si>
  <si>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</si>
  <si>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</si>
  <si>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</si>
  <si>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</si>
  <si>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</si>
  <si>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</si>
  <si>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</si>
  <si>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</si>
  <si>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</si>
  <si>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</si>
  <si>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</si>
  <si>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xml:space="preserve">1) П. 49 (2) Методических указаний  ФСТ № 1746-э.  2)  "Налоговый кодекс Российской Федерации (часть вторая)" от 05.08.2000 N 117-ФЗ. </t>
  </si>
  <si>
    <t>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t>
  </si>
  <si>
    <t>Расходы на 2026-2028 гг. не заявлены.</t>
  </si>
  <si>
    <t xml:space="preserve">Статья 333.12 Главы 25.2 "ВОДНЫЙ НАЛОГ" Налогового кодекса РФ. </t>
  </si>
  <si>
    <t>Глава 30 "НАЛОГ НА ИМУЩЕСТВО ОРГАНИЗАЦИЙ" Налогового кодекса РФ (Часть вторая);  Закон Кемеровской области - Кузбасса от 26.11.2003 N 60-ОЗ (ред. от 30.06.2025 N 79-ОЗ) "О налоге на имущество организаций".</t>
  </si>
  <si>
    <t>{                  _x000D_
         funcDyn: 'msg1',_x000D_
         blok: 'blok_1',_x000D_
         wsCross: 'ИП + источники',_x000D_
         linkFormula: 'AB-AB',_x000D_
         levelDyn: ''_x000D_
}</t>
  </si>
  <si>
    <t xml:space="preserve">1. ВОДНЫЙ НАЛОГ.  ОРГАНИЗАЦИЕЙ  в целях расчета  плановой суммы налога   на 2026 год  предлагаемый плановый  объем воды ,потребляемый населением . увеличен на  величину  нормативных потерь  ( 3499,105 тыс. м3 / ( 1 - 25,61 /1 00) = 4703,73 тыс. м3, и уменьшен  на величину необлагаемых объемов (потребление воды на полив приусадебных участков и водопой скота)  214,00 тыс. м3.   Ставка налога  определена в соответствии  с  пунктом 3 Статьи 333.12  "Налогового кодекса Российской Федерации (часть вторая)" от 05.08.2000 N 117-ФЗ  (в ред. Федерального закона от 24.11.2014 N 366-ФЗ) - от ставки, установленной на  2025 год   - 326,00 руб.  /тыс. м3  с учетом  фактического  ИПЦ Минэкономразвития России   на  2024 год  108,5% .  </t>
  </si>
  <si>
    <t xml:space="preserve">ОБъем прочего потребления определен как величина плановых объемов  забора воды из скважин  (6715,267 тыс. руб.) за вычетом  объемов воды, потребляемых населением (с учетом нормативных потерь) (4703,73 тыс. руб.) и необлагаемых объемов  - 809,9 тыс. м3, итого - 1201,637 тыс. м3.   Ставка налога -  согласно пунктам 1 ,   1.1  и  4  Статьи 333.12  Налогового кодекса РФ (в ред. Федерального закона от 24.11.2014 N 366-ФЗ) -  330,00  руб./тыс. м3 с учетом   коэффициента  4,65 (ставка 2025 года), коэффициента 1,1  и  фактического  ИПЦ Минэкономразвития России   на  2024 год  108,5% .  </t>
  </si>
  <si>
    <t>Итого : 4489,94 тыс. м3 * 354,00 руб./тыс. м3 + 1201,637 тыс. м3 *  1665,00 руб./тыс. м3 * 1,1  =  3790,47 тыс. руб.  (Фактические затраты за 9 месяцев 2025 г. составили  2704,89 тыс. руб., подтверждено  Декларациями по Водному налогу за  1, 2, 3 кварталы 2025 г.).</t>
  </si>
  <si>
    <t>Плановые величины налога на  2027 и 2028 годы  рассчитаны от  плана каждого предыдущего года с учетом ИПЦ Минэкономразвития России  104,0% (согласно базовому варианту Прогноза от 26.09.2025).</t>
  </si>
  <si>
    <t xml:space="preserve"> По итогам проведенной экспертизы специалистом РЭК Кузбасса  расходы на 2026-2028 гг. по данной статье приняты в размере, предложенном организацией  (не превышают  сумм налога, рассчитанных специалистом  исходя из  ставок налога с применением ИПЦ   105,1% на 2026 год, см. Статью 333.12 в редакции  (в ред. Федерального закона от 28.11.2025 N 425-ФЗ) и  без учета  повышающего коэффициента 1.1). </t>
  </si>
  <si>
    <t>2. НАЛОГ НА ИМУЩЕСТВО.  Фактические затраты за  9 месяцев  2025 г.   составили   10296,09 тыс. руб.</t>
  </si>
  <si>
    <t>В  составе плановых расходов  2025 г.  были учтены суммы налога, исчисленные  исключительно  в части СЕТЕЙ ВОДОСНАБЖЕНИЯ.</t>
  </si>
  <si>
    <t xml:space="preserve">В ДОПОЛНИТЕЛЬНЫХ МАТЕРИАЛАХ, представленных   организацией  10.11.2025 (вх. № 7196), имеются  СПРАВКИ-РАСЧЕТЫ СУММ НАЛОГА  НА ИМУЩЕСТВО на 2026-2028 г.   При этом суммы налога исчислены:  </t>
  </si>
  <si>
    <t xml:space="preserve"> 1) в отношении  ВОДОПРОВОДНЫХ СЕТЕЙ -  исходя из  среднегодовой  остаточной стоимости каждого объекта  и  ставки  2,2 % , в том числе на 2026 г. - 9276,501 тыс. руб. ,  2027 г. - 8615,249 тыс. руб., на 2028 г. -  7953,99 тыс. руб.;</t>
  </si>
  <si>
    <t>2) в отношении ГАРАЖЕЙ и ПРОЧИХ ЗДАНИЙ (включая здания над скважинами) - исходя из  КАДАСТРОВОЙ стоимости и ставки 2,0%, в том числе на 2026 г. -  2734,482 тыс. руб., на 2027  и 2028 г. -  на том же уровне.</t>
  </si>
  <si>
    <t>Специалистом РЭК  расчеты организации В ЧАСТИ СЕТЕЙ ВОДОСНАБЖЕНИЯ, а также в части ГАРАЖЕЙ признаны ВЕРНЫМИ.    Расчет сумм налога в отношении ПРОЧИХ ЗДАНИЙ  был скорректирован и исчислен, на основании  данных об их   СРЕДНЕГОДОВОЙ  ОСТАТОЧНОЙ  СТОИМОСТИ , представленных в  "Ведомости амортизации за 9 месяцев 2025 года " , и ставки налога 2,2% ( ОСНОВАНИЕ: пункт 1 Статьи 2 Закона Кемеровской области - Кузбасса от 26.11.2003 № 60-ОЗ (ред. от 30.06.2025) "О налоге на имущество организаций").</t>
  </si>
  <si>
    <t>Таким образом, расчетные суммы налога на имущество составили:</t>
  </si>
  <si>
    <t xml:space="preserve"> - на 2026 год -  11150,40 тыс. руб., в том числе  ВОДОПРОВОДНЫЕ СЕТИ -  9276,501 тыс. руб.;  ГАРАЖИ - 1749,93 тыс. руб., ПРОЧИЕ ЗДАНИЯ - 123,97 тыс. руб.;</t>
  </si>
  <si>
    <t xml:space="preserve"> - на 2026 год -  10476,72 тыс. руб., в том числе  ВОДОПРОВОДНЫЕ СЕТИ - 8615,249 тыс. руб.;  ГАРАЖИ - 1749,93 тыс. руб., ПРОЧИЕ ЗДАНИЯ - 111,54 тыс. руб.;</t>
  </si>
  <si>
    <t xml:space="preserve"> - на 2026 год -  9806,15 тыс. руб., в том числе  ВОДОПРОВОДНЫЕ СЕТИ -  7953,99 тыс. руб.;  ГАРАЖИ - 1749,93 тыс. руб., ПРОЧИЕ ЗДАНИЯ -  99,596 тыс. руб.;  (с учетом арифметической корректировки   2,63 тыс. руб.).</t>
  </si>
  <si>
    <t>3. ТРАНСПОРТНЫЙ НАЛОГ.   Суммы транспортного налога  исчислены организацией в  отношении транспортных средств в количестве 6 шт., находящихся в эксплуатации  МУП "Водоканал" на территории г. Белово (тракторы МТЗ-80 2 шт., экскаватор DOOSAN DX160W, автомобиль ГАЗ 33081, автомобиль ЗИЛ КО-510, трактор колесный К-701).  Ставки налога соответствуют величинам, установленным Законом Кемеровской области от 28.11.2002 N 95-ОЗ (ред. от 27.11.2025) "О транспортном налоге".</t>
  </si>
  <si>
    <t>Плановые расходы на  2026-2028 гг. приняты специалистом РЭК Кузбасса на уровне, предложенном организацией.</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</si>
  <si>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</si>
  <si>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</si>
  <si>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</si>
  <si>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</si>
  <si>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</si>
  <si>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</si>
  <si>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</si>
  <si>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</si>
  <si>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</si>
  <si>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</si>
  <si>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</si>
  <si>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</si>
  <si>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</si>
  <si>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</si>
  <si>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</si>
  <si>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</si>
  <si>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</si>
  <si>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</si>
  <si>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</si>
  <si>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</si>
  <si>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</si>
  <si>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</si>
  <si>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</si>
  <si>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</si>
  <si>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</si>
  <si>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</si>
  <si>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</si>
  <si>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</si>
  <si>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</si>
  <si>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</si>
  <si>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</si>
  <si>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</si>
  <si>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</si>
  <si>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</si>
  <si>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</si>
  <si>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</si>
  <si>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</si>
  <si>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</si>
  <si>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</si>
  <si>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</si>
  <si>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</si>
  <si>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</si>
  <si>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</si>
  <si>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</si>
  <si>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</si>
  <si>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</si>
  <si>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</si>
  <si>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</si>
  <si>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</si>
  <si>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</si>
  <si>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</si>
  <si>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</si>
  <si>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</si>
  <si>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</si>
  <si>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</si>
  <si>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</si>
  <si>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</si>
  <si>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</si>
  <si>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</si>
  <si>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</si>
  <si>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</si>
  <si>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</si>
  <si>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</si>
  <si>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</si>
  <si>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</si>
  <si>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</si>
  <si>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</si>
  <si>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</si>
  <si>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</si>
  <si>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</si>
  <si>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</si>
  <si>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</si>
  <si>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</si>
  <si>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</si>
  <si>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</si>
  <si>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</si>
  <si>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</si>
  <si>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</si>
  <si>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</si>
  <si>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</si>
  <si>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</si>
  <si>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</si>
  <si>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</si>
  <si>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</si>
  <si>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</si>
  <si>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</si>
  <si>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</si>
  <si>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</si>
  <si>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</si>
  <si>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</si>
  <si>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</si>
  <si>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</si>
  <si>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</si>
  <si>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</si>
  <si>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</si>
  <si>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</si>
  <si>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</si>
  <si>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</si>
  <si>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</si>
  <si>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</si>
  <si>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</si>
  <si>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</si>
  <si>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</si>
  <si>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</si>
  <si>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</si>
  <si>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</si>
  <si>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</si>
  <si>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</si>
  <si>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</si>
  <si>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</si>
  <si>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</si>
  <si>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</si>
  <si>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</si>
  <si>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</si>
  <si>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</si>
  <si>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</si>
  <si>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</si>
  <si>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</si>
  <si>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</si>
  <si>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</si>
  <si>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</si>
  <si>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</si>
  <si>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</si>
  <si>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</si>
  <si>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</si>
  <si>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</si>
  <si>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</si>
  <si>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</si>
  <si>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</si>
  <si>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</si>
  <si>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</si>
  <si>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</si>
  <si>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</si>
  <si>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</si>
  <si>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</si>
  <si>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</si>
  <si>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</si>
  <si>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</si>
  <si>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</si>
  <si>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</si>
  <si>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</si>
  <si>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</si>
  <si>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</si>
  <si>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</si>
  <si>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</si>
  <si>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</si>
  <si>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</si>
  <si>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</si>
  <si>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</si>
  <si>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</si>
  <si>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</si>
  <si>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</si>
  <si>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</si>
  <si>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</si>
  <si>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</si>
  <si>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</si>
  <si>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</si>
  <si>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</si>
  <si>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</si>
  <si>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</si>
  <si>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</si>
  <si>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</si>
  <si>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</si>
  <si>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</si>
  <si>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</si>
  <si>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</si>
  <si>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</si>
  <si>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</si>
  <si>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</si>
  <si>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</si>
  <si>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</si>
  <si>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</si>
  <si>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</si>
  <si>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</si>
  <si>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</si>
  <si>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</si>
  <si>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</si>
  <si>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</si>
  <si>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</si>
  <si>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</si>
  <si>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</si>
  <si>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</si>
  <si>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</si>
  <si>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</si>
  <si>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</si>
  <si>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</si>
  <si>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</si>
  <si>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</si>
  <si>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</si>
  <si>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</si>
  <si>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</si>
  <si>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</si>
  <si>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</si>
  <si>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</si>
  <si>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</si>
  <si>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</si>
  <si>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</si>
  <si>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</si>
  <si>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</si>
  <si>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</si>
  <si>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</si>
  <si>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</si>
  <si>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</si>
  <si>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</si>
  <si>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</si>
  <si>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</si>
  <si>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</si>
  <si>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</si>
  <si>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</si>
  <si>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</si>
  <si>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</si>
  <si>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</si>
  <si>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</si>
  <si>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</si>
  <si>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</si>
  <si>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</si>
  <si>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</si>
  <si>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</si>
  <si>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</si>
  <si>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</si>
  <si>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</si>
  <si>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</si>
  <si>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</si>
  <si>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</si>
  <si>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</si>
  <si>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</si>
  <si>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</si>
  <si>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</si>
  <si>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</si>
  <si>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</si>
  <si>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</si>
  <si>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</si>
  <si>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</si>
  <si>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</si>
  <si>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</si>
  <si>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</si>
  <si>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</si>
  <si>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</si>
  <si>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</si>
  <si>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</si>
  <si>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</si>
  <si>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</si>
  <si>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</si>
  <si>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</si>
  <si>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</si>
  <si>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</si>
  <si>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</si>
  <si>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</si>
  <si>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</si>
  <si>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</si>
  <si>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</si>
  <si>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</si>
  <si>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</si>
  <si>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</si>
  <si>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</si>
  <si>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</si>
  <si>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</si>
  <si>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</si>
  <si>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</si>
  <si>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</si>
  <si>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</si>
  <si>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</si>
  <si>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</si>
  <si>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</si>
  <si>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</si>
  <si>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</si>
  <si>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</si>
  <si>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</si>
  <si>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</si>
  <si>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</si>
  <si>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</si>
  <si>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</si>
  <si>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</si>
  <si>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</si>
  <si>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</si>
  <si>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</si>
  <si>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</si>
  <si>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</si>
  <si>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</si>
  <si>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</si>
  <si>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</si>
  <si>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</si>
  <si>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</si>
  <si>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</si>
  <si>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</si>
  <si>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</si>
  <si>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</si>
  <si>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</si>
  <si>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</si>
  <si>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</si>
  <si>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</si>
  <si>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</si>
  <si>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</si>
  <si>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</si>
  <si>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Корректировка затрат  ЗА ПЕРИОД С 18.12.2024 по 31.12.2024 НЕ ЗАЯВЛЕНА.</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</si>
  <si>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</si>
  <si>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</si>
  <si>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</si>
  <si>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</si>
  <si>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</si>
  <si>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</si>
  <si>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</si>
  <si>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</si>
  <si>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</si>
  <si>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</si>
  <si>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</si>
  <si>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</si>
  <si>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</si>
  <si>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</si>
  <si>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</si>
  <si>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</si>
  <si>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</si>
  <si>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</si>
  <si>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</si>
  <si>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</si>
  <si>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</si>
  <si>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</si>
  <si>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</si>
  <si>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</si>
  <si>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</si>
  <si>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</si>
  <si>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</si>
  <si>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</si>
  <si>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</si>
  <si>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</si>
  <si>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</si>
  <si>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</si>
  <si>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</si>
  <si>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</si>
  <si>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</si>
  <si>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</si>
  <si>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</si>
  <si>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</si>
  <si>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</si>
  <si>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</si>
  <si>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</si>
  <si>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</si>
  <si>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</si>
  <si>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</si>
  <si>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</si>
  <si>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</si>
  <si>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</si>
  <si>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</si>
  <si>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</si>
  <si>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</si>
  <si>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</si>
  <si>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</si>
  <si>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</si>
  <si>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</si>
  <si>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</si>
  <si>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</si>
  <si>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</si>
  <si>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</si>
  <si>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</si>
  <si>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</si>
  <si>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</si>
  <si>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</si>
  <si>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</si>
  <si>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</si>
  <si>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</si>
  <si>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</si>
  <si>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</si>
  <si>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</si>
  <si>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</si>
  <si>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</si>
  <si>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</si>
  <si>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</si>
  <si>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</si>
  <si>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</si>
  <si>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</si>
  <si>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</si>
  <si>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</si>
  <si>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</si>
  <si>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</si>
  <si>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</si>
  <si>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</si>
  <si>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</si>
  <si>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</si>
  <si>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</si>
  <si>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</si>
  <si>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</si>
  <si>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</si>
  <si>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</si>
  <si>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</si>
  <si>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</si>
  <si>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</si>
  <si>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</si>
  <si>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</si>
  <si>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</si>
  <si>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</si>
  <si>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</si>
  <si>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</si>
  <si>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</si>
  <si>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</si>
  <si>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</si>
  <si>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</si>
  <si>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</si>
  <si>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</si>
  <si>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</si>
  <si>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</si>
  <si>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</si>
  <si>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</si>
  <si>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</si>
  <si>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</si>
  <si>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</si>
  <si>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</si>
  <si>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</si>
  <si>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</si>
  <si>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</si>
  <si>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</si>
  <si>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</si>
  <si>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</si>
  <si>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</si>
  <si>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</si>
  <si>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</si>
  <si>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</si>
  <si>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</si>
  <si>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</si>
  <si>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</si>
  <si>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</si>
  <si>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</si>
  <si>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</si>
  <si>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</si>
  <si>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</si>
  <si>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</si>
  <si>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</si>
  <si>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</si>
  <si>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</si>
  <si>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</si>
  <si>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</si>
  <si>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</si>
  <si>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</si>
  <si>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</si>
  <si>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</si>
  <si>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</si>
  <si>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</si>
  <si>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</si>
  <si>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</si>
  <si>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</si>
  <si>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</si>
  <si>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</si>
  <si>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</si>
  <si>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</si>
  <si>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</si>
  <si>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</si>
  <si>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</si>
  <si>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</si>
  <si>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</si>
  <si>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</si>
  <si>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</si>
  <si>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</si>
  <si>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</si>
  <si>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</si>
  <si>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</si>
  <si>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</si>
  <si>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</si>
  <si>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</si>
  <si>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</si>
  <si>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</si>
  <si>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</si>
  <si>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</si>
  <si>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</si>
  <si>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</si>
  <si>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</si>
  <si>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</si>
  <si>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</si>
  <si>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</si>
  <si>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</si>
  <si>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</si>
  <si>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</si>
  <si>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</si>
  <si>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</si>
  <si>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</si>
  <si>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</si>
  <si>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</si>
  <si>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</si>
  <si>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</si>
  <si>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</si>
  <si>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</si>
  <si>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</si>
  <si>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</si>
  <si>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</si>
  <si>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</si>
  <si>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</si>
  <si>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</si>
  <si>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</si>
  <si>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</si>
  <si>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</si>
  <si>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</si>
  <si>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</si>
  <si>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</si>
  <si>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</si>
  <si>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</si>
  <si>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</si>
  <si>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</si>
  <si>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</si>
  <si>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</si>
  <si>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</si>
  <si>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</si>
  <si>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</si>
  <si>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</si>
  <si>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</si>
  <si>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</si>
  <si>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</si>
  <si>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</si>
  <si>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</si>
  <si>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</si>
  <si>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</si>
  <si>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</si>
  <si>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</si>
  <si>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</si>
  <si>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</si>
  <si>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</si>
  <si>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</si>
  <si>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</si>
  <si>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</si>
  <si>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</si>
  <si>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</si>
  <si>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</si>
  <si>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</si>
  <si>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</si>
  <si>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</si>
  <si>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</si>
  <si>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</si>
  <si>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</si>
  <si>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</si>
  <si>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</si>
  <si>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</si>
  <si>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</si>
  <si>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</si>
  <si>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</si>
  <si>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</si>
  <si>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</si>
  <si>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</si>
  <si>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</si>
  <si>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</si>
  <si>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</si>
  <si>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</si>
  <si>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</si>
  <si>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</si>
  <si>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</si>
  <si>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</si>
  <si>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</si>
  <si>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</si>
  <si>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</si>
  <si>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</si>
  <si>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</si>
  <si>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</si>
  <si>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</si>
  <si>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</si>
  <si>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</si>
  <si>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</si>
  <si>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</si>
  <si>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</si>
  <si>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</si>
  <si>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</si>
  <si>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</si>
  <si>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</si>
  <si>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</si>
  <si>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</si>
  <si>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</si>
  <si>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</si>
  <si>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</si>
  <si>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</si>
  <si>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</si>
  <si>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</si>
  <si>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</si>
  <si>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</si>
  <si>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</si>
  <si>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</si>
  <si>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</si>
  <si>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</si>
  <si>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</si>
  <si>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</si>
  <si>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</si>
  <si>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</si>
  <si>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</si>
  <si>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</si>
  <si>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</si>
  <si>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</si>
  <si>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</si>
  <si>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</si>
  <si>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</si>
  <si>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</si>
  <si>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</si>
  <si>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</si>
  <si>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</si>
  <si>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</si>
  <si>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</si>
  <si>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</si>
  <si>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</si>
  <si>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</si>
  <si>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</si>
  <si>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</si>
  <si>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</si>
  <si>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охрана труда</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</si>
  <si>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</si>
  <si>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</si>
  <si>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</si>
  <si>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</si>
  <si>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</si>
  <si>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</si>
  <si>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</si>
  <si>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</si>
  <si>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</si>
  <si>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</si>
  <si>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</si>
  <si>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</si>
  <si>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</si>
  <si>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</si>
  <si>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</si>
  <si>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</si>
  <si>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</si>
  <si>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</si>
  <si>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</si>
  <si>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</si>
  <si>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</si>
  <si>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</si>
  <si>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</si>
  <si>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</si>
  <si>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</si>
  <si>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</si>
  <si>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</si>
  <si>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</si>
  <si>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</si>
  <si>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</si>
  <si>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</si>
  <si>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</si>
  <si>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</si>
  <si>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</si>
  <si>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</si>
  <si>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</si>
  <si>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</si>
  <si>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</si>
  <si>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</si>
  <si>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</si>
  <si>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</si>
  <si>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</si>
  <si>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</si>
  <si>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</si>
  <si>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</si>
  <si>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</si>
  <si>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</si>
  <si>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</si>
  <si>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</si>
  <si>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</si>
  <si>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</si>
  <si>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</si>
  <si>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</si>
  <si>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</si>
  <si>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</si>
  <si>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</si>
  <si>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</si>
  <si>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</si>
  <si>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</si>
  <si>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</si>
  <si>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</si>
  <si>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</si>
  <si>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</si>
  <si>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</si>
  <si>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</si>
  <si>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</si>
  <si>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</si>
  <si>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</si>
  <si>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</si>
  <si>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</si>
  <si>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</si>
  <si>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</si>
  <si>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</si>
  <si>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</si>
  <si>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</si>
  <si>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</si>
  <si>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</si>
  <si>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</si>
  <si>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</si>
  <si>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</si>
  <si>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</si>
  <si>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</si>
  <si>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</si>
  <si>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</si>
  <si>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</si>
  <si>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</si>
  <si>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</si>
  <si>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</si>
  <si>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</si>
  <si>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</si>
  <si>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</si>
  <si>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</si>
  <si>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</si>
  <si>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</si>
  <si>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</si>
  <si>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</si>
  <si>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</si>
  <si>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</si>
  <si>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</si>
  <si>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</si>
  <si>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</si>
  <si>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</si>
  <si>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</si>
  <si>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</si>
  <si>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</si>
  <si>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</si>
  <si>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</si>
  <si>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</si>
  <si>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</si>
  <si>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</si>
  <si>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</si>
  <si>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</si>
  <si>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</si>
  <si>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</si>
  <si>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</si>
  <si>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</si>
  <si>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</si>
  <si>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</si>
  <si>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</si>
  <si>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</si>
  <si>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</si>
  <si>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</si>
  <si>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</si>
  <si>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</si>
  <si>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</si>
  <si>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</si>
  <si>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</si>
  <si>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</si>
  <si>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</si>
  <si>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</si>
  <si>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</si>
  <si>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</si>
  <si>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</si>
  <si>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</si>
  <si>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</si>
  <si>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</si>
  <si>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</si>
  <si>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</si>
  <si>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</si>
  <si>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</si>
  <si>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</si>
  <si>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</si>
  <si>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</si>
  <si>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</si>
  <si>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</si>
  <si>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</si>
  <si>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</si>
  <si>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</si>
  <si>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</si>
  <si>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</si>
  <si>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</si>
  <si>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</si>
  <si>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</si>
  <si>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</si>
  <si>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</si>
  <si>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</si>
  <si>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</si>
  <si>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</si>
  <si>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</si>
  <si>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</si>
  <si>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</si>
  <si>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</si>
  <si>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</si>
  <si>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</si>
  <si>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</si>
  <si>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</si>
  <si>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</si>
  <si>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</si>
  <si>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</si>
  <si>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</si>
  <si>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</si>
  <si>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</si>
  <si>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</si>
  <si>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</si>
  <si>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</si>
  <si>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</si>
  <si>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</si>
  <si>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</si>
  <si>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</si>
  <si>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</si>
  <si>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</si>
  <si>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</si>
  <si>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</si>
  <si>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</si>
  <si>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</si>
  <si>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</si>
  <si>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</si>
  <si>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</si>
  <si>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</si>
  <si>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</si>
  <si>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</si>
  <si>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</si>
  <si>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</si>
  <si>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</si>
  <si>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</si>
  <si>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</si>
  <si>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</si>
  <si>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</si>
  <si>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</si>
  <si>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</si>
  <si>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</si>
  <si>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</si>
  <si>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</si>
  <si>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</si>
  <si>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</si>
  <si>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</si>
  <si>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</si>
  <si>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</si>
  <si>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</si>
  <si>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</si>
  <si>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</si>
  <si>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</si>
  <si>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</si>
  <si>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</si>
  <si>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</si>
  <si>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</si>
  <si>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</si>
  <si>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</si>
  <si>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</si>
  <si>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</si>
  <si>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</si>
  <si>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</si>
  <si>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</si>
  <si>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</si>
  <si>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</si>
  <si>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</si>
  <si>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</si>
  <si>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</si>
  <si>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</si>
  <si>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</si>
  <si>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</si>
  <si>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</si>
  <si>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</si>
  <si>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</si>
  <si>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</si>
  <si>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</si>
  <si>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</si>
  <si>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</si>
  <si>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</si>
  <si>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</si>
  <si>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</si>
  <si>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</si>
  <si>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</si>
  <si>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</si>
  <si>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</si>
  <si>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</si>
  <si>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</si>
  <si>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</si>
  <si>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</si>
  <si>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</si>
  <si>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</si>
  <si>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</si>
  <si>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</si>
  <si>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</si>
  <si>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</si>
  <si>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</si>
  <si>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</si>
  <si>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</si>
  <si>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</si>
  <si>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</si>
  <si>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</si>
  <si>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</si>
  <si>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</si>
  <si>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</si>
  <si>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</si>
  <si>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</si>
  <si>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</si>
  <si>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</si>
  <si>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</si>
  <si>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</si>
  <si>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</si>
  <si>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</si>
  <si>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</si>
  <si>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</si>
  <si>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</si>
  <si>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</si>
  <si>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</si>
  <si>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</si>
  <si>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</si>
  <si>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</si>
  <si>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</si>
  <si>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</si>
  <si>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</si>
  <si>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П. 88,  Глава  VI.I   Методических указаний ФСТ № 1746-э.
 (пункты 44-48 ).</t>
  </si>
  <si>
    <t>Базовый уровень операционных расходов на 2026 год рассчитан в соответствии с пунктами 44-48 главы VI.I.   Операционные расходы на 207 -2028 гг. рассчитаны от базового уровня операционных расходов 2026 года с учетом  индексов эффективности 1%/год,  индексов количества активов (ИКА) =0,  индексов потребительских цен (ИПЦ)  104,0% на 2027 г. и 104,0% на 2028 г.  согласно базовому варианту Прогноза Минэкономразвития России от 26.09.2025.</t>
  </si>
  <si>
    <t>П. 18 Методических указаний ФСТ России от 27.12.2013 № 1746-э.</t>
  </si>
  <si>
    <t xml:space="preserve">1) Пункты 22 - 23 Основ ценообразования  2)  П. 16, 18(1), 19, 33 Методических указаний ФСТ России № 1746-э. 3) Пункт 4 Части 1 Статьи  93   Федерального закона от 05.04.2013 N 44-ФЗ "О контрактной системе в сфере закупок товаров, работ, услуг для обеспечения государственных и муниципальных нужд". </t>
  </si>
  <si>
    <t xml:space="preserve">ЗАКУПОЧНЫЕ ПРОЦЕДУРЫ   в   2024-2025 гг. не проводились,  В материалах от 07.11.2025 (вх. № 7196 от 10.11.2025)  имеется  ПОЯСНИТЕЛЬНАЯ ЗАПИСКА МУП "Водоканал" , в которой сообщается, что приобретение материалов и услуг  производится организацией  в рамках Федерального закона от 05.04.2013 N 44-ФЗ, которым, в частности, установлено ,что   предприятие, учреждение  может осуществлять  закупку у единственного поставщика (подрядчика, исполнителя) в случае, если  осуществление закупки товара, работы или услуги на сумму, не превышающую 600,00 тысяч рублей, либо закупки товара на сумму, предусмотренную частью 12 настоящей статьи, если такая закупка осуществляется в электронной форме. При этом годовой объем закупок, которые заказчик вправе осуществить на основании настоящего пункта, не должен превышать 2,0 млн рублей или не должен превышать 10% совокупного годового объема закупок заказчика и не должен составлять более чем 50,00 млн  рублей."   (пункт 4 Части 1 Статьи  93 ).  </t>
  </si>
  <si>
    <t>1) Пункты 22 - 23 Основ ценообразования  2)  П. 16, 18(1), 19, 33 Методических указаний ФСТ России № 1746-э.</t>
  </si>
  <si>
    <t>Данные расходы заявлены организацией, исходя из суммы фактических затрат за 9 месяцев 2025 г. (2055,18 тыс. руб. согласно представленным документам), в пересчете на 12 месяцев, с учетом ИПЦ Минэкономразвития России  на 2026 год 105,1%.  Специалистом РЭК  Кузбасса расходы приняты на уровне предложенных величин.</t>
  </si>
  <si>
    <t>По данной статье до  2026 г. отражались затраты на УГОЛЬ ДЛЯ ОТОПЛЕНИЯ ПРОИЗВОДСТВЕННЫХ ОБЪЕКТОВ  (см. лист "ПОКУПКА").</t>
  </si>
  <si>
    <t>1) П. 17 Методических указаний ФСТ России № 1746-э. 2) Приказ Минстроя России от 23.03.2020 N 154/пр "Об утверждении Типовых отраслевых норм численности работников водопроводно-канализационного хозяйства"</t>
  </si>
  <si>
    <t>См. лист "ФОТ".</t>
  </si>
  <si>
    <t xml:space="preserve">1) Пункты 22 - 23 Основ ценообразования  2)  П. 16, 20, 33 Методических указаний ФСТ России № 1746-э.  </t>
  </si>
  <si>
    <t xml:space="preserve">Учтены затраты на ЭЛЕКТРОЭНЕРГИЮ для ОТОПЛЕНИЯ производственных объектов (насосные станции). ОРГАНИЗАЦИЕЙ расходы рассчитаны от фактических затрат за 9 месяцев 2025 г. (3157,28 тыс. руб.), в пересчете на 12 месяцев, с учетом ИПЦ Минэкономразвития 105,1% на 2026 год. Активная энергия  -  в размере плановой  расчетной величины 2025 г. - 843,923 тыс. кВт*ч/год, мощность - 800,00 МВт/год ( распределена пропорционально объему активной энергии), в пересчете на 12 месяцев - 1066,67 МВт/год.   Специалистом РЭК Кузбасса плановые цены  определены, исходя из средневзвешенных фактических цен  за 9 мес. 2025 г. ( 2,6152 руб./кВт*ч и 2205,74 руб./кВт согласно представленным документам), с учетом ИЦП электроэнергии Минэкономразвития РФ 113,2% на 2026 г. </t>
  </si>
  <si>
    <t xml:space="preserve">1) П. 18 (7), п. 28, п. 29 Методических указаний ФСТ России № 1746-э. 2) "Классификация основных средств, включаемых в амортизационные группы"  (утверждена постановлением Правительства Российской Федерации от 1 января 2002 г. № 1). </t>
  </si>
  <si>
    <t>По данной статье отражены  затраты на АРЕНДУ ТРАНСПОРТНЫХ СРЕДСТВ и СПЕЦИАЛЬНОЙ ТЕХНИКИ по договорам, заключенных с ООО "ЕВРОКОМ": от 01.01.2025 № 2-25/МУП  и от 09.06.2025 № 90625 (фургоны грузовые УАЗ 374195 - 4 шт.) , от 20.02.2025 № 20/02/2025  (УАЗ "Патриот" - 1 шт,) , от 14.02.2025 № 14/02/2025 (снегоходы 2 шт.). Годовая сумма затрат на 2026 год  рассчитана организацией   как сумма  годовых АМОРТИЗАЦИОННЫХ ОТЧИСЛЕНИЙ  и сумм транспортного налога по каждому транспортному средству.  Регулятором скорректировано в части  срока полезного использования по грузовым фургонам УАЗ (максимальный - 7 лет, 4-я амортизационная группа).</t>
  </si>
  <si>
    <t>Данные расходы заявлены организацией, исходя из суммы фактических затрат за 9 месяцев 2025 г. (980,282 -запчасти сч. 20 + 896,418 прочие материалы сч 20 + 768,58469 сч 25 = 2645,29 тыс. руб. согласно представленным документам), в пересчете на 12 месяцев, с учетом ИПЦ Минэкономразвития России  на 2026 год 105,1%.  Специалистом РЭК  Кузбасса расходы приняты на уровне предложенных величин.</t>
  </si>
  <si>
    <t>1) П. 18 (7) Методических указаний ФСТ России № 1746-э. 2) Федеральный закон от 25.04.2002 N 40-ФЗ (ред. от 30.11.2024) "Об обязательном страховании гражданской ответственности владельцев транспортных средств".</t>
  </si>
  <si>
    <t>По данной статье отражены  предложенные организацией плановые затраты на 2026 год: 1)   на  оплату услуг ООО "ЕВРОКОМ" по предоставлению СПЕЦИАЛЬНОЙ ТЕХНИКИ (договор от 01.11.2024 № 1-25/МУП) и услуги ПАССАЖИРСКИХ ПЕРЕВОЗОК (доставка работников МУП "Водоканал" из п.  Новый Городок до  производственных объектов  по ул. 2-я Рабочая)  по договору от 11.03.2025 № 032025 - на  общую сумму 15381,85 тыс. руб.;   2)  на  страхование ОСАГО и   ТЕХНИЧЕСКОЕ ОБСЛУЖИВАНИЕ И РЕМОНТ ТРАНСПОРТНЫХ СРЕДСТВ - на сумму 2485,88 тыс. руб.   ОБОСНОВАнИЕ - см. ниже в разделе "Комментарии к разделу".</t>
  </si>
  <si>
    <t>1)  П. 18 (7) Методических указаний ФСТ России № 1746-э. 2) Статья 25 Федерального закона от 07.12.2011 N 416-ФЗ (ред. от 08.08.2024) "О водоснабжении и водоотведении". 3) Постановление Правительства РФ от 06.01.2015 N 10 (ред. от 07.02.2024) "О порядке осуществления производственного контроля качества и безопасности питьевой воды, горячей воды" (вместе с "Правилами осуществления производственного контроля качества и безопасности питьевой воды, горячей воды").    4) Статья 18 Федерального закона от 30.03.1999 N 52-ФЗ (ред. от 26.12.2024) "О санитарно-эпидемиологическом благополучии населения". 5) Федеральный закон от 28.12.2013 N 412-ФЗ (ред. от 24.07.2023) "Об аккредитации в национальной системе аккредитации" (с изм. и доп., вступ. в силу с 01.09.2024)</t>
  </si>
  <si>
    <t>Организацией заявлены затраты по договору от 23.10.2024 № БЛ 359, заключенному с ФГБУЗ "Центр гигиены и эпидемиологии в Кемеровской области - Кузбассе",  исходя из стоимости услуг (без учета НДС)  согласно Дополнительному соглашению № 1  от 26.03.2025 , с учетом индекса-дефлятора 105,1% (4959,302 тыс. руб. / 1,2 *1,051 = 4343,52 тыс. руб.).  Резкий рост плановых затрат по статье (по отношению к  факту и плану предыдущих периодов)  организация объясняет тем, что  предыдущая организация, обслуживавшая систему водоснабжения (ООО "ВОдоснабжение"), осуществляла исследование качества питьевой воды силами собственной лаборатории (которая прекратила деятельность с октября 2024 г.).  (См продолжение ниже в разделе "КОММЕНТАРИИ  И ОБОСНОВАНИЯ К РАЗДЕЛУ"),</t>
  </si>
  <si>
    <t>1) Статьи 196, 212 - 214, 219 - 223 "Трудового кодекса Российской Федерации" от 30.12.2001 N 197-ФЗ (ред. от 08.08.2024 N 268-ФЗ). 2) Приказ Минздравсоцразвития РФ от 03.10.2008  № 543н "Об утверждении Типовых норм бесплатной выдачи сертифицированных специальной одежды, специальной обуви и других средств индивидуальной защиты работникам жилищно-коммунального хозяйства, занятым на работах с вредными и (или) опасными условиями труда, а также на работах, выполняемых в особых температурных условиях или связанных с загрязнением" 3) Постановление Правительства РФ от 24.12.2021 N 2464 (ред. от 12.06.2024) "О порядке обучения по охране труда и проверки знания требований охраны труда" (и другие нормативно-правовые акты).</t>
  </si>
  <si>
    <t xml:space="preserve">Заявлены  организацией  и учтены регулирующим органом на 2026 год расходы на ОХРАНУ ТРУДА.  Принято на уровне фактических затрат за 9 мес. 2025 года, (339,649 тыс руб. медосмотр + 147,10 тыс.руб. СОУТ (специальная оценка условий труда) + 127,3 тыс.руб. обучение работников по промышленной безопасности + 330,13432 тыс. руб.  Спецодежда  и средства индивидуальной защиты + 10,5 тыс. руб. акарицидная обработка), в пересчете на 12 мес., с учетом ИПЦ Минэкономразвития России 105,1% на 2026 г.  </t>
  </si>
  <si>
    <t>1) П. 23, п. 24  Методических указаний ФСТ России № 1746-э. 2) "МДК 3-02.2001. Пункт 2.10.2 "Правил технической эксплуатации систем и сооружений коммунального водоснабжения и канализации" (утв. Приказом Госстроя РФ от 30.12.1999 N 168).</t>
  </si>
  <si>
    <t>По итогам проведенной экспертизы, расходы приняты регулирующим органом, исходя из  утвержденных плановых затрат на 2025 год, с учетом ИПЦ Минэкономразвития России 105,1% на 2026 год.</t>
  </si>
  <si>
    <t>1) П. 25  Методических указаний № 1746-э.</t>
  </si>
  <si>
    <t>См. лист "Административные".</t>
  </si>
  <si>
    <t>П. 25 (1) Методических указаний ФСТ № 1746-э; п.  22, 23 "Основ ценообразования в сфере водоснабжения и водоотведения".</t>
  </si>
  <si>
    <t>1) П. 17 Методических указаний ФСТ России № 1746-э. 2) Приказ Минстроя России от 23.03.2020 N 154/пр "Об утверждении Типовых отраслевых норм численности работников водопроводно-канализационного хозяйства". 3) "Кузбасское региональное соглашение между Кемеровским областным союзом организаций профсоюзов "Федерация профсоюзных организаций Кузбасса", Правительством Кемеровской области - Кузбасса и работодателями Кемеровской области - Кузбасса на 2025 - 2027 годы" (Зарегистрировано Министерством труда и занятости населения Кузбасса 23.10.2024 N 12).</t>
  </si>
  <si>
    <t>Учтены расходы на аренду транспортных средств для нужд административно-управленческого персонала. См. лист "Административные".</t>
  </si>
  <si>
    <t>Пункт 26(7), пункт 27  Методических указаний № 1746-э..</t>
  </si>
  <si>
    <t>См. лист "Сбытовые расходы ГО".</t>
  </si>
  <si>
    <t>См. лист "Покупка".</t>
  </si>
  <si>
    <t>См. лист "СЫРЬЕ И МАТЕРИАЛЫ".</t>
  </si>
  <si>
    <t>1) П. 30 Методических указаний  ФСТ № 1746-э.  2)  "Налоговый кодекс Российской Федерации (часть вторая)" от 05.08.2000 N 117-ФЗ (ред. от 29.10.2024 N 363-ФЗ).</t>
  </si>
  <si>
    <t xml:space="preserve">См. лист "Налоги". </t>
  </si>
  <si>
    <t xml:space="preserve">См. лист "ЭЭ". </t>
  </si>
  <si>
    <t>1) П. 86 (Формула 30.1) Методических указаний  ФСТ № 1746-э.  2)  "Налоговый кодекс Российской Федерации (часть вторая)" от 05.08.2000 N 117-ФЗ (ред. от 15.12.2025).</t>
  </si>
  <si>
    <t xml:space="preserve">
Глава 25. "НАЛОГ НА ПРИБЫЛЬ ОРГАНИЗАЦИЙ"  Налогового кодекса РФ.</t>
  </si>
  <si>
    <t>Организацией заявлены расходы на возмещение проезда в общественном транспорте контролерам;  на компенсацию за использование личного транспорта в служебных целях; на доставку работников к месту работы и обратно. По итогам проведенной экспертизы представленных материалов специалистом рЭК Кузбасса сделан вывод о НЕДОСТАТОЧНОСТИ  ОБОСНОВАНИЯ заявленных затрат.  Расходы будут компенсироваться  в последующих периодах регулирования по факту возникновения затрат  в  соответствующем отчетном периоде (при условии достаточного документального обоснования).</t>
  </si>
  <si>
    <t>П. 15 Методических указаний ФСТ России № 1746-э.</t>
  </si>
  <si>
    <t>На  отчетный период (с 18.12.2024 по 31.12.2024) тариф был установлен МЕТОДОМ ЭКОНОМИЧЕСКИ ОБОСНОВАННЫХ РАСХОДОВ что не предполагает  включение данной корректировки в расчет НВВ на 2026 год.</t>
  </si>
  <si>
    <t xml:space="preserve">
п. 22 (абзац второй)  "Правил регулирования тарифов в сфере водоснабжения и водоотведения" (утв. Постановлением Правительства РФ от 13.05.2013 N 406 (ред. от 20.11.2025) ;  " Для организации, впервые обратившейся с предложением об установлении тарифов, сведения об экономически обоснованных расходах, фактически понесенных в период со дня подачи документов, указанных в пунктах 14, 16 и 17 настоящих Правил, до начала очередного периода регулирования, рассматриваются органом регулирования тарифов и учитываются при установлении организации тарифов на последующий период регулирования."</t>
  </si>
  <si>
    <t>П. 5 Методических указаний ФСТ РФ № 1746-э..</t>
  </si>
  <si>
    <t>См. лист "БАЛАНС".</t>
  </si>
  <si>
    <t xml:space="preserve">Здесь отображены значения тарифов,  отраженные в заявлении  МУП "Водоканал", автоматически сформированном в шаблоне  CALC.WATER.TARIFF.2026.EIAS, загруженном на платформу 07.11.2025 (сопроводительное письмо зарегистрировано 10.11.2025 (вх. № 7196) и  ОТЛИЧАЮТСЯ от значений, указанных в  заявлении от 05.05.2026 вх. № 2823. </t>
  </si>
  <si>
    <t>П. 8(2) Постановления Правительства РФ от 13.05.2013 N 406 (ред. от 20.11.2025) "О государственном регулировании тарифов в сфере водоснабжения и водоотведения"  (введен Постановлением Правительства РФ от 20.11.2025 N 1834).</t>
  </si>
  <si>
    <t>Подлежащие регулированию тарифы в сферах холодного водоснабжения и водоотведения устанавливаются (корректируются) на 2026 год органами регулирования тарифов с календарной разбивкой с 1 января 2026 г. по 30 сентября 2026 г. и с 1 октября 2026 г. по 31 декабря 2026 г.</t>
  </si>
  <si>
    <t>{                  _x000D_
         funcDyn: 'msg1',_x000D_
         blok: 'blok_1',_x000D_
         wsCross: 'Калькуляция (МИ корр)',_x000D_
         linkFormula: 'AB-AB',_x000D_
         levelDyn: ''_x000D_
}</t>
  </si>
  <si>
    <t>О 11.09.2024  МУП "ВОДОКАНАЛ"  являлось  гарантирующим поставщиком услуг холодного водоснабжения  только на территории пгт. Грамотеино, д. Грамотеино и в районе Котельной № 10  по ул. Полярная № 3  северного промузла г. Белово  (статус был присвоен  постановлением Администрации Беловского городского округа  от 28.11.2014 № 328-п).   Эксплуатация  объектов  водоснабжения  осуществлялась на основании   Договора от 16.04.2018 № 02/18  о закреплении муниципального имущества на праве хозяйственного ведения.</t>
  </si>
  <si>
    <t xml:space="preserve">Централизованная система холодного водоснабжения  в  административных границах центральной части г. Белово, мкр-на Старо-Белово, пгт. Инской, мкр-на Бабанаково,  мкр-н 8-е Марта,  мкрн Чертинский,  пгт новый Городок и с. Заречное   обслуживалась обществом с ограниченной ответственностью «Водоснабжение» (ИНН 4202023801), для которого были установлены долгосрочные тарифы на питьевую воду и водоотведение на 2024-2028 гг.  Право владения и пользования  ООО "Водоснабжение"  в отношении объектов централизованной системы Беловского городского округа было установлено договором аренды муниципального оборудования от 01.11.2005 № 11/05 и договором № 02-07/07 аренды объектов муниципального нежилого фонда от 01.03.2007, заключенными с Комитетом по управлению муниципальным имуществом Администрации г. Белово.  РЕШЕНИЯМИ АРБИТРАЖНОГО СУДА КЕМЕРОВСКОЙ ОБЛАСТИ  от 12.04.2024 по Делу № А27-14228/2023 и от 20.08.2024 по Делу № А27-20383/2023 данные договоры были РАСТОРГНУТЫ.  </t>
  </si>
  <si>
    <t>Следует иметь ввиду, что  в графах  приведенной выше таблицы "2024 год. ФАКТ по данным организации" и "2024 год. ФАКТ, принятый органом регулирования"   отражены данные  ЗА ПЕРИОД  С МОМЕНТА ПЕРЕДАЧИ ИМУЩЕСТВА (11.09.2024) по 31.12.2024 (документально подтверждены).   В 2024 году организация применяла УПРОЩЕННУЮ СИСТЕМУ НАЛОГООБЛОЖЕНИЯ, с 01.01.2025 перешла на ОБЩУЮ СИСТЕМУ.</t>
  </si>
  <si>
    <t xml:space="preserve">ПОЯСНЕНИЕ К ПУНКТУ 1.2.5.4.  1)  ЗАТРАТЫ НА оплату УСЛУГ ООО "ЕВРОКОМ" по предоставлению СПЕЦИАЛЬНОЙ ТЕХНИКИ (договор от 01.11.2024 № 1-25/МУП) и услуги ПАССАЖИРСКИХ ПЕРЕВОЗОК  Затраты заявлены организацией, исходя из  соответствующих фактических затрат за 9 месяцев 2025 г.  (всего - 10976,58 тыс. руб.), в пересчете на 12 месяцев, с учетом ИПЦ Минэкономразвития России 105,1%. Учитывая  предложенное организацией сокращение численности водителей на 5-6 чел.  (согласно представленному проекту Штатного расписания на 202 6 год) и  условное расчетное количество человеко-часов  (около  200 в неделю),  услуги  ООО "ЕВРОКОМ" признаны  регулирующим органом в целом экономически целесообразными.  Затраты приняты в размере  14635,44 тыс. руб. - на уровне фактической величины за 9 месяцев 2025 г., в пересчете на 12 месяцев , однако БЕЗ УЧЕТА ИНДЕКСА-ДЕФЛЯТОРА, учитывая превышение годовой суммы затрат над лимитом, установленным пунктом 4 части 1 Статьи 93 Федерального закона от 05.04.2013 № 44-ФЗ (ред. от 26.12.2024), - 2 млн руб., а также  отсутствие калькуляций к договорам с ООО "ЕВРОКОМ" и подтверждения факта проведения закупочных процедур в электронной форме и анализа конкурентной среды). </t>
  </si>
  <si>
    <t>2)   ЗАТРАТЫ на  страхование ОСАГО, ТЕХНИЧЕСКОЕ ОБСЛУЖИВАНИЕ И РЕМОНТ ТРАНСПОРТНЫХ СРЕДСТВ. Затраты  на 2026 год  приняты специалистом РЭК Кузбасса  от  фактических затрат за 9 мес. 2025 г. в пересчете на 12 месяцев (ОСАГО - в части техники, закрепленной за г. Белово), с учетом ИПЦ Минэкономразвития России 105,1%), всего - на сумму 2471,69 тыс. руб.</t>
  </si>
  <si>
    <t>ПОЯСНЕНИЕ К ПУНКТУ 1.2.5.5. Учитывая ,что затраты на оплату труда  учтены регулирующим органом, исходя из  штатной численности 269 чел. (согласно представленному проекту Штатного расписания на 2026 год), которая ВКЛЮЧАЕТ персонал ХИМ. ЛАБОРАТОРИИ (в колчестве 11 человек),  специалистом РЭК Кузбасса  плановые затраты на 2026 год  по данной статье определены как СУММА утвержденных на 2025 год плановых затрат по статьям  "ЛАБОРАТОРНЫЕ АНАЛИЗЫ" (322,99 тыс. руб.)  и  "ЗАТРАТЫ ПО ЛАБОРАТОРИИ:  аккредитация, информационные услуги (ООО "ТЕХЭКСПЕРТ"/ программа ПРОМЭКСПЕРТ), поверка приборов, тех. Диагностирование;  повышение квалификации сотрудников лаборатории;   химреактивы  и штаммы микроорганизмов" (325,07 тыс. руб.), с учетом ИПЦ Минэкономразвития России 105,1% на 2026 г. ( (322,99 + 327,05) * 1,051 = 681,11 тыс. руб.</t>
  </si>
  <si>
    <t>Следует отметить, что  в графах "ПРЕДЛОЖЕНИЕ ОРГАНИЗАЦИИ" (на 2026 - 2028 годы)  отражены  показатели,  заявленные организацией  в  СКОРРЕКТИРОВАННОМ РАСЧЕТЕ финансовых потребностей  от  07.11.2025  (сопроводительное письмо зарегистрировано 10.11.2025 вх. № 7196) и рассчитаны на основании ФАКТИЧЕСКИХ ДАННЫХ  ЗА 9 МЕСЯЦЕВ 2025 ГОДА (январь - сентябрь).   Подтверждающие документы загружены на платформу ЕИАС в формате шаблона CALC.WATER.TARIFF.2026.EIAS.</t>
  </si>
  <si>
    <t>Специалистом РЭК Кузбасса расчет тарифов и финансовых потребностей в сфере холодного водоснабжения  на 2026-2028 годы произведен  МЕТОДОМ ИНДЕКСАЦИИ, в соответствии с положениями Главы VII  "Методических указаний…" (приказ ФСТ от 27.12.2013 № 1746-э).</t>
  </si>
  <si>
    <t>rePaint</t>
  </si>
  <si>
    <t>{                  _x000D_
         funcDyn: 'msg',_x000D_
         blok: '',_x000D_
         wsCross: '',_x000D_
         linkFormula: '',_x000D_
         levelDyn: '1',_x000D_
        addDynValue: 'det_name|AC|0'_x000D_
}</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</si>
  <si>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</si>
  <si>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</si>
  <si>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</si>
  <si>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</si>
  <si>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</si>
  <si>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</si>
  <si>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</si>
  <si>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</si>
  <si>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</si>
  <si>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</si>
  <si>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</si>
  <si>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</si>
  <si>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</si>
  <si>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</si>
  <si>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</si>
  <si>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</si>
  <si>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</si>
  <si>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</si>
  <si>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</si>
  <si>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</si>
  <si>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</si>
  <si>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</si>
  <si>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</si>
  <si>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</si>
  <si>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</si>
  <si>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</si>
  <si>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</si>
  <si>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</si>
  <si>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</si>
  <si>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</si>
  <si>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</si>
  <si>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</si>
  <si>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</si>
  <si>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</si>
  <si>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</si>
  <si>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</si>
  <si>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</si>
  <si>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</si>
  <si>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</si>
  <si>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</si>
  <si>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</si>
  <si>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</si>
  <si>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</si>
  <si>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</si>
  <si>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</si>
  <si>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</si>
  <si>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</si>
  <si>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</si>
  <si>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</si>
  <si>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</si>
  <si>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</si>
  <si>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</si>
  <si>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</si>
  <si>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</si>
  <si>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</si>
  <si>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</si>
  <si>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</si>
  <si>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</si>
  <si>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</si>
  <si>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</si>
  <si>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</si>
  <si>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</si>
  <si>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</si>
  <si>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</si>
  <si>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</si>
  <si>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</si>
  <si>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</si>
  <si>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</si>
  <si>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</si>
  <si>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</si>
  <si>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</si>
  <si>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</si>
  <si>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</si>
  <si>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</si>
  <si>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</si>
  <si>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</si>
  <si>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</si>
  <si>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</si>
  <si>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</si>
  <si>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</si>
  <si>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</si>
  <si>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</si>
  <si>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</si>
  <si>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</si>
  <si>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</si>
  <si>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</si>
  <si>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</si>
  <si>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</si>
  <si>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</si>
  <si>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</si>
  <si>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</si>
  <si>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</si>
  <si>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</si>
  <si>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</si>
  <si>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</si>
  <si>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</si>
  <si>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</si>
  <si>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</si>
  <si>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</si>
  <si>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</si>
  <si>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</si>
  <si>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</si>
  <si>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</si>
  <si>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</si>
  <si>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</si>
  <si>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</si>
  <si>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</si>
  <si>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</si>
  <si>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</si>
  <si>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</si>
  <si>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</si>
  <si>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</si>
  <si>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</si>
  <si>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</si>
  <si>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</si>
  <si>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</si>
  <si>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</si>
  <si>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</si>
  <si>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</si>
  <si>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</si>
  <si>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</si>
  <si>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</si>
  <si>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</si>
  <si>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</si>
  <si>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</si>
  <si>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</si>
  <si>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</si>
  <si>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</si>
  <si>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</si>
  <si>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</si>
  <si>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</si>
  <si>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</si>
  <si>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</si>
  <si>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</si>
  <si>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</si>
  <si>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</si>
  <si>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</si>
  <si>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</si>
  <si>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</si>
  <si>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</si>
  <si>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</si>
  <si>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</si>
  <si>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</si>
  <si>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</si>
  <si>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</si>
  <si>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</si>
  <si>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</si>
  <si>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</si>
  <si>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</si>
  <si>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</si>
  <si>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</si>
  <si>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</si>
  <si>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</si>
  <si>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</si>
  <si>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</si>
  <si>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</si>
  <si>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</si>
  <si>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</si>
  <si>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</si>
  <si>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</si>
  <si>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</si>
  <si>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</si>
  <si>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</si>
  <si>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</si>
  <si>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</si>
  <si>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</si>
  <si>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</si>
  <si>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</si>
  <si>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</si>
  <si>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</si>
  <si>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</si>
  <si>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</si>
  <si>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</si>
  <si>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</si>
  <si>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</si>
  <si>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</si>
  <si>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</si>
  <si>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</si>
  <si>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</si>
  <si>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</si>
  <si>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</si>
  <si>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</si>
  <si>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</si>
  <si>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</si>
  <si>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</si>
  <si>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</si>
  <si>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</si>
  <si>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</si>
  <si>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</si>
  <si>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</si>
  <si>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</si>
  <si>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</si>
  <si>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</si>
  <si>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</si>
  <si>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</si>
  <si>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</si>
  <si>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</si>
  <si>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</si>
  <si>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</si>
  <si>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</si>
  <si>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</si>
  <si>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</si>
  <si>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</si>
  <si>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</si>
  <si>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</si>
  <si>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</si>
  <si>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</si>
  <si>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</si>
  <si>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</si>
  <si>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</si>
  <si>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</si>
  <si>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</si>
  <si>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</si>
  <si>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</si>
  <si>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</si>
  <si>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</si>
  <si>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</si>
  <si>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</si>
  <si>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</si>
  <si>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</si>
  <si>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</si>
  <si>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</si>
  <si>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</si>
  <si>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</si>
  <si>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</si>
  <si>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</si>
  <si>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</si>
  <si>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</si>
  <si>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</si>
  <si>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</si>
  <si>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</si>
  <si>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</si>
  <si>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</si>
  <si>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</si>
  <si>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</si>
  <si>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</si>
  <si>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</si>
  <si>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</si>
  <si>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</si>
  <si>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</si>
  <si>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</si>
  <si>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</si>
  <si>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</si>
  <si>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</si>
  <si>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</si>
  <si>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</si>
  <si>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</si>
  <si>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</si>
  <si>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</si>
  <si>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</si>
  <si>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</si>
  <si>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</si>
  <si>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</si>
  <si>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</si>
  <si>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</si>
  <si>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</si>
  <si>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</si>
  <si>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</si>
  <si>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</si>
  <si>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</si>
  <si>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</si>
  <si>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</si>
  <si>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</si>
  <si>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</si>
  <si>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</si>
  <si>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</si>
  <si>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</si>
  <si>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</si>
  <si>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</si>
  <si>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</si>
  <si>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</si>
  <si>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</si>
  <si>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</si>
  <si>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</si>
  <si>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</si>
  <si>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</si>
  <si>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</si>
  <si>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</si>
  <si>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</si>
  <si>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</si>
  <si>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</si>
  <si>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</si>
  <si>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</si>
  <si>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</si>
  <si>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</si>
  <si>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</si>
  <si>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</si>
  <si>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</si>
  <si>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</si>
  <si>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</si>
  <si>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</si>
  <si>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</si>
  <si>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</si>
  <si>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</si>
  <si>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</si>
  <si>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</si>
  <si>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</si>
  <si>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</si>
  <si>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</si>
  <si>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</si>
  <si>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</si>
  <si>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</si>
  <si>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</si>
  <si>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</si>
  <si>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</si>
  <si>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</si>
  <si>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</si>
  <si>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</si>
  <si>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</si>
  <si>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</si>
  <si>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</si>
  <si>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</si>
  <si>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</si>
  <si>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</si>
  <si>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</si>
  <si>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</si>
  <si>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</si>
  <si>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</si>
  <si>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</si>
  <si>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</si>
  <si>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</si>
  <si>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</si>
  <si>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</si>
  <si>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</si>
  <si>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</si>
  <si>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</si>
  <si>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</si>
  <si>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</si>
  <si>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</si>
  <si>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</si>
  <si>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</si>
  <si>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</si>
  <si>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</si>
  <si>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</si>
  <si>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</si>
  <si>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</si>
  <si>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</si>
  <si>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</si>
  <si>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</si>
  <si>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</si>
  <si>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</si>
  <si>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</si>
  <si>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</si>
  <si>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</si>
  <si>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</si>
  <si>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</si>
  <si>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</si>
  <si>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</si>
  <si>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</si>
  <si>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</si>
  <si>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</si>
  <si>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</si>
  <si>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</si>
  <si>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</si>
  <si>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</si>
  <si>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</si>
  <si>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</si>
  <si>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</si>
  <si>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</si>
  <si>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</si>
  <si>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</si>
  <si>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</si>
  <si>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</si>
  <si>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</si>
  <si>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</si>
  <si>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</si>
  <si>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</si>
  <si>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</si>
  <si>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</si>
  <si>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</si>
  <si>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</si>
  <si>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</si>
  <si>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</si>
  <si>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</si>
  <si>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</si>
  <si>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</si>
  <si>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</si>
  <si>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</si>
  <si>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</si>
  <si>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</si>
  <si>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</si>
  <si>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</si>
  <si>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</si>
  <si>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</si>
  <si>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</si>
  <si>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</si>
  <si>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</si>
  <si>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</si>
  <si>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</si>
  <si>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</si>
  <si>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</si>
  <si>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</si>
  <si>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</si>
  <si>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</si>
  <si>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</si>
  <si>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</si>
  <si>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</si>
  <si>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</si>
  <si>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</si>
  <si>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</si>
  <si>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</si>
  <si>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</si>
  <si>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</si>
  <si>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</si>
  <si>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</si>
  <si>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</si>
  <si>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</si>
  <si>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</si>
  <si>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</si>
  <si>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</si>
  <si>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</si>
  <si>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</si>
  <si>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</si>
  <si>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</si>
  <si>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</si>
  <si>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</si>
  <si>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</si>
  <si>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</si>
  <si>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</si>
  <si>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</si>
  <si>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</si>
  <si>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</si>
  <si>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</si>
  <si>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</si>
  <si>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</si>
  <si>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</si>
  <si>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</si>
  <si>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</si>
  <si>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</si>
  <si>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</si>
  <si>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</si>
  <si>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</si>
  <si>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</si>
  <si>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</si>
  <si>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</si>
  <si>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</si>
  <si>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</si>
  <si>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</si>
  <si>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</si>
  <si>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</si>
  <si>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</si>
  <si>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</si>
  <si>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</si>
  <si>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</si>
  <si>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</si>
  <si>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</si>
  <si>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</si>
  <si>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</si>
  <si>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</si>
  <si>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</si>
  <si>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</si>
  <si>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</si>
  <si>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</si>
  <si>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</si>
  <si>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</si>
  <si>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</si>
  <si>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</si>
  <si>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</si>
  <si>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</si>
  <si>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</si>
  <si>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</si>
  <si>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</si>
  <si>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</si>
  <si>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</si>
  <si>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</si>
  <si>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</si>
  <si>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</si>
  <si>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</si>
  <si>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</si>
  <si>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</si>
  <si>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</si>
  <si>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</si>
  <si>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</si>
  <si>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</si>
  <si>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</si>
  <si>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</si>
  <si>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</si>
  <si>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</si>
  <si>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</si>
  <si>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</si>
  <si>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</si>
  <si>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</si>
  <si>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</si>
  <si>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</si>
  <si>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</si>
  <si>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</si>
  <si>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</si>
  <si>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</si>
  <si>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</si>
  <si>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</si>
  <si>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</si>
  <si>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</si>
  <si>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</si>
  <si>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</si>
  <si>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</si>
  <si>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</si>
  <si>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</si>
  <si>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</si>
  <si>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</si>
  <si>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</si>
  <si>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</si>
  <si>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</si>
  <si>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</si>
  <si>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</si>
  <si>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</si>
  <si>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</si>
  <si>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</si>
  <si>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</si>
  <si>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</si>
  <si>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</si>
  <si>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</si>
  <si>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</si>
  <si>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</si>
  <si>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</si>
  <si>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</si>
  <si>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</si>
  <si>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</si>
  <si>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</si>
  <si>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</si>
  <si>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</si>
  <si>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</si>
  <si>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</si>
  <si>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</si>
  <si>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</si>
  <si>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</si>
  <si>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</si>
  <si>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</si>
  <si>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</si>
  <si>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</si>
  <si>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</si>
  <si>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</si>
  <si>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</si>
  <si>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</si>
  <si>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</si>
  <si>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</si>
  <si>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</si>
  <si>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</si>
  <si>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</si>
  <si>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</si>
  <si>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</si>
  <si>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</si>
  <si>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</si>
  <si>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</si>
  <si>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</si>
  <si>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</si>
  <si>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</si>
  <si>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</si>
  <si>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</si>
  <si>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</si>
  <si>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</si>
  <si>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</si>
  <si>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</si>
  <si>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</si>
  <si>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</si>
  <si>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</si>
  <si>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</si>
  <si>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</si>
  <si>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</si>
  <si>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</si>
  <si>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</si>
  <si>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</si>
  <si>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</si>
  <si>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</si>
  <si>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</si>
  <si>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</si>
  <si>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</si>
  <si>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</si>
  <si>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</si>
  <si>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</si>
  <si>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</si>
  <si>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</si>
  <si>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</si>
  <si>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</si>
  <si>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</si>
  <si>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</si>
  <si>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</si>
  <si>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</si>
  <si>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</si>
  <si>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</si>
  <si>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</si>
  <si>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</si>
  <si>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</si>
  <si>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</si>
  <si>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</si>
  <si>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</si>
  <si>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</si>
  <si>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</si>
  <si>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</si>
  <si>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</si>
  <si>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</si>
  <si>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</si>
  <si>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</si>
  <si>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</si>
  <si>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</si>
  <si>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</si>
  <si>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</si>
  <si>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</si>
  <si>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</si>
  <si>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</si>
  <si>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</si>
  <si>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</si>
  <si>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</si>
  <si>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</si>
  <si>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</si>
  <si>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</si>
  <si>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</si>
  <si>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</si>
  <si>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</si>
  <si>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</si>
  <si>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</si>
  <si>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</si>
  <si>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</si>
  <si>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</si>
  <si>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</si>
  <si>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</si>
  <si>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</si>
  <si>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</si>
  <si>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</si>
  <si>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</si>
  <si>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</si>
  <si>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</si>
  <si>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</si>
  <si>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</si>
  <si>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</si>
  <si>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</si>
  <si>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</si>
  <si>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</si>
  <si>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</si>
  <si>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</si>
  <si>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</si>
  <si>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</si>
  <si>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</si>
  <si>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</si>
  <si>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</si>
  <si>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</si>
  <si>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</si>
  <si>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</si>
  <si>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</si>
  <si>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</si>
  <si>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</si>
  <si>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</si>
  <si>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</si>
  <si>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</si>
  <si>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</si>
  <si>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</si>
  <si>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</si>
  <si>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</si>
  <si>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</si>
  <si>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</si>
  <si>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</si>
  <si>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</si>
  <si>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</si>
  <si>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</si>
  <si>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</si>
  <si>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</si>
  <si>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</si>
  <si>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</si>
  <si>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</si>
  <si>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</si>
  <si>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</si>
  <si>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</si>
  <si>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</si>
  <si>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</si>
  <si>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</si>
  <si>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</si>
  <si>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</si>
  <si>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</si>
  <si>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</si>
  <si>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</si>
  <si>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</si>
  <si>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</si>
  <si>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</si>
  <si>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</si>
  <si>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</si>
  <si>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</si>
  <si>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</si>
  <si>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</si>
  <si>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</si>
  <si>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</si>
  <si>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</si>
  <si>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</si>
  <si>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</si>
  <si>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</si>
  <si>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</si>
  <si>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</si>
  <si>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</si>
  <si>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</si>
  <si>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</si>
  <si>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</si>
  <si>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</si>
  <si>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</si>
  <si>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</si>
  <si>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</si>
  <si>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</si>
  <si>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</si>
  <si>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</si>
  <si>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</si>
  <si>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</si>
  <si>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</si>
  <si>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</si>
  <si>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</si>
  <si>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</si>
  <si>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</si>
  <si>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</si>
  <si>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</si>
  <si>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</si>
  <si>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</si>
  <si>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</si>
  <si>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</si>
  <si>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</si>
  <si>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</si>
  <si>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</si>
  <si>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</si>
  <si>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</si>
  <si>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</si>
  <si>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</si>
  <si>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</si>
  <si>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</si>
  <si>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</si>
  <si>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</si>
  <si>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</si>
  <si>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</si>
  <si>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</si>
  <si>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</si>
  <si>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</si>
  <si>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</si>
  <si>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</si>
  <si>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</si>
  <si>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</si>
  <si>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</si>
  <si>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</si>
  <si>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</si>
  <si>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</si>
  <si>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</si>
  <si>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</si>
  <si>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</si>
  <si>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</si>
  <si>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</si>
  <si>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</si>
  <si>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</si>
  <si>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</si>
  <si>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</si>
  <si>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</si>
  <si>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</si>
  <si>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</si>
  <si>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</si>
  <si>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</si>
  <si>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</si>
  <si>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</si>
  <si>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</si>
  <si>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</si>
  <si>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</si>
  <si>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</si>
  <si>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</si>
  <si>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</si>
  <si>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</si>
  <si>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</si>
  <si>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</si>
  <si>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</si>
  <si>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</si>
  <si>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</si>
  <si>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</si>
  <si>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</si>
  <si>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</si>
  <si>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</si>
  <si>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</si>
  <si>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</si>
  <si>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</si>
  <si>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</si>
  <si>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</si>
  <si>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</si>
  <si>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</si>
  <si>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</si>
  <si>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</si>
  <si>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</si>
  <si>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</si>
  <si>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</si>
  <si>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</si>
  <si>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</si>
  <si>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</si>
  <si>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</si>
  <si>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</si>
  <si>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</si>
  <si>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</si>
  <si>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</si>
  <si>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</si>
  <si>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</si>
  <si>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</si>
  <si>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</si>
  <si>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</si>
  <si>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</si>
  <si>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</si>
  <si>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</si>
  <si>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</si>
  <si>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</si>
  <si>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</si>
  <si>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</si>
  <si>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</si>
  <si>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</si>
  <si>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</si>
  <si>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</si>
  <si>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</si>
  <si>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</si>
  <si>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</si>
  <si>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</si>
  <si>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</si>
  <si>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</si>
  <si>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</si>
  <si>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</si>
  <si>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</si>
  <si>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</si>
  <si>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</si>
  <si>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</si>
  <si>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</si>
  <si>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</si>
  <si>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</si>
  <si>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</si>
  <si>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</si>
  <si>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</si>
  <si>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</si>
  <si>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</si>
  <si>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</si>
  <si>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</si>
  <si>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</si>
  <si>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</si>
  <si>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</si>
  <si>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</si>
  <si>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</si>
  <si>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</si>
  <si>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</si>
  <si>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</si>
  <si>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</si>
  <si>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</si>
  <si>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</si>
  <si>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</si>
  <si>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</si>
  <si>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</si>
  <si>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</si>
  <si>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</si>
  <si>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</si>
  <si>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</si>
  <si>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</si>
  <si>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</si>
  <si>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</si>
  <si>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</si>
  <si>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</si>
  <si>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</si>
  <si>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</si>
  <si>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</si>
  <si>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</si>
  <si>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</si>
  <si>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</si>
  <si>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</si>
  <si>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</si>
  <si>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</si>
  <si>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</si>
  <si>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</si>
  <si>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</si>
  <si>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</si>
  <si>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</si>
  <si>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</si>
  <si>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</si>
  <si>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</si>
  <si>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</si>
  <si>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</si>
  <si>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</si>
  <si>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</si>
  <si>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</si>
  <si>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</si>
  <si>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</si>
  <si>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</si>
  <si>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</si>
  <si>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</si>
  <si>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</si>
  <si>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</si>
  <si>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</si>
  <si>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</si>
  <si>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</si>
  <si>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</si>
  <si>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</si>
  <si>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</si>
  <si>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</si>
  <si>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</si>
  <si>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</si>
  <si>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</si>
  <si>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</si>
  <si>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</si>
  <si>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</si>
  <si>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</si>
  <si>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</si>
  <si>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</si>
  <si>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</si>
  <si>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</si>
  <si>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</si>
  <si>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</si>
  <si>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</si>
  <si>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</si>
  <si>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</si>
  <si>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</si>
  <si>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</si>
  <si>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</si>
  <si>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</si>
  <si>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</si>
  <si>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</si>
  <si>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</si>
  <si>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</si>
  <si>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</si>
  <si>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</si>
  <si>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</si>
  <si>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</si>
  <si>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</si>
  <si>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</si>
  <si>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</si>
  <si>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</si>
  <si>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</si>
  <si>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</si>
  <si>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</si>
  <si>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</si>
  <si>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</si>
  <si>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</si>
  <si>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</si>
  <si>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</si>
  <si>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</si>
  <si>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</si>
  <si>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</si>
  <si>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</si>
  <si>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</si>
  <si>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</si>
  <si>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</si>
  <si>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</si>
  <si>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</si>
  <si>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</si>
  <si>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</si>
  <si>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</si>
  <si>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</si>
  <si>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</si>
  <si>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</si>
  <si>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</si>
  <si>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</si>
  <si>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</si>
  <si>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</si>
  <si>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</si>
  <si>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</si>
  <si>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</si>
  <si>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</si>
  <si>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</si>
  <si>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</si>
  <si>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</si>
  <si>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</si>
  <si>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</si>
  <si>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</si>
  <si>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</si>
  <si>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</si>
  <si>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</si>
  <si>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</si>
  <si>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</si>
  <si>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</si>
  <si>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</si>
  <si>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</si>
  <si>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</si>
  <si>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</si>
  <si>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</si>
  <si>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</si>
  <si>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</si>
  <si>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</si>
  <si>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</si>
  <si>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</si>
  <si>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</si>
  <si>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</si>
  <si>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</si>
  <si>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</si>
  <si>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</si>
  <si>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</si>
  <si>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</si>
  <si>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</si>
  <si>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</si>
  <si>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</si>
  <si>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</si>
  <si>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</si>
  <si>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</si>
  <si>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</si>
  <si>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</si>
  <si>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</si>
  <si>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</si>
  <si>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</si>
  <si>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</si>
  <si>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</si>
  <si>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</si>
  <si>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</si>
  <si>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</si>
  <si>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</si>
  <si>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</si>
  <si>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</si>
  <si>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</si>
  <si>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</si>
  <si>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</si>
  <si>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</si>
  <si>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</si>
  <si>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</si>
  <si>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</si>
  <si>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</si>
  <si>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</si>
  <si>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</si>
  <si>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</si>
  <si>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</si>
  <si>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</si>
  <si>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</si>
  <si>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</si>
  <si>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</si>
  <si>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</si>
  <si>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</si>
  <si>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</si>
  <si>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</si>
  <si>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</si>
  <si>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</si>
  <si>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</si>
  <si>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</si>
  <si>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</si>
  <si>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</si>
  <si>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</si>
  <si>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</si>
  <si>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</si>
  <si>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</si>
  <si>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</si>
  <si>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</si>
  <si>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</si>
  <si>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</si>
  <si>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</si>
  <si>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</si>
  <si>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</si>
  <si>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</si>
  <si>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</si>
  <si>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</si>
  <si>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</si>
  <si>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</si>
  <si>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</si>
  <si>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</si>
  <si>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</si>
  <si>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</si>
  <si>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</si>
  <si>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</si>
  <si>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</si>
  <si>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</si>
  <si>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</si>
  <si>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</si>
  <si>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</si>
  <si>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</si>
  <si>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</si>
  <si>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</si>
  <si>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</si>
  <si>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</si>
  <si>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</si>
  <si>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</si>
  <si>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</si>
  <si>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</si>
  <si>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</si>
  <si>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</si>
  <si>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</si>
  <si>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</si>
  <si>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</si>
  <si>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</si>
  <si>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</si>
  <si>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</si>
  <si>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</si>
  <si>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</si>
  <si>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</si>
  <si>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</si>
  <si>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</si>
  <si>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</si>
  <si>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</si>
  <si>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</si>
  <si>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</si>
  <si>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</si>
  <si>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</si>
  <si>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</si>
  <si>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</si>
  <si>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</si>
  <si>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</si>
  <si>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</si>
  <si>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</si>
  <si>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</si>
  <si>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</si>
  <si>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</si>
  <si>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</si>
  <si>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</si>
  <si>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</si>
  <si>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</si>
  <si>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</si>
  <si>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</si>
  <si>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</si>
  <si>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</si>
  <si>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</si>
  <si>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</si>
  <si>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</si>
  <si>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</si>
  <si>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</si>
  <si>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</si>
  <si>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</si>
  <si>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</si>
  <si>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</si>
  <si>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</si>
  <si>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</si>
  <si>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</si>
  <si>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</si>
  <si>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</si>
  <si>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</si>
  <si>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</si>
  <si>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</si>
  <si>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</si>
  <si>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</si>
  <si>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</si>
  <si>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</si>
  <si>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</si>
  <si>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</si>
  <si>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</si>
  <si>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</si>
  <si>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</si>
  <si>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</si>
  <si>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</si>
  <si>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</si>
  <si>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</si>
  <si>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</si>
  <si>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</si>
  <si>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</si>
  <si>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</si>
  <si>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</si>
  <si>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</si>
  <si>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</si>
  <si>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</si>
  <si>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</si>
  <si>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</si>
  <si>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</si>
  <si>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</si>
  <si>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</si>
  <si>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</si>
  <si>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</si>
  <si>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</si>
  <si>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</si>
  <si>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</si>
  <si>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</si>
  <si>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</si>
  <si>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</si>
  <si>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</si>
  <si>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</si>
  <si>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</si>
  <si>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</si>
  <si>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</si>
  <si>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</si>
  <si>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</si>
  <si>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</si>
  <si>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</si>
  <si>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</si>
  <si>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</si>
  <si>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</si>
  <si>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</si>
  <si>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</si>
  <si>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</si>
  <si>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</si>
  <si>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</si>
  <si>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</si>
  <si>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</si>
  <si>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</si>
  <si>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</si>
  <si>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</si>
  <si>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</si>
  <si>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</si>
  <si>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</si>
  <si>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</si>
  <si>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</si>
  <si>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</si>
  <si>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</si>
  <si>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</si>
  <si>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</si>
  <si>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</si>
  <si>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</si>
  <si>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</si>
  <si>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</si>
  <si>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</si>
  <si>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</si>
  <si>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</si>
  <si>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</si>
  <si>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</si>
  <si>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</si>
  <si>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</si>
  <si>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</si>
  <si>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</si>
  <si>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</si>
  <si>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</si>
  <si>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</si>
  <si>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</si>
  <si>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</si>
  <si>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</si>
  <si>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</si>
  <si>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</si>
  <si>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</si>
  <si>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</si>
  <si>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</si>
  <si>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</si>
  <si>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</si>
  <si>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</si>
  <si>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</si>
  <si>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</si>
  <si>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</si>
  <si>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</si>
  <si>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</si>
  <si>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</si>
  <si>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</si>
  <si>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</si>
  <si>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</si>
  <si>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</si>
  <si>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</si>
  <si>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</si>
  <si>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</si>
  <si>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</si>
  <si>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</si>
  <si>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</si>
  <si>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</si>
  <si>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</si>
  <si>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</si>
  <si>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</si>
  <si>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</si>
  <si>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</si>
  <si>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</si>
  <si>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</si>
  <si>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</si>
  <si>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</si>
  <si>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</si>
  <si>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</si>
  <si>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</si>
  <si>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</si>
  <si>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</si>
  <si>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</si>
  <si>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</si>
  <si>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</si>
  <si>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</si>
  <si>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</si>
  <si>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</si>
  <si>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</si>
  <si>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</si>
  <si>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</si>
  <si>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</si>
  <si>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</si>
  <si>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</si>
  <si>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</si>
  <si>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</si>
  <si>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</si>
  <si>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</si>
  <si>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</si>
  <si>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</si>
  <si>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</si>
  <si>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</si>
  <si>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</si>
  <si>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</si>
  <si>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</si>
  <si>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</si>
  <si>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</si>
  <si>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</si>
  <si>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</si>
  <si>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</si>
  <si>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</si>
  <si>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</si>
  <si>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</si>
  <si>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</si>
  <si>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</si>
  <si>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</si>
  <si>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</si>
  <si>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</si>
  <si>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</si>
  <si>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</si>
  <si>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</si>
  <si>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</si>
  <si>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</si>
  <si>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</si>
  <si>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</si>
  <si>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</si>
  <si>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</si>
  <si>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</si>
  <si>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</si>
  <si>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</si>
  <si>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</si>
  <si>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</si>
  <si>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</si>
  <si>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</si>
  <si>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</si>
  <si>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</si>
  <si>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</si>
  <si>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</si>
  <si>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</si>
  <si>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</si>
  <si>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</si>
  <si>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</si>
  <si>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</si>
  <si>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</si>
  <si>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</si>
  <si>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</si>
  <si>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</si>
  <si>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</si>
  <si>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</si>
  <si>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</si>
  <si>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</si>
  <si>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</si>
  <si>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</si>
  <si>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</si>
  <si>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</si>
  <si>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</si>
  <si>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</si>
  <si>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</si>
  <si>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</si>
  <si>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</si>
  <si>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</si>
  <si>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</si>
  <si>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</si>
  <si>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</si>
  <si>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</si>
  <si>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</si>
  <si>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</si>
  <si>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</si>
  <si>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</si>
  <si>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</si>
  <si>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</si>
  <si>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</si>
  <si>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</si>
  <si>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</si>
  <si>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</si>
  <si>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</si>
  <si>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</si>
  <si>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</si>
  <si>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</si>
  <si>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</si>
  <si>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</si>
  <si>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</si>
  <si>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</si>
  <si>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</si>
  <si>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</si>
  <si>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</si>
  <si>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</si>
  <si>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</si>
  <si>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</si>
  <si>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</si>
  <si>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</si>
  <si>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</si>
  <si>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</si>
  <si>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</si>
  <si>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</si>
  <si>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</si>
  <si>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</si>
  <si>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</si>
  <si>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</si>
  <si>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</si>
  <si>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</si>
  <si>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</si>
  <si>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</si>
  <si>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</si>
  <si>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</si>
  <si>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</si>
  <si>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</si>
  <si>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</si>
  <si>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</si>
  <si>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</si>
  <si>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</si>
  <si>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</si>
  <si>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</si>
  <si>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</si>
  <si>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</si>
  <si>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</si>
  <si>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</si>
  <si>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</si>
  <si>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</si>
  <si>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</si>
  <si>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</si>
  <si>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</si>
  <si>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</si>
  <si>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</si>
  <si>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</si>
  <si>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</si>
  <si>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</si>
  <si>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</si>
  <si>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</si>
  <si>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</si>
  <si>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</si>
  <si>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</si>
  <si>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</si>
  <si>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</si>
  <si>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</si>
  <si>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</si>
  <si>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</si>
  <si>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</si>
  <si>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</si>
  <si>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</si>
  <si>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</si>
  <si>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</si>
  <si>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</si>
  <si>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</si>
  <si>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</si>
  <si>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</si>
  <si>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</si>
  <si>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</si>
  <si>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</si>
  <si>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</si>
  <si>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</si>
  <si>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</si>
  <si>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</si>
  <si>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</si>
  <si>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</si>
  <si>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</si>
  <si>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</si>
  <si>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</si>
  <si>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</si>
  <si>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</si>
  <si>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</si>
  <si>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</si>
  <si>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</si>
  <si>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</si>
  <si>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</si>
  <si>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</si>
  <si>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</si>
  <si>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</si>
  <si>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</si>
  <si>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</si>
  <si>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</si>
  <si>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</si>
  <si>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</si>
  <si>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</si>
  <si>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</si>
  <si>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</si>
  <si>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</si>
  <si>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</si>
  <si>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</si>
  <si>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</si>
  <si>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</si>
  <si>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</si>
  <si>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</si>
  <si>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</si>
  <si>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</si>
  <si>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</si>
  <si>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</si>
  <si>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</si>
  <si>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</si>
  <si>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</si>
  <si>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</si>
  <si>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</si>
  <si>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</si>
  <si>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</si>
  <si>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</si>
  <si>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</si>
  <si>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</si>
  <si>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</si>
  <si>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</si>
  <si>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</si>
  <si>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</si>
  <si>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</si>
  <si>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</si>
  <si>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</si>
  <si>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</si>
  <si>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</si>
  <si>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</si>
  <si>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</si>
  <si>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</si>
  <si>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</si>
  <si>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</si>
  <si>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</si>
  <si>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</si>
  <si>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</si>
  <si>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</si>
  <si>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</si>
  <si>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</si>
  <si>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</si>
  <si>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</si>
  <si>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</si>
  <si>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</si>
  <si>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</si>
  <si>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</si>
  <si>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</si>
  <si>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</si>
  <si>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</si>
  <si>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</si>
  <si>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</si>
  <si>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</si>
  <si>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</si>
  <si>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</si>
  <si>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</si>
  <si>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</si>
  <si>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</si>
  <si>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</si>
  <si>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</si>
  <si>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</si>
  <si>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</si>
  <si>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</si>
  <si>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сеть</t>
  </si>
  <si>
    <t>г Белово</t>
  </si>
  <si>
    <t>32707000001</t>
  </si>
  <si>
    <t>65.0000000000</t>
  </si>
  <si>
    <t>7.9100000000</t>
  </si>
  <si>
    <t>4202043124.0</t>
  </si>
  <si>
    <t>Гидроузел №3(64220158900000070ВНС);</t>
  </si>
  <si>
    <t>32707000.0</t>
  </si>
  <si>
    <t>32707000001.0</t>
  </si>
  <si>
    <t>ул.Пролетарская</t>
  </si>
  <si>
    <t>квартальная</t>
  </si>
  <si>
    <t>9.7170000000</t>
  </si>
  <si>
    <t>0.0000000000</t>
  </si>
  <si>
    <t>100.0000000000</t>
  </si>
  <si>
    <t>эксплуатируется</t>
  </si>
  <si>
    <t>14 | Муниципальная собственность</t>
  </si>
  <si>
    <t>отсутствует</t>
  </si>
  <si>
    <t>https://portal.eias.ru/Portal/DownloadPage.aspx?type=12&amp;guid=d25b63c2-e952-47e6-a7ce-b0046a6608a1</t>
  </si>
  <si>
    <t>2000.0000000000</t>
  </si>
  <si>
    <t>1700.0000000000</t>
  </si>
  <si>
    <t>Гидроузел №2(64220158900000036ВНС);</t>
  </si>
  <si>
    <t>32501000.0</t>
  </si>
  <si>
    <t>д Уроп</t>
  </si>
  <si>
    <t>32501000156.0</t>
  </si>
  <si>
    <t>2.1860000000</t>
  </si>
  <si>
    <t>86.0000000000</t>
  </si>
  <si>
    <t>17.5400000000</t>
  </si>
  <si>
    <t>10.0900000000</t>
  </si>
  <si>
    <t>32501000156</t>
  </si>
  <si>
    <t>60.4990000000</t>
  </si>
  <si>
    <t>7.4100000000</t>
  </si>
  <si>
    <t>13.3280000000</t>
  </si>
  <si>
    <t>13.2990000000</t>
  </si>
  <si>
    <t>26.4620000000</t>
  </si>
  <si>
    <t>95.0000000000</t>
  </si>
  <si>
    <t>18.9800000000</t>
  </si>
  <si>
    <t>Насосная станция не подключена</t>
  </si>
  <si>
    <t>25.0000000000</t>
  </si>
  <si>
    <t>В/сеть Томский в-д</t>
  </si>
  <si>
    <t>пгт Грамотеино</t>
  </si>
  <si>
    <t>32707000061</t>
  </si>
  <si>
    <t>ул. Строительная</t>
  </si>
  <si>
    <t>б/н</t>
  </si>
  <si>
    <t>120.0000000000</t>
  </si>
  <si>
    <t>4205153492.0</t>
  </si>
  <si>
    <t>гидроузел</t>
  </si>
  <si>
    <t>32719000.0</t>
  </si>
  <si>
    <t>г Ленинск-Кузнецкий</t>
  </si>
  <si>
    <t>32719000001.0</t>
  </si>
  <si>
    <t>ул. Ясная</t>
  </si>
  <si>
    <t>уличная</t>
  </si>
  <si>
    <t>0.7000000000</t>
  </si>
  <si>
    <t>45.1900000000</t>
  </si>
  <si>
    <t>пгт Грамотеино, ул. Строительная, б/н</t>
  </si>
  <si>
    <t>Кемеровская обл., Беловский городской округ, г. Белово, пгт. Грамотеино, скв.1 до насосной 50 м3</t>
  </si>
  <si>
    <t>ул. 60 лет Комсомола</t>
  </si>
  <si>
    <t>0.0940000000</t>
  </si>
  <si>
    <t>80.3400000000</t>
  </si>
  <si>
    <t>пгт Грамотеино, ул. 60 лет Комсомола, б/н</t>
  </si>
  <si>
    <t>пгт Инской</t>
  </si>
  <si>
    <t>32707000066</t>
  </si>
  <si>
    <t>250.0000000000</t>
  </si>
  <si>
    <t>200.0000000000</t>
  </si>
  <si>
    <t>34.8300000000</t>
  </si>
  <si>
    <t>3.5400000000</t>
  </si>
  <si>
    <t>5.6330000000</t>
  </si>
  <si>
    <t>Кемеровская область, беловский городской округ, г. Белово, пгт. Грамотеино, скв.3 до насосной 50 м3</t>
  </si>
  <si>
    <t>ул. Блюхера</t>
  </si>
  <si>
    <t>60.0000000000</t>
  </si>
  <si>
    <t>0.3910000000</t>
  </si>
  <si>
    <t>пгт Грамотеино, ул. Блюхера, б/н</t>
  </si>
  <si>
    <t>кв. 2 до насосной 50 м3</t>
  </si>
  <si>
    <t>ул. Мостовая</t>
  </si>
  <si>
    <t>90.0000000000</t>
  </si>
  <si>
    <t>0.2200000000</t>
  </si>
  <si>
    <t>пгт Грамотеино, ул. Мостовая, б/н</t>
  </si>
  <si>
    <t>с Пермяки</t>
  </si>
  <si>
    <t>32501000311</t>
  </si>
  <si>
    <t>400.0000000000</t>
  </si>
  <si>
    <t>350.0000000000</t>
  </si>
  <si>
    <t>Насосная станция №3 Пермяки(64220158900000015ВНС);</t>
  </si>
  <si>
    <t>32501000311.0</t>
  </si>
  <si>
    <t>29.9590000000</t>
  </si>
  <si>
    <t>13.2300000000</t>
  </si>
  <si>
    <t>0.9650000000</t>
  </si>
  <si>
    <t>15.7640000000</t>
  </si>
  <si>
    <t>530.0000000000</t>
  </si>
  <si>
    <t>500.0000000000</t>
  </si>
  <si>
    <t>Гидроузел №7(64220158900000058ВНС);</t>
  </si>
  <si>
    <t>24.5910000000</t>
  </si>
  <si>
    <t>2.0210000000</t>
  </si>
  <si>
    <t>22.5700000000</t>
  </si>
  <si>
    <t>скв. 4 до насосной 50 м3</t>
  </si>
  <si>
    <t>30.0000000000</t>
  </si>
  <si>
    <t>0.4600000000</t>
  </si>
  <si>
    <t>7 Ноября</t>
  </si>
  <si>
    <t>ул. Колмогоровская</t>
  </si>
  <si>
    <t>0.2000000000</t>
  </si>
  <si>
    <t>пгт Грамотеино, ул. Колмогоровская, б/н</t>
  </si>
  <si>
    <t>обводная от колодца томской воды до ул. 3 Чкалова</t>
  </si>
  <si>
    <t>3.5000000000</t>
  </si>
  <si>
    <t>пгт Новый Городок</t>
  </si>
  <si>
    <t>32707000071</t>
  </si>
  <si>
    <t>320.0000000000</t>
  </si>
  <si>
    <t>Гидроузел № 5(64220158900000062ВНС);</t>
  </si>
  <si>
    <t>32707000071.0</t>
  </si>
  <si>
    <t>ул.Мусоргского</t>
  </si>
  <si>
    <t>61.0320000000</t>
  </si>
  <si>
    <t>5.9260000000</t>
  </si>
  <si>
    <t>55.1060000000</t>
  </si>
  <si>
    <t>Водопровод 1 525 м.п.</t>
  </si>
  <si>
    <t>1.5250000000</t>
  </si>
  <si>
    <t>В/сеть ул.Грамотеинская, 40-3 водоем</t>
  </si>
  <si>
    <t>ул. Светлая</t>
  </si>
  <si>
    <t>0.1500000000</t>
  </si>
  <si>
    <t>пгт Грамотеино, ул. Светлая, б/н</t>
  </si>
  <si>
    <t>900.0000000000</t>
  </si>
  <si>
    <t>853.4000000000</t>
  </si>
  <si>
    <t>116.6000000000</t>
  </si>
  <si>
    <t>От колодца №2 до районной котельной (п.Колмогоры)</t>
  </si>
  <si>
    <t>ул. Шоссейная</t>
  </si>
  <si>
    <t>пгт Грамотеино, ул. Шоссейная, б/н</t>
  </si>
  <si>
    <t>с Заречное</t>
  </si>
  <si>
    <t>32707000111</t>
  </si>
  <si>
    <t>2.1900000000</t>
  </si>
  <si>
    <t>6.1600000000</t>
  </si>
  <si>
    <t>2.0000000000</t>
  </si>
  <si>
    <t>магистральная</t>
  </si>
  <si>
    <t>12.4300000000</t>
  </si>
  <si>
    <t>скв. 10 до насосной Пестери ч/з ул.Мостовую</t>
  </si>
  <si>
    <t>ул. Чкалова 1-я</t>
  </si>
  <si>
    <t>1.2000000000</t>
  </si>
  <si>
    <t>пгт Грамотеино, ул. Чкалова 1-я, б/н</t>
  </si>
  <si>
    <t>скв. 13 до насосной Пестери</t>
  </si>
  <si>
    <t>0.6000000000</t>
  </si>
  <si>
    <t>70.3000000000</t>
  </si>
  <si>
    <t>125.3800000000</t>
  </si>
  <si>
    <t>Насосная станция  не  подключена</t>
  </si>
  <si>
    <t>51.2000000000</t>
  </si>
  <si>
    <t>4.0400000000</t>
  </si>
  <si>
    <t>47.1600000000</t>
  </si>
  <si>
    <t>Внеплощадочные сети  водоснабже-ния БГО ,пгт.Грамотеино, тракт  Кузнецкий, здание 2, сооружение 5</t>
  </si>
  <si>
    <t>18.0000000000</t>
  </si>
  <si>
    <t>Насосная  станция  не  подключена</t>
  </si>
  <si>
    <t>32707000061.0</t>
  </si>
  <si>
    <t>Кузнецкий  тракт</t>
  </si>
  <si>
    <t>технологическая</t>
  </si>
  <si>
    <t>2.5500000000</t>
  </si>
  <si>
    <t>НС</t>
  </si>
  <si>
    <t>852.7500000000</t>
  </si>
  <si>
    <t>1 подъёма</t>
  </si>
  <si>
    <t>питьевая</t>
  </si>
  <si>
    <t>01.01.1968</t>
  </si>
  <si>
    <t>Водопроводные сети д. Грамотеино и п. Новостройка 23 538 п.м.</t>
  </si>
  <si>
    <t>пгт. Грамотеино</t>
  </si>
  <si>
    <t>23.5380000000</t>
  </si>
  <si>
    <t>пгт Грамотеино, пгт. Грамотеино, б/н</t>
  </si>
  <si>
    <t>водопроводная сеть пгт Грамотеино, ул. 60 лет Комсомола</t>
  </si>
  <si>
    <t>пер. Школьный</t>
  </si>
  <si>
    <t>0.1370000000</t>
  </si>
  <si>
    <t>65.2800000000</t>
  </si>
  <si>
    <t>пгт Грамотеино, пер. Школьный, б/н</t>
  </si>
  <si>
    <t>Водопроводные сети д. Грамотеино и п. Новостройка, адрес: Кемеровская область, Беловский городской округ, г. Белово, пгт. Грамотеино</t>
  </si>
  <si>
    <t>ул. Чкалова 3-я</t>
  </si>
  <si>
    <t>15.3610000000</t>
  </si>
  <si>
    <t>пгт Грамотеино, ул. Чкалова 3-я, б/н</t>
  </si>
  <si>
    <t>пгт. Грамотеино Водопроводные сети пгт. Грамотеино, Кемеровская область, Беловский городской округ, г. Белово</t>
  </si>
  <si>
    <t>23.8440000000</t>
  </si>
  <si>
    <t>скв. 14 до насосной Пестери</t>
  </si>
  <si>
    <t>ул. Воронежская 1-я</t>
  </si>
  <si>
    <t>0.5100000000</t>
  </si>
  <si>
    <t>пгт Грамотеино, ул. Воронежская 1-я, б/н</t>
  </si>
  <si>
    <t>скв .4 до насосной Пестери</t>
  </si>
  <si>
    <t>0.5500000000</t>
  </si>
  <si>
    <t>Кемеровская область, Беловский городской округ, г. Белово, пгт. Грамотеино Водопровод от поймы реки Иня до ВК котельной №10</t>
  </si>
  <si>
    <t>ул. Грамотеинская</t>
  </si>
  <si>
    <t>7.4740000000</t>
  </si>
  <si>
    <t>пгт Грамотеино, ул. Грамотеинская, б/н</t>
  </si>
  <si>
    <t>В/сеть ул.Заречная ("Ивушка")</t>
  </si>
  <si>
    <t>ул. Рабочая</t>
  </si>
  <si>
    <t>0.2750000000</t>
  </si>
  <si>
    <t>68.0000000000</t>
  </si>
  <si>
    <t>пгт Грамотеино, ул. Рабочая, б/н</t>
  </si>
  <si>
    <t>ул. Мусоргского</t>
  </si>
  <si>
    <t>426.3700000000</t>
  </si>
  <si>
    <t>подкачивающая станция</t>
  </si>
  <si>
    <t>01.01.1969</t>
  </si>
  <si>
    <t>387.3600000000</t>
  </si>
  <si>
    <t>01.01.1984</t>
  </si>
  <si>
    <t>с Новохудяково</t>
  </si>
  <si>
    <t>32501000306</t>
  </si>
  <si>
    <t>1000.0000000000</t>
  </si>
  <si>
    <t>2 подъёма</t>
  </si>
  <si>
    <t>01.01.1978</t>
  </si>
  <si>
    <t>В/сеть ул.Колмогоровская,14-ЦТП</t>
  </si>
  <si>
    <t>д Грамотеино</t>
  </si>
  <si>
    <t>32707000106</t>
  </si>
  <si>
    <t>ул. Береговая</t>
  </si>
  <si>
    <t>0.1000000000</t>
  </si>
  <si>
    <t>д Грамотеино, ул. Береговая, б/н</t>
  </si>
  <si>
    <t>Сети хоз-питьевого водопровода В1 (один смотровой колодец, 10 опор)</t>
  </si>
  <si>
    <t>0.0422000000</t>
  </si>
  <si>
    <t>Часть трубопровода (Ленинск-Кузнецкий водовод) от шестого гидроузла п. Полысаево (ВК-104) до секущей задвижки в пойме р. Иня (левый берег) 13 412 м.п.</t>
  </si>
  <si>
    <t>часть трубопровода</t>
  </si>
  <si>
    <t>700.0000000000</t>
  </si>
  <si>
    <t>магистральная и разводящая</t>
  </si>
  <si>
    <t>13.4100000000</t>
  </si>
  <si>
    <t>пгт Грамотеино, пгт. Грамотеино, часть трубопровода</t>
  </si>
  <si>
    <t>Сети хоз-питьевого водопровода В1 (два смотровых колодца, две задвижки, один пожарный гидрант, один ввод, два стальных футляра)</t>
  </si>
  <si>
    <t>ул. Магистральная</t>
  </si>
  <si>
    <t>0.1198300000</t>
  </si>
  <si>
    <t>30.1300000000</t>
  </si>
  <si>
    <t>пгт Грамотеино, ул. Магистральная, б/н</t>
  </si>
  <si>
    <t>ул. Советский</t>
  </si>
  <si>
    <t>50.0000000000</t>
  </si>
  <si>
    <t>01.01.1983</t>
  </si>
  <si>
    <t>ул. Пролетарская</t>
  </si>
  <si>
    <t>01.01.1972</t>
  </si>
  <si>
    <t>01.01.1993</t>
  </si>
  <si>
    <t>ул. Октябрьская</t>
  </si>
  <si>
    <t>01.12.1982</t>
  </si>
  <si>
    <t>300.0000000000</t>
  </si>
  <si>
    <t>292.8600000000</t>
  </si>
  <si>
    <t>44.1700000000</t>
  </si>
  <si>
    <t>34.0400000000</t>
  </si>
  <si>
    <t>10.1300000000</t>
  </si>
  <si>
    <t>201.4000000000</t>
  </si>
  <si>
    <t>8.2430000000</t>
  </si>
  <si>
    <t>550.0000000000</t>
  </si>
  <si>
    <t>8.6020000000</t>
  </si>
  <si>
    <t>Насосна Колмогоровская башня</t>
  </si>
  <si>
    <t>2.4320000000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</si>
  <si>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</si>
  <si>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</si>
  <si>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</si>
  <si>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</si>
  <si>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</si>
  <si>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</si>
  <si>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</si>
  <si>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</si>
  <si>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</si>
  <si>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</si>
  <si>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</si>
  <si>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</si>
  <si>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</si>
  <si>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</si>
  <si>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</si>
  <si>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</si>
  <si>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</si>
  <si>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</si>
  <si>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</si>
  <si>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</si>
  <si>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</si>
  <si>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</si>
  <si>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2025</t>
  </si>
  <si>
    <t>7390</t>
  </si>
  <si>
    <t>2024-10-31</t>
  </si>
  <si>
    <t>Метод экономически обоснованных расходов</t>
  </si>
  <si>
    <t>2024</t>
  </si>
  <si>
    <t>Принят</t>
  </si>
  <si>
    <t>55.82</t>
  </si>
  <si>
    <t>62.52</t>
  </si>
  <si>
    <t>ХВС.42.27977465.0002</t>
  </si>
  <si>
    <t>6219</t>
  </si>
  <si>
    <t>2024-09-16</t>
  </si>
  <si>
    <t>5.0</t>
  </si>
  <si>
    <t>52.87</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</si>
  <si>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</si>
  <si>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</si>
  <si>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</si>
  <si>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</si>
  <si>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</si>
  <si>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</si>
  <si>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</si>
  <si>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</si>
  <si>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</si>
  <si>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</si>
  <si>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</si>
  <si>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</si>
  <si>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</si>
  <si>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</si>
  <si>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</si>
  <si>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</si>
  <si>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</si>
  <si>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</si>
  <si>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</si>
  <si>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</si>
  <si>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</si>
  <si>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</si>
  <si>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</si>
  <si>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</si>
  <si>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</si>
  <si>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</si>
  <si>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</si>
  <si>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</si>
  <si>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</si>
  <si>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</si>
  <si>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</si>
  <si>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</si>
  <si>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</si>
  <si>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</si>
  <si>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</si>
  <si>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</si>
  <si>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</si>
  <si>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</si>
  <si>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</si>
  <si>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</si>
  <si>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</si>
  <si>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</si>
  <si>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</si>
  <si>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</si>
  <si>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</si>
  <si>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</si>
  <si>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</si>
  <si>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</si>
  <si>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</si>
  <si>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</si>
  <si>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</si>
  <si>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</si>
  <si>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</si>
  <si>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</si>
  <si>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</si>
  <si>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</si>
  <si>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</si>
  <si>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</si>
  <si>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</si>
  <si>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</si>
  <si>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</si>
  <si>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</si>
  <si>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</si>
  <si>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</si>
  <si>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</si>
  <si>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</si>
  <si>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</si>
  <si>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</si>
  <si>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</si>
  <si>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</si>
  <si>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</si>
  <si>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</si>
  <si>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</si>
  <si>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</si>
  <si>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</si>
  <si>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</si>
  <si>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</si>
  <si>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</si>
  <si>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</si>
  <si>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</si>
  <si>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</si>
  <si>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</si>
  <si>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</si>
  <si>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</si>
  <si>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</si>
  <si>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</si>
  <si>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</si>
  <si>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</si>
  <si>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</si>
  <si>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</si>
  <si>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</si>
  <si>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</si>
  <si>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</si>
  <si>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</si>
  <si>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</si>
  <si>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</si>
  <si>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</si>
  <si>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</si>
  <si>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</si>
  <si>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</si>
  <si>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</si>
  <si>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</si>
  <si>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</si>
  <si>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</si>
  <si>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</si>
  <si>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</si>
  <si>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</si>
  <si>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</si>
  <si>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</si>
  <si>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</si>
  <si>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</si>
  <si>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</si>
  <si>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</si>
  <si>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</si>
  <si>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</si>
  <si>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</si>
  <si>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</si>
  <si>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</si>
  <si>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</si>
  <si>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</si>
  <si>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</si>
  <si>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</si>
  <si>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</si>
  <si>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</si>
  <si>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</si>
  <si>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</si>
  <si>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</si>
  <si>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</si>
  <si>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</si>
  <si>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</si>
  <si>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</si>
  <si>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</si>
  <si>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</si>
  <si>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</si>
  <si>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</si>
  <si>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</si>
  <si>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</si>
  <si>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</si>
  <si>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</si>
  <si>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</si>
  <si>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</si>
  <si>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</si>
  <si>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</si>
  <si>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</si>
  <si>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</si>
  <si>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</si>
  <si>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</si>
  <si>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</si>
  <si>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</si>
  <si>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</si>
  <si>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</si>
  <si>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</si>
  <si>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</si>
  <si>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</si>
  <si>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</si>
  <si>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</si>
  <si>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</si>
  <si>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</si>
  <si>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</si>
  <si>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</si>
  <si>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аренда</t>
  </si>
  <si>
    <t>Без разбивки</t>
  </si>
  <si>
    <t>Утверждённые укрупнённые НЦС</t>
  </si>
  <si>
    <t>100</t>
  </si>
  <si>
    <t>чугун</t>
  </si>
  <si>
    <t>сухой</t>
  </si>
  <si>
    <t>0-15</t>
  </si>
  <si>
    <t>0-55</t>
  </si>
  <si>
    <t>Архангельская область</t>
  </si>
  <si>
    <t>RU29</t>
  </si>
  <si>
    <t>Февраль</t>
  </si>
  <si>
    <t>Водоотведение</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</si>
  <si>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</si>
  <si>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</si>
  <si>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</si>
  <si>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</si>
  <si>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</si>
  <si>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</si>
  <si>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</si>
  <si>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</si>
  <si>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</si>
  <si>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</si>
  <si>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</si>
  <si>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</si>
  <si>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</si>
  <si>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</si>
  <si>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</si>
  <si>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</si>
  <si>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</si>
  <si>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</si>
  <si>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</si>
  <si>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</si>
  <si>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</si>
  <si>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</si>
  <si>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</si>
  <si>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</si>
  <si>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</si>
  <si>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</si>
  <si>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</si>
  <si>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</si>
  <si>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</si>
  <si>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</si>
  <si>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</si>
  <si>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</si>
  <si>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</si>
  <si>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</si>
  <si>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</si>
  <si>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</si>
  <si>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</si>
  <si>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</si>
  <si>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</si>
  <si>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</si>
  <si>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</si>
  <si>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без дифференциации</t>
  </si>
  <si>
    <t>тариф на водоотведение</t>
  </si>
  <si>
    <t>собственность</t>
  </si>
  <si>
    <t>160</t>
  </si>
  <si>
    <t>46-55</t>
  </si>
  <si>
    <t>86-95</t>
  </si>
  <si>
    <t>Владимирская область</t>
  </si>
  <si>
    <t>RU33</t>
  </si>
  <si>
    <t>менее 50 %</t>
  </si>
  <si>
    <t>OKTMO_MR_NAME</t>
  </si>
  <si>
    <t>PERIOD</t>
  </si>
  <si>
    <t>Июнь</t>
  </si>
  <si>
    <t>жидкие бытовые отходы</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</si>
  <si>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</si>
  <si>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</si>
  <si>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</si>
  <si>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</si>
  <si>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</si>
  <si>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</si>
  <si>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</si>
  <si>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</si>
  <si>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</si>
  <si>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</si>
  <si>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</si>
  <si>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</si>
  <si>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</si>
  <si>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</si>
  <si>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</si>
  <si>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</si>
  <si>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</si>
  <si>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</si>
  <si>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</si>
  <si>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</si>
  <si>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</si>
  <si>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</si>
  <si>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</si>
  <si>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</si>
  <si>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</si>
  <si>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</si>
  <si>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</si>
  <si>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</si>
  <si>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</si>
  <si>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</si>
  <si>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</si>
  <si>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</si>
  <si>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</si>
  <si>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</si>
  <si>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</si>
  <si>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</si>
  <si>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</si>
  <si>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</si>
  <si>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</si>
  <si>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</si>
  <si>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</si>
  <si>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</si>
  <si>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</si>
  <si>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</si>
  <si>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</si>
  <si>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</si>
  <si>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</si>
  <si>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</si>
  <si>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</si>
  <si>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</si>
  <si>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</si>
  <si>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</si>
  <si>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</si>
  <si>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</si>
  <si>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</si>
  <si>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</si>
  <si>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</si>
  <si>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</si>
  <si>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</si>
  <si>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</si>
  <si>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</si>
  <si>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</si>
  <si>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</si>
  <si>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</si>
  <si>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</si>
  <si>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500</t>
  </si>
  <si>
    <t>176-185</t>
  </si>
  <si>
    <t>Еврейская автономная область</t>
  </si>
  <si>
    <t>RU79</t>
  </si>
  <si>
    <t>частная</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</si>
  <si>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</si>
  <si>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</si>
  <si>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</si>
  <si>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</si>
  <si>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</si>
  <si>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</si>
  <si>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</si>
  <si>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</si>
  <si>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</si>
  <si>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</si>
  <si>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</si>
  <si>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</si>
  <si>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</si>
  <si>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</si>
  <si>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</si>
  <si>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</si>
  <si>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</si>
  <si>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</si>
  <si>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</si>
  <si>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</si>
  <si>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</si>
  <si>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</si>
  <si>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</si>
  <si>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</si>
  <si>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</si>
  <si>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</si>
  <si>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</si>
  <si>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</si>
  <si>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</si>
  <si>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</si>
  <si>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</si>
  <si>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</si>
  <si>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</si>
  <si>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</si>
  <si>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</si>
  <si>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</si>
  <si>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</si>
  <si>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</si>
  <si>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</si>
  <si>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</si>
  <si>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</si>
  <si>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</si>
  <si>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</si>
  <si>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</si>
  <si>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</si>
  <si>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</si>
  <si>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</si>
  <si>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</si>
  <si>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</si>
  <si>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</si>
  <si>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</si>
  <si>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</si>
  <si>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</si>
  <si>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</si>
  <si>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</si>
  <si>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</si>
  <si>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</si>
  <si>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</si>
  <si>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</si>
  <si>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</si>
  <si>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</si>
  <si>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</si>
  <si>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</si>
  <si>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</si>
  <si>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</si>
  <si>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</si>
  <si>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</si>
  <si>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</si>
  <si>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</si>
  <si>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</si>
  <si>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</si>
  <si>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</si>
  <si>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</si>
  <si>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</si>
  <si>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</si>
  <si>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</si>
  <si>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</si>
  <si>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</si>
  <si>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</si>
  <si>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</si>
  <si>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</si>
  <si>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</si>
  <si>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</si>
  <si>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</si>
  <si>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</si>
  <si>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</si>
  <si>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</si>
  <si>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</si>
  <si>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</si>
  <si>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</si>
  <si>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</si>
  <si>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</si>
  <si>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</si>
  <si>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</si>
  <si>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</si>
  <si>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</si>
  <si>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</si>
  <si>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</si>
  <si>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</si>
  <si>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</si>
  <si>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</si>
  <si>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</si>
  <si>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</si>
  <si>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</si>
  <si>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</si>
  <si>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</si>
  <si>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</si>
  <si>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</si>
  <si>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</si>
  <si>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</si>
  <si>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</si>
  <si>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</si>
  <si>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</si>
  <si>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</si>
  <si>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</si>
  <si>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</si>
  <si>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</si>
  <si>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</si>
  <si>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</si>
  <si>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</si>
  <si>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</si>
  <si>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</si>
  <si>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</si>
  <si>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</si>
  <si>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</si>
  <si>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</si>
  <si>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</si>
  <si>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</si>
  <si>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</si>
  <si>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</si>
  <si>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</si>
  <si>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</si>
  <si>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</si>
  <si>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</si>
  <si>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</si>
  <si>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</si>
  <si>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</si>
  <si>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</si>
  <si>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</si>
  <si>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</si>
  <si>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</si>
  <si>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</si>
  <si>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</si>
  <si>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</si>
  <si>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</si>
  <si>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</si>
  <si>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</si>
  <si>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</si>
  <si>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</si>
  <si>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</si>
  <si>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</si>
  <si>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</si>
  <si>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</si>
  <si>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</si>
  <si>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</si>
  <si>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</si>
  <si>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</si>
  <si>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</si>
  <si>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</si>
  <si>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</si>
  <si>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</si>
  <si>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</si>
  <si>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</si>
  <si>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</si>
  <si>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</si>
  <si>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</si>
  <si>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</si>
  <si>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</si>
  <si>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</si>
  <si>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</si>
  <si>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</si>
  <si>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</si>
  <si>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</si>
  <si>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</si>
  <si>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</si>
  <si>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</si>
  <si>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</si>
  <si>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</si>
  <si>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</si>
  <si>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</si>
  <si>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</si>
  <si>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</si>
  <si>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</si>
  <si>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</si>
  <si>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</si>
  <si>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</si>
  <si>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</si>
  <si>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</si>
  <si>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</si>
  <si>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</si>
  <si>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</si>
  <si>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</si>
  <si>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</si>
  <si>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</si>
  <si>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</si>
  <si>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</si>
  <si>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</si>
  <si>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</si>
  <si>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</si>
  <si>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</si>
  <si>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</si>
  <si>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</si>
  <si>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</si>
  <si>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</si>
  <si>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</si>
  <si>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</si>
  <si>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</si>
  <si>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</si>
  <si>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</si>
  <si>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</si>
  <si>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</si>
  <si>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</si>
  <si>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</si>
  <si>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</si>
  <si>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</si>
  <si>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</si>
  <si>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</si>
  <si>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</si>
  <si>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</si>
  <si>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</si>
  <si>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</si>
  <si>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</si>
  <si>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</si>
  <si>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</si>
  <si>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</si>
  <si>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</si>
  <si>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</si>
  <si>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</si>
  <si>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</si>
  <si>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</si>
  <si>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</si>
  <si>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</si>
  <si>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</si>
  <si>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</si>
  <si>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</si>
  <si>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</si>
  <si>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</si>
  <si>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</si>
  <si>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</si>
  <si>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</si>
  <si>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</si>
  <si>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</si>
  <si>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</si>
  <si>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</si>
  <si>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</si>
  <si>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</si>
  <si>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</si>
  <si>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</si>
  <si>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</si>
  <si>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</si>
  <si>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</si>
  <si>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</si>
  <si>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</si>
  <si>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</si>
  <si>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</si>
  <si>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</si>
  <si>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</si>
  <si>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</si>
  <si>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</si>
  <si>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</si>
  <si>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</si>
  <si>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</si>
  <si>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</si>
  <si>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</si>
  <si>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</si>
  <si>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</si>
  <si>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</si>
  <si>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</si>
  <si>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</si>
  <si>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</si>
  <si>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</si>
  <si>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</si>
  <si>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</si>
  <si>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</si>
  <si>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</si>
  <si>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</si>
  <si>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</si>
  <si>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</si>
  <si>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</si>
  <si>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</si>
  <si>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</si>
  <si>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</si>
  <si>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</si>
  <si>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</si>
  <si>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</si>
  <si>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</si>
  <si>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</si>
  <si>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</si>
  <si>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</si>
  <si>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</si>
  <si>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</si>
  <si>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</si>
  <si>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</si>
  <si>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</si>
  <si>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</si>
  <si>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</si>
  <si>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</si>
  <si>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</si>
  <si>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</si>
  <si>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</si>
  <si>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</si>
  <si>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</si>
  <si>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</si>
  <si>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</si>
  <si>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</si>
  <si>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</si>
  <si>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</si>
  <si>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</si>
  <si>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</si>
  <si>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</si>
  <si>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</si>
  <si>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</si>
  <si>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</si>
  <si>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</si>
  <si>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</si>
  <si>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</si>
  <si>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</si>
  <si>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</si>
  <si>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</si>
  <si>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</si>
  <si>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</si>
  <si>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</si>
  <si>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</si>
  <si>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</si>
  <si>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</si>
  <si>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</si>
  <si>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</si>
  <si>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</si>
  <si>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</si>
  <si>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</si>
  <si>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</si>
  <si>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</si>
  <si>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</si>
  <si>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</si>
  <si>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</si>
  <si>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</si>
  <si>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</si>
  <si>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</si>
  <si>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</si>
  <si>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</si>
  <si>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</si>
  <si>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</si>
  <si>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</si>
  <si>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</si>
  <si>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</si>
  <si>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</si>
  <si>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</si>
  <si>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</si>
  <si>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</si>
  <si>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</si>
  <si>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</si>
  <si>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</si>
  <si>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</si>
  <si>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</si>
  <si>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</si>
  <si>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</si>
  <si>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</si>
  <si>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</si>
  <si>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</si>
  <si>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</si>
  <si>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</si>
  <si>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</si>
  <si>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</si>
  <si>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</si>
  <si>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</si>
  <si>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</si>
  <si>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</si>
  <si>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</si>
  <si>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</si>
  <si>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</si>
  <si>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</si>
  <si>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</si>
  <si>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</si>
  <si>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</si>
  <si>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</si>
  <si>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</si>
  <si>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</si>
  <si>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</si>
  <si>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</si>
  <si>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</si>
  <si>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</si>
  <si>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</si>
  <si>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</si>
  <si>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</si>
  <si>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</si>
  <si>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</si>
  <si>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</si>
  <si>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</si>
  <si>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</si>
  <si>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</si>
  <si>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</si>
  <si>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</si>
  <si>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</si>
  <si>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</si>
  <si>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</si>
  <si>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</si>
  <si>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</si>
  <si>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</si>
  <si>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</si>
  <si>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</si>
  <si>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</si>
  <si>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</si>
  <si>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</si>
  <si>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</si>
  <si>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</si>
  <si>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</si>
  <si>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</si>
  <si>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</si>
  <si>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</si>
  <si>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</si>
  <si>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</si>
  <si>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</si>
  <si>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</si>
  <si>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</si>
  <si>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</si>
  <si>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</si>
  <si>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</si>
  <si>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</si>
  <si>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</si>
  <si>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</si>
  <si>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</si>
  <si>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</si>
  <si>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</si>
  <si>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</si>
  <si>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</si>
  <si>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</si>
  <si>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</si>
  <si>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</si>
  <si>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</si>
  <si>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</si>
  <si>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</si>
  <si>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</si>
  <si>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</si>
  <si>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</si>
  <si>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</si>
  <si>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</si>
  <si>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</si>
  <si>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</si>
  <si>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</si>
  <si>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</si>
  <si>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Белово (ОКТМО: 32707000) - пгт Грамотеино, д Грамотеино</t>
  </si>
  <si>
    <t xml:space="preserve"> ПОЯСНЕНИЕ К ПУНКТУ 7.4.  "НЕДОПОЛУЧЕННЫЕ ДОХОДЫ / ВЫПАДАЮЩИЕ РАСХОДЫ",  Регулирующим органом  расходы, фактически понесенные за указанный выше период, ПРИЗНАНЫ, но НЕ УЧТЕНЫ, так как  они были ПОЛНОСТЬЮ ПОКРЫТЫ ИЗБЫТОЧНЫМИ ДОХОДАМИ, возникшими в связи с предъявлением услуг холодного водоснабжения к оплате  за этот период коммерческим потребителям. РАСЧЕТНАЯ СУММА ТАРИФНОЙ ВЫРУЧКИ (С УЧЕТОМ  БЮДЖЕТНЫХ СУБВЕНЦИЙ), полученная за указанный период, составила: (51352,03 тыс. руб. на сч. 90-01 + 8808,65 тыс. руб. согласно справкам-расчетам бюджетных субвенций) / 112 дней * 37 дней = 19874,51 тыс. руб.  </t>
  </si>
  <si>
    <t>Организацией заявлены затраты, понесенные в течение ПЕРИОДА ОТСУТСТВИЯ УТВЕРЖДЕННЫХ ТАРИФОВ  (с  10.11.2024 - момент  утраты права пользования тарифами предыдущей гарантирующей организации  по 17.12.2024 - до момента установления тарифов впервые на данный вид деятельности  для МУп "Водоканал"). Организацией приложены  карточки счетов  90.01, 90.02., 91.01, 91.02, а также карточки счетов 20, 23, 25 26 по каждой статье  затрат и копии первичных документов, относящихся к "БЕСТАРИФНОМУ ПЕРИОДУ"  (см. ссылки  по пунктам 3.21 - 3.48 в файле  CALC.WATER.TARIFF.2026.EIAS, загруженном на платформу  10.11.2025 (сопроводительное письмо зарегистрировано 10.11.2025 вх. № 7196).   ОБОСНОВАНИЕ см. ниже в разделе "КОММЕНТАРИИ И ОБОСНОВАНИЯ К РАЗДЕЛУ".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</si>
</sst>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
    <numFmt numFmtId="169" formatCode="#,##0.000"/>
    <numFmt numFmtId="170" formatCode="0.000%"/>
    <numFmt numFmtId="171" formatCode="dd\.mm\.yyyy"/>
    <numFmt numFmtId="172" formatCode="0.0"/>
  </numFmts>
  <fonts count="73">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b/>
      <sz val="11"/>
      <color rgb="FF000000"/>
      <name val="Calibri"/>
      <scheme val="minor"/>
    </font>
    <font>
      <b/>
      <sz val="9"/>
      <color rgb="FFFFFFFF"/>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style="thin">
        <color rgb="FFBCBCBC"/>
      </top>
      <bottom style="thin">
        <color rgb="FFBCBCBC"/>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diagonal/>
    </border>
    <border>
      <left style="thin">
        <color rgb="FFBCBCBC"/>
      </left>
      <right style="thin">
        <color rgb="FFBCBCBC"/>
      </right>
      <top/>
      <bottom style="thin">
        <color rgb="FFBCBCBC"/>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135">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ill="1" applyBorder="1" applyAlignment="1">
      <alignment horizontal="right" vertical="center"/>
    </xf>
    <xf numFmtId="170" fontId="0" fillId="10" borderId="2" xfId="0" applyNumberForma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6" fillId="8" borderId="1" xfId="0" applyNumberFormat="1" applyFont="1" applyFill="1" applyBorder="1" applyAlignment="1" applyProtection="1">
      <alignment vertical="center"/>
      <protection locked="0"/>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49" fontId="32" fillId="8" borderId="2" xfId="0"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9" fontId="21" fillId="14" borderId="9" xfId="0" applyNumberFormat="1" applyFont="1" applyFill="1" applyBorder="1" applyAlignment="1">
      <alignment horizontal="right" vertical="center"/>
    </xf>
    <xf numFmtId="169"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70" fontId="0" fillId="10" borderId="37" xfId="0" applyNumberFormat="1" applyFill="1" applyBorder="1" applyAlignment="1">
      <alignment horizontal="right" vertical="center"/>
    </xf>
    <xf numFmtId="169"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Border="1" applyAlignment="1">
      <alignment horizontal="right" vertical="center"/>
    </xf>
    <xf numFmtId="169" fontId="3" fillId="0" borderId="3" xfId="0" applyNumberFormat="1" applyFont="1" applyBorder="1" applyAlignment="1">
      <alignment horizontal="right" vertical="center"/>
    </xf>
    <xf numFmtId="49" fontId="5" fillId="0" borderId="3" xfId="0" applyFont="1" applyBorder="1" applyAlignment="1">
      <alignment horizontal="left" vertical="center"/>
    </xf>
    <xf numFmtId="170" fontId="0" fillId="0" borderId="3" xfId="0" applyNumberFormat="1" applyBorder="1" applyAlignment="1">
      <alignment horizontal="right" vertical="center"/>
    </xf>
    <xf numFmtId="169" fontId="0" fillId="8" borderId="1" xfId="0" applyNumberForma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ill="1" applyBorder="1" applyAlignment="1">
      <alignment horizontal="right" vertical="center"/>
    </xf>
    <xf numFmtId="169"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9"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lignment horizontal="left" vertical="center" wrapText="1" indent="1"/>
    </xf>
    <xf numFmtId="171"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71"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9" fontId="3" fillId="10" borderId="2" xfId="0" applyNumberFormat="1" applyFont="1" applyFill="1" applyBorder="1" applyAlignment="1">
      <alignment vertical="center"/>
    </xf>
    <xf numFmtId="4" fontId="3" fillId="8" borderId="2" xfId="0" applyNumberFormat="1" applyFont="1" applyFill="1" applyBorder="1" applyAlignment="1" applyProtection="1">
      <alignment vertical="center"/>
      <protection locked="0"/>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5" borderId="2" xfId="0" applyNumberFormat="1" applyFont="1" applyFill="1" applyBorder="1" applyAlignment="1">
      <alignment horizontal="left" vertical="center" wrapText="1" inden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23" xfId="0" applyFont="1" applyFill="1" applyBorder="1" applyAlignment="1">
      <alignment vertical="center"/>
    </xf>
    <xf numFmtId="49" fontId="22" fillId="15" borderId="47"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9"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0" fillId="26" borderId="0" xfId="0" applyNumberFormat="1" applyFill="1" applyAlignment="1">
      <alignment horizontal="center" vertical="center"/>
    </xf>
    <xf numFmtId="0" fontId="23" fillId="0" borderId="48" xfId="0" applyNumberFormat="1" applyFont="1" applyBorder="1" applyAlignment="1"/>
    <xf numFmtId="0" fontId="3" fillId="27" borderId="2" xfId="0" applyNumberFormat="1" applyFont="1" applyFill="1" applyBorder="1" applyAlignment="1">
      <alignment horizontal="center" vertical="center" wrapText="1"/>
    </xf>
    <xf numFmtId="0" fontId="5" fillId="27" borderId="49" xfId="0" applyNumberFormat="1" applyFont="1" applyFill="1" applyBorder="1" applyAlignment="1">
      <alignment horizontal="center"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Font="1" applyFill="1" applyBorder="1" applyAlignment="1">
      <alignment horizontal="left" vertical="center" wrapText="1"/>
    </xf>
    <xf numFmtId="0" fontId="64" fillId="16" borderId="2" xfId="0" applyNumberFormat="1" applyFont="1" applyFill="1" applyBorder="1" applyAlignment="1" applyProtection="1">
      <alignment horizontal="left" vertical="center" wrapText="1" indent="1"/>
      <protection locked="0"/>
    </xf>
    <xf numFmtId="49" fontId="64" fillId="8" borderId="2" xfId="0" applyFont="1" applyFill="1" applyBorder="1" applyAlignment="1" applyProtection="1">
      <alignment horizontal="left" vertical="center" wrapText="1" indent="1"/>
      <protection locked="0"/>
    </xf>
    <xf numFmtId="49" fontId="5" fillId="8" borderId="2" xfId="0" applyFont="1" applyFill="1" applyBorder="1" applyAlignment="1">
      <alignment horizontal="left" vertical="center" wrapText="1" indent="1"/>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0" fontId="0" fillId="0" borderId="0" xfId="0" applyNumberFormat="1" applyAlignment="1">
      <alignment vertical="center"/>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9" fontId="0" fillId="8" borderId="2" xfId="0" applyNumberForma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9" fontId="5" fillId="8" borderId="37" xfId="0" applyNumberFormat="1" applyFont="1" applyFill="1" applyBorder="1" applyAlignment="1">
      <alignment horizontal="right" vertical="center"/>
    </xf>
    <xf numFmtId="169" fontId="0" fillId="8" borderId="37" xfId="0" applyNumberForma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0" fontId="5" fillId="0" borderId="0" xfId="1" applyNumberFormat="1" applyFont="1" applyAlignment="1"/>
    <xf numFmtId="0" fontId="5" fillId="0" borderId="0" xfId="1" applyNumberFormat="1" applyFont="1" applyAlignment="1">
      <alignment horizontal="left"/>
    </xf>
    <xf numFmtId="0" fontId="5" fillId="22" borderId="0" xfId="1" applyNumberFormat="1" applyFont="1" applyFill="1" applyAlignment="1">
      <alignment horizontal="center" vertical="center"/>
    </xf>
    <xf numFmtId="0" fontId="0" fillId="5" borderId="0" xfId="1" applyNumberFormat="1" applyFont="1" applyFill="1" applyAlignment="1">
      <alignment horizontal="center"/>
    </xf>
    <xf numFmtId="0" fontId="0" fillId="0" borderId="0" xfId="1" applyNumberFormat="1" applyFont="1" applyAlignment="1">
      <alignment horizontal="left"/>
    </xf>
    <xf numFmtId="0" fontId="0" fillId="0" borderId="0" xfId="1" applyNumberFormat="1" applyFont="1" applyAlignment="1">
      <alignment horizontal="center" wrapText="1"/>
    </xf>
    <xf numFmtId="0" fontId="0" fillId="0" borderId="0" xfId="1" applyNumberFormat="1" applyFont="1" applyAlignment="1">
      <alignment horizontal="center"/>
    </xf>
    <xf numFmtId="0" fontId="5" fillId="17" borderId="0" xfId="1" applyNumberFormat="1" applyFont="1" applyFill="1" applyAlignment="1"/>
    <xf numFmtId="0" fontId="5" fillId="17" borderId="0" xfId="1" applyNumberFormat="1" applyFont="1" applyFill="1" applyAlignment="1">
      <alignment horizontal="left"/>
    </xf>
    <xf numFmtId="0" fontId="3" fillId="17" borderId="0" xfId="1" applyNumberFormat="1" applyFill="1" applyAlignment="1"/>
    <xf numFmtId="0" fontId="5" fillId="17" borderId="0" xfId="1" applyNumberFormat="1" applyFont="1" applyFill="1" applyAlignment="1">
      <alignment wrapText="1"/>
    </xf>
    <xf numFmtId="0" fontId="5" fillId="2" borderId="0" xfId="1" applyNumberFormat="1" applyFont="1" applyFill="1" applyAlignment="1"/>
    <xf numFmtId="0" fontId="0" fillId="2" borderId="0" xfId="1" applyNumberFormat="1" applyFont="1" applyFill="1" applyAlignment="1">
      <alignment horizontal="center"/>
    </xf>
    <xf numFmtId="0" fontId="5" fillId="2" borderId="0" xfId="1" applyNumberFormat="1" applyFont="1" applyFill="1" applyAlignment="1">
      <alignment horizontal="left"/>
    </xf>
    <xf numFmtId="0" fontId="3" fillId="2" borderId="0" xfId="1" applyNumberFormat="1" applyFill="1" applyAlignment="1"/>
    <xf numFmtId="0" fontId="5" fillId="2" borderId="0" xfId="1" applyNumberFormat="1" applyFont="1" applyFill="1" applyAlignment="1">
      <alignment wrapText="1"/>
    </xf>
    <xf numFmtId="0" fontId="3" fillId="0" borderId="0" xfId="1" applyNumberFormat="1" applyAlignment="1">
      <alignment vertical="center"/>
    </xf>
    <xf numFmtId="0" fontId="3" fillId="0" borderId="0" xfId="1" applyNumberFormat="1" applyAlignment="1">
      <alignment horizontal="left" vertical="center"/>
    </xf>
    <xf numFmtId="0" fontId="0" fillId="0" borderId="0" xfId="1" applyNumberFormat="1" applyFont="1" applyAlignment="1">
      <alignment horizontal="left" vertical="center"/>
    </xf>
    <xf numFmtId="0" fontId="5" fillId="0" borderId="0" xfId="1" applyNumberFormat="1" applyFont="1" applyAlignment="1">
      <alignment horizontal="center" vertical="center"/>
    </xf>
    <xf numFmtId="0" fontId="6" fillId="0" borderId="48" xfId="1" quotePrefix="1" applyNumberFormat="1" applyFont="1" applyBorder="1" applyAlignment="1">
      <alignment horizontal="left" vertical="center" indent="1"/>
    </xf>
    <xf numFmtId="0" fontId="23" fillId="0" borderId="48" xfId="1" applyNumberFormat="1" applyFont="1" applyBorder="1" applyAlignment="1">
      <alignment vertical="center"/>
    </xf>
    <xf numFmtId="0" fontId="23" fillId="0" borderId="48" xfId="1" applyNumberFormat="1" applyFont="1" applyBorder="1" applyAlignment="1"/>
    <xf numFmtId="0" fontId="5" fillId="17" borderId="0" xfId="1" applyNumberFormat="1" applyFont="1" applyFill="1" applyAlignment="1">
      <alignment horizontal="center"/>
    </xf>
    <xf numFmtId="0" fontId="3" fillId="0" borderId="0" xfId="1" applyNumberFormat="1" applyAlignment="1">
      <alignment horizontal="center"/>
    </xf>
    <xf numFmtId="0" fontId="3" fillId="0" borderId="0" xfId="1" applyNumberFormat="1" applyAlignment="1">
      <alignment horizontal="center" wrapText="1"/>
    </xf>
    <xf numFmtId="0" fontId="0" fillId="0" borderId="0" xfId="1" applyNumberFormat="1" applyFont="1" applyAlignment="1">
      <alignment horizontal="center" vertical="center"/>
    </xf>
    <xf numFmtId="0" fontId="14" fillId="0" borderId="0" xfId="1" applyNumberFormat="1" applyFont="1" applyAlignment="1">
      <alignment vertical="center" wrapText="1"/>
    </xf>
    <xf numFmtId="0" fontId="3" fillId="0" borderId="2" xfId="1" applyNumberFormat="1" applyBorder="1" applyAlignment="1">
      <alignment horizontal="center" vertical="center" wrapText="1"/>
    </xf>
    <xf numFmtId="0" fontId="3" fillId="27" borderId="2" xfId="1" applyNumberFormat="1" applyFill="1" applyBorder="1" applyAlignment="1">
      <alignment horizontal="center" vertical="center" wrapText="1"/>
    </xf>
    <xf numFmtId="0" fontId="5" fillId="0" borderId="2" xfId="1" applyNumberFormat="1" applyFont="1" applyBorder="1" applyAlignment="1">
      <alignment horizontal="center" vertical="center" wrapText="1"/>
    </xf>
    <xf numFmtId="0" fontId="5" fillId="27" borderId="49" xfId="1" applyNumberFormat="1" applyFont="1" applyFill="1" applyBorder="1" applyAlignment="1">
      <alignment horizontal="center" vertical="center" wrapText="1"/>
    </xf>
    <xf numFmtId="0" fontId="3" fillId="0" borderId="0" xfId="1" applyNumberFormat="1">
      <alignment vertical="top"/>
    </xf>
    <xf numFmtId="0" fontId="0" fillId="0" borderId="0" xfId="1" applyNumberFormat="1" applyFont="1" applyAlignment="1">
      <alignment horizontal="center" vertical="top"/>
    </xf>
    <xf numFmtId="0" fontId="3" fillId="17" borderId="0" xfId="1" applyNumberFormat="1" applyFill="1">
      <alignment vertical="top"/>
    </xf>
    <xf numFmtId="0" fontId="3" fillId="0" borderId="50" xfId="1" applyNumberFormat="1" applyBorder="1" applyAlignment="1">
      <alignment horizontal="center" vertical="center" wrapText="1"/>
    </xf>
    <xf numFmtId="0" fontId="5" fillId="0" borderId="0" xfId="1" applyNumberFormat="1" applyFont="1" applyAlignment="1">
      <alignment vertical="center" wrapText="1"/>
    </xf>
    <xf numFmtId="0" fontId="5" fillId="0" borderId="0" xfId="1" applyNumberFormat="1" applyFont="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3" fillId="0" borderId="0" xfId="1" applyNumberFormat="1" applyAlignment="1"/>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9" fontId="0" fillId="8" borderId="1" xfId="0" applyNumberFormat="1" applyFill="1" applyBorder="1" applyAlignment="1">
      <alignment horizontal="right" vertical="center" wrapText="1"/>
    </xf>
    <xf numFmtId="169"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9"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5"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9" fontId="64" fillId="8" borderId="2" xfId="0" applyFont="1" applyFill="1" applyBorder="1" applyAlignment="1" applyProtection="1">
      <alignment horizontal="left" vertical="center" wrapText="1"/>
      <protection locked="0"/>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169" fontId="3" fillId="7" borderId="24" xfId="0" applyNumberFormat="1" applyFont="1" applyFill="1" applyBorder="1" applyAlignment="1">
      <alignment horizontal="righ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12" fillId="17" borderId="44" xfId="0" applyNumberFormat="1" applyFont="1" applyFill="1" applyBorder="1" applyAlignment="1">
      <alignment horizontal="right" vertical="center" wrapText="1" indent="1"/>
    </xf>
    <xf numFmtId="0" fontId="12" fillId="17" borderId="56" xfId="0" applyNumberFormat="1" applyFont="1" applyFill="1" applyBorder="1" applyAlignment="1">
      <alignment horizontal="right" vertical="center" wrapText="1" indent="1"/>
    </xf>
    <xf numFmtId="0" fontId="12" fillId="17" borderId="36"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0" xfId="0" applyNumberFormat="1" applyFont="1" applyAlignment="1">
      <alignment vertical="center" wrapText="1"/>
    </xf>
    <xf numFmtId="0" fontId="12" fillId="17" borderId="55"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2" xfId="0" applyNumberFormat="1" applyFont="1" applyFill="1" applyBorder="1" applyAlignment="1">
      <alignment horizontal="center" vertical="center" wrapText="1"/>
    </xf>
    <xf numFmtId="0" fontId="12" fillId="28" borderId="53" xfId="0" applyNumberFormat="1" applyFont="1" applyFill="1" applyBorder="1" applyAlignment="1">
      <alignment horizontal="center" vertical="center" wrapText="1"/>
    </xf>
    <xf numFmtId="0" fontId="12" fillId="28" borderId="54" xfId="0" applyNumberFormat="1" applyFont="1" applyFill="1" applyBorder="1" applyAlignment="1">
      <alignment horizontal="center" vertical="center" wrapText="1"/>
    </xf>
    <xf numFmtId="0" fontId="40" fillId="0" borderId="36" xfId="0" applyNumberFormat="1" applyFont="1" applyBorder="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3" fillId="0" borderId="36" xfId="0" applyNumberFormat="1" applyFont="1" applyBorder="1" applyAlignment="1">
      <alignment horizontal="center" vertical="center" wrapText="1"/>
    </xf>
    <xf numFmtId="0" fontId="3" fillId="0" borderId="55"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3" fillId="0" borderId="2" xfId="0" applyNumberFormat="1" applyFont="1" applyBorder="1" applyAlignment="1">
      <alignment horizontal="right" vertical="center" wrapText="1" indent="1"/>
    </xf>
    <xf numFmtId="0" fontId="7" fillId="0" borderId="57" xfId="0" applyNumberFormat="1" applyFont="1" applyBorder="1" applyAlignment="1">
      <alignmen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6"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5"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5"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5" xfId="0" applyNumberFormat="1" applyFont="1" applyBorder="1" applyAlignment="1">
      <alignment horizontal="center" vertical="center"/>
    </xf>
    <xf numFmtId="0" fontId="3" fillId="0" borderId="2" xfId="0" applyNumberFormat="1" applyFont="1" applyBorder="1" applyAlignment="1">
      <alignment horizontal="center" vertical="center" textRotation="90"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8"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3" fillId="8" borderId="61"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3" fillId="8" borderId="61" xfId="0" applyNumberFormat="1" applyFont="1" applyFill="1" applyBorder="1" applyAlignment="1" applyProtection="1">
      <alignment horizontal="left" vertical="center" wrapText="1"/>
      <protection locked="0"/>
    </xf>
    <xf numFmtId="0" fontId="3" fillId="8" borderId="9" xfId="0" applyNumberFormat="1" applyFont="1" applyFill="1" applyBorder="1" applyAlignment="1" applyProtection="1">
      <alignment horizontal="left" vertical="center" wrapText="1"/>
      <protection locked="0"/>
    </xf>
    <xf numFmtId="0" fontId="3" fillId="8" borderId="42"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2" xfId="1" applyNumberFormat="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8" borderId="64"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pplyProtection="1">
      <alignment horizontal="left" vertical="center" wrapText="1"/>
      <protection locked="0"/>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7" xfId="0" applyFont="1" applyFill="1" applyBorder="1" applyAlignment="1" applyProtection="1">
      <alignment horizontal="left" vertical="top" wrapText="1"/>
      <protection locked="0"/>
    </xf>
    <xf numFmtId="49" fontId="52" fillId="8" borderId="67" xfId="0" applyFont="1" applyFill="1" applyBorder="1" applyAlignment="1" applyProtection="1">
      <alignment horizontal="left" vertical="top" wrapText="1"/>
      <protection locked="0"/>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6" xfId="0" applyBorder="1" applyAlignment="1">
      <alignment horizontal="center" vertical="center" wrapText="1"/>
    </xf>
    <xf numFmtId="49" fontId="0" fillId="0" borderId="67"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3" fillId="7" borderId="2" xfId="0" applyNumberFormat="1" applyFont="1" applyFill="1" applyBorder="1" applyAlignment="1">
      <alignment horizontal="center" vertical="center" wrapText="1"/>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7" xfId="0" applyNumberFormat="1" applyFont="1" applyBorder="1" applyAlignment="1">
      <alignment horizontal="center" vertical="center" wrapText="1"/>
    </xf>
    <xf numFmtId="49" fontId="3" fillId="8" borderId="67" xfId="0" applyFont="1" applyFill="1" applyBorder="1" applyAlignment="1">
      <alignment horizontal="left" vertical="top" wrapText="1"/>
    </xf>
    <xf numFmtId="49" fontId="52" fillId="8" borderId="67" xfId="0" applyFont="1" applyFill="1" applyBorder="1" applyAlignment="1">
      <alignment horizontal="left" vertical="top"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61" fillId="0" borderId="1" xfId="0" applyNumberFormat="1" applyFont="1" applyBorder="1" applyAlignment="1"/>
    <xf numFmtId="0" fontId="7" fillId="0" borderId="0" xfId="0" applyNumberFormat="1" applyFont="1" applyAlignment="1">
      <alignment horizontal="center"/>
    </xf>
    <xf numFmtId="49" fontId="34" fillId="0" borderId="55" xfId="0" applyFont="1" applyBorder="1" applyAlignment="1">
      <alignment horizontal="center" vertical="top" wrapText="1"/>
    </xf>
    <xf numFmtId="0" fontId="34" fillId="0" borderId="55" xfId="0" applyNumberFormat="1" applyFont="1" applyBorder="1" applyAlignment="1">
      <alignment horizontal="center" vertical="top" wrapText="1"/>
    </xf>
    <xf numFmtId="0" fontId="62" fillId="0" borderId="1" xfId="0" applyNumberFormat="1" applyFont="1" applyBorder="1" applyAlignment="1"/>
    <xf numFmtId="0" fontId="52" fillId="0" borderId="1" xfId="0" applyNumberFormat="1" applyFont="1" applyBorder="1" applyAlignment="1">
      <alignment vertical="center"/>
    </xf>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5" fillId="9" borderId="1" xfId="0" applyNumberFormat="1" applyFont="1" applyFill="1" applyBorder="1" applyAlignment="1">
      <alignment horizontal="center" vertical="center" wrapText="1"/>
    </xf>
    <xf numFmtId="49" fontId="63" fillId="8" borderId="67" xfId="0" applyFont="1" applyFill="1" applyBorder="1" applyAlignment="1" applyProtection="1">
      <alignment horizontal="left" vertical="top" wrapText="1"/>
      <protection locked="0"/>
    </xf>
    <xf numFmtId="49" fontId="63" fillId="8" borderId="67" xfId="0" applyFont="1" applyFill="1" applyBorder="1" applyAlignment="1">
      <alignment horizontal="left" vertical="top" wrapText="1"/>
    </xf>
    <xf numFmtId="0" fontId="41" fillId="0" borderId="1" xfId="0" applyNumberFormat="1" applyFont="1" applyBorder="1" applyAlignment="1">
      <alignment vertical="center"/>
    </xf>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0" fontId="5" fillId="0" borderId="1" xfId="0" applyNumberFormat="1" applyFont="1" applyBorder="1" applyAlignment="1">
      <alignment vertical="center" wrapText="1"/>
    </xf>
    <xf numFmtId="0" fontId="5" fillId="0" borderId="1" xfId="0" applyNumberFormat="1" applyFont="1" applyBorder="1" applyAlignment="1"/>
    <xf numFmtId="49" fontId="3" fillId="0" borderId="1" xfId="0" applyFont="1" applyBorder="1" applyAlignment="1">
      <alignment horizontal="center" vertical="center" wrapText="1"/>
    </xf>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3" fillId="0" borderId="0" xfId="0" applyNumberFormat="1" applyFont="1" applyAlignment="1">
      <alignment horizontal="left"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data-platform.ru/lk/files/Files/imenod/29ea4f7b-7795-4a67-8acd-d9ad5b8965b1" TargetMode="External"/><Relationship Id="rId2" Type="http://schemas.openxmlformats.org/officeDocument/2006/relationships/hyperlink" Target="https://portal.eias.ru/Portal/DownloadPage.aspx?type=12&amp;guid=de42eeed-ccee-438a-8004-e3ec000adc07" TargetMode="External"/><Relationship Id="rId1" Type="http://schemas.openxmlformats.org/officeDocument/2006/relationships/hyperlink" Target="mailto:vodokanal.mup@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55A0E-6B78-16B6-7678-3F2DD132F8AF}">
  <sheetPr>
    <tabColor theme="3" tint="-0.249977111117893"/>
  </sheetPr>
  <dimension ref="A1:C1"/>
  <sheetViews>
    <sheetView workbookViewId="0"/>
  </sheetViews>
  <sheetFormatPr defaultRowHeight="11.25" customHeight="1"/>
  <cols>
    <col min="1" max="1" width="37.140625" style="4" customWidth="1"/>
    <col min="2" max="2" width="25.7109375" style="4" customWidth="1"/>
    <col min="3" max="3" width="64.5703125" style="4" customWidth="1"/>
  </cols>
  <sheetData>
    <row r="1" spans="1:3" ht="11.25" customHeight="1">
      <c r="A1" s="644" t="s">
        <v>0</v>
      </c>
      <c r="B1" s="644" t="s">
        <v>1</v>
      </c>
      <c r="C1" s="644"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D9FBA-3338-9428-BC3E-8DD00F0F4F38}">
  <sheetPr>
    <tabColor rgb="FF8DB4E2"/>
    <outlinePr summaryBelow="0" summaryRight="0"/>
    <pageSetUpPr fitToPage="1"/>
  </sheetPr>
  <dimension ref="A1:BN37"/>
  <sheetViews>
    <sheetView showGridLines="0" zoomScale="110" workbookViewId="0">
      <pane xSplit="30" ySplit="25" topLeftCell="AE32" activePane="bottomRight" state="frozen"/>
      <selection pane="topRight" activeCell="AE1" sqref="AE1"/>
      <selection pane="bottomLeft" activeCell="A26" sqref="A26"/>
      <selection pane="bottomRight" activeCell="AS36" sqref="AS36"/>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5" width="15" style="1" customWidth="1"/>
    <col min="36" max="43" width="15" style="1" hidden="1" customWidth="1"/>
    <col min="44" max="45" width="15" style="1" customWidth="1"/>
    <col min="46" max="53" width="15" style="1" hidden="1" customWidth="1"/>
    <col min="55" max="66" width="9.140625" hidden="1"/>
  </cols>
  <sheetData>
    <row r="1" spans="1:66" ht="11.25" hidden="1" customHeight="1">
      <c r="A1" s="277"/>
      <c r="B1" s="320"/>
      <c r="C1" s="320"/>
      <c r="D1" s="320"/>
      <c r="E1" s="836"/>
      <c r="F1" s="837" t="s">
        <v>309</v>
      </c>
      <c r="G1" s="320"/>
      <c r="H1" s="320"/>
      <c r="I1" s="320"/>
      <c r="J1" s="320"/>
      <c r="K1" s="320"/>
      <c r="L1" s="320"/>
      <c r="M1" s="320"/>
      <c r="N1" s="320"/>
      <c r="O1" s="320"/>
      <c r="P1" s="320"/>
      <c r="Q1" s="320"/>
      <c r="R1" s="320"/>
      <c r="S1" s="320"/>
      <c r="T1" s="320"/>
      <c r="U1" s="320"/>
      <c r="V1" s="838" t="s">
        <v>92</v>
      </c>
      <c r="W1" s="838" t="s">
        <v>97</v>
      </c>
      <c r="X1" s="838" t="s">
        <v>93</v>
      </c>
      <c r="Y1" s="838" t="s">
        <v>95</v>
      </c>
      <c r="Z1" s="838" t="s">
        <v>99</v>
      </c>
      <c r="AA1" s="277"/>
      <c r="AB1" s="277"/>
      <c r="AC1" s="277"/>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654" t="s">
        <v>312</v>
      </c>
      <c r="BD1" s="320"/>
      <c r="BE1" s="320"/>
      <c r="BF1" s="320"/>
      <c r="BG1" s="320"/>
      <c r="BH1" s="320"/>
      <c r="BI1" s="320"/>
      <c r="BJ1" s="320"/>
      <c r="BK1" s="320"/>
      <c r="BL1" s="320"/>
      <c r="BM1" s="320"/>
      <c r="BN1" s="320"/>
    </row>
    <row r="2" spans="1:66" ht="11.25" hidden="1" customHeight="1">
      <c r="A2" s="320"/>
      <c r="B2" s="839" t="s">
        <v>18</v>
      </c>
      <c r="C2" s="320"/>
      <c r="D2" s="320"/>
      <c r="E2" s="320"/>
      <c r="F2" s="840"/>
      <c r="G2" s="320"/>
      <c r="H2" s="320"/>
      <c r="I2" s="320"/>
      <c r="J2" s="320"/>
      <c r="K2" s="320"/>
      <c r="L2" s="320"/>
      <c r="M2" s="320"/>
      <c r="N2" s="320"/>
      <c r="O2" s="320"/>
      <c r="P2" s="320"/>
      <c r="Q2" s="320"/>
      <c r="R2" s="320"/>
      <c r="S2" s="320"/>
      <c r="T2" s="320"/>
      <c r="U2" s="320"/>
      <c r="V2" s="320"/>
      <c r="W2" s="320"/>
      <c r="X2" s="320"/>
      <c r="Y2" s="320"/>
      <c r="Z2" s="320"/>
      <c r="AA2" s="320"/>
      <c r="AB2" s="320"/>
      <c r="AC2" s="841"/>
      <c r="AD2" s="320"/>
      <c r="AE2" s="320"/>
      <c r="AF2" s="320"/>
      <c r="AG2" s="320"/>
      <c r="AH2" s="320"/>
      <c r="AI2" s="341" t="b">
        <f t="shared" ref="AI2:AQ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20"/>
      <c r="AS2" s="341" t="b">
        <f t="shared" ref="AS2:BA2" si="1">AS6&lt;last_year_vis</f>
        <v>1</v>
      </c>
      <c r="AT2" s="341" t="b">
        <f t="shared" si="1"/>
        <v>0</v>
      </c>
      <c r="AU2" s="341" t="b">
        <f t="shared" si="1"/>
        <v>0</v>
      </c>
      <c r="AV2" s="341" t="b">
        <f t="shared" si="1"/>
        <v>0</v>
      </c>
      <c r="AW2" s="341" t="b">
        <f t="shared" si="1"/>
        <v>0</v>
      </c>
      <c r="AX2" s="341" t="b">
        <f t="shared" si="1"/>
        <v>0</v>
      </c>
      <c r="AY2" s="341" t="b">
        <f t="shared" si="1"/>
        <v>0</v>
      </c>
      <c r="AZ2" s="341" t="b">
        <f t="shared" si="1"/>
        <v>0</v>
      </c>
      <c r="BA2" s="341" t="b">
        <f t="shared" si="1"/>
        <v>0</v>
      </c>
      <c r="BB2" s="320"/>
      <c r="BC2" s="663"/>
      <c r="BD2" s="277"/>
      <c r="BE2" s="277"/>
      <c r="BF2" s="277"/>
      <c r="BG2" s="277"/>
      <c r="BH2" s="277"/>
      <c r="BI2" s="320"/>
      <c r="BJ2" s="320"/>
      <c r="BK2" s="320"/>
      <c r="BL2" s="320"/>
      <c r="BM2" s="320"/>
      <c r="BN2" s="320"/>
    </row>
    <row r="3" spans="1:66" ht="11.25" hidden="1" customHeight="1">
      <c r="A3" s="320"/>
      <c r="B3" s="320"/>
      <c r="C3" s="320"/>
      <c r="D3" s="320"/>
      <c r="E3" s="836"/>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0"/>
      <c r="AR3" s="320"/>
      <c r="AS3" s="320"/>
      <c r="AT3" s="320"/>
      <c r="AU3" s="320"/>
      <c r="AV3" s="320"/>
      <c r="AW3" s="320"/>
      <c r="AX3" s="320"/>
      <c r="AY3" s="320"/>
      <c r="AZ3" s="320"/>
      <c r="BA3" s="320"/>
      <c r="BB3" s="320"/>
      <c r="BC3" s="320"/>
      <c r="BD3" s="320"/>
      <c r="BE3" s="320"/>
      <c r="BF3" s="320"/>
      <c r="BG3" s="320"/>
      <c r="BH3" s="320"/>
      <c r="BI3" s="320"/>
      <c r="BJ3" s="320"/>
      <c r="BK3" s="320"/>
      <c r="BL3" s="320"/>
      <c r="BM3" s="320"/>
      <c r="BN3" s="320"/>
    </row>
    <row r="4" spans="1:66" ht="11.25" hidden="1" customHeight="1">
      <c r="A4" s="320"/>
      <c r="B4" s="320"/>
      <c r="C4" s="320"/>
      <c r="D4" s="320"/>
      <c r="E4" s="836"/>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20"/>
      <c r="BH4" s="320"/>
      <c r="BI4" s="320"/>
      <c r="BJ4" s="320"/>
      <c r="BK4" s="320"/>
      <c r="BL4" s="320"/>
      <c r="BM4" s="320"/>
      <c r="BN4" s="320"/>
    </row>
    <row r="5" spans="1:66" ht="11.25" hidden="1" customHeight="1">
      <c r="A5" s="836"/>
      <c r="B5" s="842"/>
      <c r="C5" s="836"/>
      <c r="D5" s="836"/>
      <c r="E5" s="843" t="s">
        <v>19</v>
      </c>
      <c r="F5" s="844"/>
      <c r="G5" s="320"/>
      <c r="H5" s="320"/>
      <c r="I5" s="320"/>
      <c r="J5" s="320"/>
      <c r="K5" s="320"/>
      <c r="L5" s="320"/>
      <c r="M5" s="320"/>
      <c r="N5" s="320"/>
      <c r="O5" s="320"/>
      <c r="P5" s="320"/>
      <c r="Q5" s="320"/>
      <c r="R5" s="320"/>
      <c r="S5" s="320"/>
      <c r="T5" s="320"/>
      <c r="U5" s="320"/>
      <c r="V5" s="320"/>
      <c r="W5" s="320"/>
      <c r="X5" s="320"/>
      <c r="Y5" s="320"/>
      <c r="Z5" s="320"/>
      <c r="AA5" s="843">
        <v>3</v>
      </c>
      <c r="AB5" s="845">
        <v>11</v>
      </c>
      <c r="AC5" s="846">
        <v>40</v>
      </c>
      <c r="AD5" s="843">
        <v>15</v>
      </c>
      <c r="AE5" s="843">
        <v>15</v>
      </c>
      <c r="AF5" s="843">
        <v>15</v>
      </c>
      <c r="AG5" s="843">
        <v>15</v>
      </c>
      <c r="AH5" s="843">
        <v>15</v>
      </c>
      <c r="AI5" s="446">
        <v>15</v>
      </c>
      <c r="AJ5" s="446">
        <v>15</v>
      </c>
      <c r="AK5" s="446">
        <v>15</v>
      </c>
      <c r="AL5" s="446">
        <v>15</v>
      </c>
      <c r="AM5" s="446">
        <v>15</v>
      </c>
      <c r="AN5" s="446">
        <v>15</v>
      </c>
      <c r="AO5" s="446">
        <v>15</v>
      </c>
      <c r="AP5" s="446">
        <v>15</v>
      </c>
      <c r="AQ5" s="446">
        <v>15</v>
      </c>
      <c r="AR5" s="843">
        <v>15</v>
      </c>
      <c r="AS5" s="446">
        <v>15</v>
      </c>
      <c r="AT5" s="446">
        <v>15</v>
      </c>
      <c r="AU5" s="446">
        <v>15</v>
      </c>
      <c r="AV5" s="446">
        <v>15</v>
      </c>
      <c r="AW5" s="446">
        <v>15</v>
      </c>
      <c r="AX5" s="446">
        <v>15</v>
      </c>
      <c r="AY5" s="446">
        <v>15</v>
      </c>
      <c r="AZ5" s="446">
        <v>15</v>
      </c>
      <c r="BA5" s="446">
        <v>15</v>
      </c>
      <c r="BB5" s="320"/>
      <c r="BC5" s="654"/>
      <c r="BD5" s="277"/>
      <c r="BE5" s="277"/>
      <c r="BF5" s="277"/>
      <c r="BG5" s="277"/>
      <c r="BH5" s="277"/>
      <c r="BI5" s="320"/>
      <c r="BJ5" s="320"/>
      <c r="BK5" s="320"/>
      <c r="BL5" s="320"/>
      <c r="BM5" s="320"/>
      <c r="BN5" s="320"/>
    </row>
    <row r="6" spans="1:66" ht="11.25" hidden="1" customHeight="1">
      <c r="A6" s="320"/>
      <c r="B6" s="320"/>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836">
        <f>god-2</f>
        <v>2024</v>
      </c>
      <c r="AF6" s="836">
        <f>god-2</f>
        <v>2024</v>
      </c>
      <c r="AG6" s="836">
        <f>god-1</f>
        <v>2025</v>
      </c>
      <c r="AH6" s="836"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836"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20"/>
      <c r="BC6" s="320"/>
      <c r="BD6" s="320"/>
      <c r="BE6" s="320"/>
      <c r="BF6" s="320"/>
      <c r="BG6" s="320"/>
      <c r="BH6" s="320"/>
      <c r="BI6" s="320"/>
      <c r="BJ6" s="320"/>
      <c r="BK6" s="320"/>
      <c r="BL6" s="320"/>
      <c r="BM6" s="320"/>
      <c r="BN6" s="320"/>
    </row>
    <row r="7" spans="1:66" ht="11.25" hidden="1" customHeight="1">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836" t="str" cm="1">
        <f t="array" ref="AE7">AE25</f>
        <v>Принято органом регулирования</v>
      </c>
      <c r="AF7" s="836" t="str" cm="1">
        <f t="array" ref="AF7">AF25</f>
        <v>Факт по данным организации</v>
      </c>
      <c r="AG7" s="836" t="str" cm="1">
        <f t="array" ref="AG7">AG25</f>
        <v>Принято органом регулирования</v>
      </c>
      <c r="AH7" s="836"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836"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20"/>
      <c r="BC7" s="320"/>
      <c r="BD7" s="320"/>
      <c r="BE7" s="320"/>
      <c r="BF7" s="320"/>
      <c r="BG7" s="320"/>
      <c r="BH7" s="320"/>
      <c r="BI7" s="320"/>
      <c r="BJ7" s="320"/>
      <c r="BK7" s="320"/>
      <c r="BL7" s="320"/>
      <c r="BM7" s="320"/>
      <c r="BN7" s="320"/>
    </row>
    <row r="8" spans="1:66" ht="11.25" hidden="1" customHeight="1">
      <c r="A8" s="320"/>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836" t="str">
        <f t="shared" ref="AE8:BA8" si="2">AE6&amp;AE7</f>
        <v>2024Принято органом регулирования</v>
      </c>
      <c r="AF8" s="836" t="str">
        <f t="shared" si="2"/>
        <v>2024Факт по данным организации</v>
      </c>
      <c r="AG8" s="836" t="str">
        <f t="shared" si="2"/>
        <v>2025Принято органом регулирования</v>
      </c>
      <c r="AH8" s="836"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836"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20"/>
      <c r="BC8" s="320"/>
      <c r="BD8" s="320"/>
      <c r="BE8" s="320"/>
      <c r="BF8" s="320"/>
      <c r="BG8" s="320"/>
      <c r="BH8" s="320"/>
      <c r="BI8" s="320"/>
      <c r="BJ8" s="320"/>
      <c r="BK8" s="320"/>
      <c r="BL8" s="320"/>
      <c r="BM8" s="320"/>
      <c r="BN8" s="320"/>
    </row>
    <row r="9" spans="1:66" ht="11.25" hidden="1" customHeight="1">
      <c r="A9" s="847" t="s">
        <v>354</v>
      </c>
      <c r="B9" s="848"/>
      <c r="C9" s="320"/>
      <c r="D9" s="320"/>
      <c r="E9" s="320"/>
      <c r="F9" s="849"/>
      <c r="G9" s="320"/>
      <c r="H9" s="320"/>
      <c r="I9" s="320"/>
      <c r="J9" s="320"/>
      <c r="K9" s="320"/>
      <c r="L9" s="320"/>
      <c r="M9" s="320"/>
      <c r="N9" s="320"/>
      <c r="O9" s="320"/>
      <c r="P9" s="320"/>
      <c r="Q9" s="320"/>
      <c r="R9" s="320"/>
      <c r="S9" s="320"/>
      <c r="T9" s="320"/>
      <c r="U9" s="320"/>
      <c r="V9" s="320"/>
      <c r="W9" s="320"/>
      <c r="X9" s="320"/>
      <c r="Y9" s="320"/>
      <c r="Z9" s="320"/>
      <c r="AA9" s="320"/>
      <c r="AB9" s="850"/>
      <c r="AC9" s="851"/>
      <c r="AD9" s="320"/>
      <c r="AE9" s="847" cm="1">
        <f t="array" ref="AE9">AE6</f>
        <v>2024</v>
      </c>
      <c r="AF9" s="847" cm="1">
        <f t="array" ref="AF9">AF6</f>
        <v>2024</v>
      </c>
      <c r="AG9" s="847" cm="1">
        <f t="array" ref="AG9">AG6</f>
        <v>2025</v>
      </c>
      <c r="AH9" s="847" cm="1">
        <f t="array" ref="AH9">AH6</f>
        <v>2026</v>
      </c>
      <c r="AI9" s="654" cm="1">
        <f t="array" ref="AI9">AI6</f>
        <v>2027</v>
      </c>
      <c r="AJ9" s="654" cm="1">
        <f t="array" ref="AJ9">AJ6</f>
        <v>2028</v>
      </c>
      <c r="AK9" s="654" cm="1">
        <f t="array" ref="AK9">AK6</f>
        <v>2029</v>
      </c>
      <c r="AL9" s="654" cm="1">
        <f t="array" ref="AL9">AL6</f>
        <v>2030</v>
      </c>
      <c r="AM9" s="654" cm="1">
        <f t="array" ref="AM9">AM6</f>
        <v>2031</v>
      </c>
      <c r="AN9" s="654" cm="1">
        <f t="array" ref="AN9">AN6</f>
        <v>2032</v>
      </c>
      <c r="AO9" s="654" cm="1">
        <f t="array" ref="AO9">AO6</f>
        <v>2033</v>
      </c>
      <c r="AP9" s="654" cm="1">
        <f t="array" ref="AP9">AP6</f>
        <v>2034</v>
      </c>
      <c r="AQ9" s="654" cm="1">
        <f t="array" ref="AQ9">AQ6</f>
        <v>2035</v>
      </c>
      <c r="AR9" s="847" cm="1">
        <f t="array" ref="AR9">AR6</f>
        <v>2026</v>
      </c>
      <c r="AS9" s="654" cm="1">
        <f t="array" ref="AS9">AS6</f>
        <v>2027</v>
      </c>
      <c r="AT9" s="654" cm="1">
        <f t="array" ref="AT9">AT6</f>
        <v>2028</v>
      </c>
      <c r="AU9" s="654" cm="1">
        <f t="array" ref="AU9">AU6</f>
        <v>2029</v>
      </c>
      <c r="AV9" s="654" cm="1">
        <f t="array" ref="AV9">AV6</f>
        <v>2030</v>
      </c>
      <c r="AW9" s="654" cm="1">
        <f t="array" ref="AW9">AW6</f>
        <v>2031</v>
      </c>
      <c r="AX9" s="654" cm="1">
        <f t="array" ref="AX9">AX6</f>
        <v>2032</v>
      </c>
      <c r="AY9" s="654" cm="1">
        <f t="array" ref="AY9">AY6</f>
        <v>2033</v>
      </c>
      <c r="AZ9" s="654" cm="1">
        <f t="array" ref="AZ9">AZ6</f>
        <v>2034</v>
      </c>
      <c r="BA9" s="654" cm="1">
        <f t="array" ref="BA9">BA6</f>
        <v>2035</v>
      </c>
      <c r="BB9" s="320"/>
      <c r="BC9" s="320"/>
      <c r="BD9" s="277"/>
      <c r="BE9" s="277"/>
      <c r="BF9" s="277"/>
      <c r="BG9" s="277"/>
      <c r="BH9" s="277"/>
      <c r="BI9" s="320"/>
      <c r="BJ9" s="320"/>
      <c r="BK9" s="320"/>
      <c r="BL9" s="320"/>
      <c r="BM9" s="320"/>
      <c r="BN9" s="320"/>
    </row>
    <row r="10" spans="1:66" ht="11.25" hidden="1" customHeight="1">
      <c r="A10" s="847" t="s">
        <v>355</v>
      </c>
      <c r="B10" s="848"/>
      <c r="C10" s="320"/>
      <c r="D10" s="320"/>
      <c r="E10" s="320"/>
      <c r="F10" s="849"/>
      <c r="G10" s="320"/>
      <c r="H10" s="320"/>
      <c r="I10" s="320"/>
      <c r="J10" s="320"/>
      <c r="K10" s="320"/>
      <c r="L10" s="320"/>
      <c r="M10" s="320"/>
      <c r="N10" s="320"/>
      <c r="O10" s="320"/>
      <c r="P10" s="320"/>
      <c r="Q10" s="320"/>
      <c r="R10" s="320"/>
      <c r="S10" s="320"/>
      <c r="T10" s="320"/>
      <c r="U10" s="320"/>
      <c r="V10" s="320"/>
      <c r="W10" s="320"/>
      <c r="X10" s="320"/>
      <c r="Y10" s="320"/>
      <c r="Z10" s="320"/>
      <c r="AA10" s="320"/>
      <c r="AB10" s="850"/>
      <c r="AC10" s="851"/>
      <c r="AD10" s="320"/>
      <c r="AE10" s="847" t="str" cm="1">
        <f t="array" ref="AE10">AE25</f>
        <v>Принято органом регулирования</v>
      </c>
      <c r="AF10" s="847" t="str" cm="1">
        <f t="array" ref="AF10">AF25</f>
        <v>Факт по данным организации</v>
      </c>
      <c r="AG10" s="847" t="str" cm="1">
        <f t="array" ref="AG10">AG25</f>
        <v>Принято органом регулирования</v>
      </c>
      <c r="AH10" s="847" t="str" cm="1">
        <f t="array" ref="AH10">AH25</f>
        <v>Предложение организации</v>
      </c>
      <c r="AI10" s="654" t="str" cm="1">
        <f t="array" ref="AI10">AI25</f>
        <v>Предложение организации</v>
      </c>
      <c r="AJ10" s="654" t="str" cm="1">
        <f t="array" ref="AJ10">AJ25</f>
        <v>Предложение организации</v>
      </c>
      <c r="AK10" s="654" t="str" cm="1">
        <f t="array" ref="AK10">AK25</f>
        <v>Предложение организации</v>
      </c>
      <c r="AL10" s="654" t="str" cm="1">
        <f t="array" ref="AL10">AL25</f>
        <v>Предложение организации</v>
      </c>
      <c r="AM10" s="654" t="str" cm="1">
        <f t="array" ref="AM10">AM25</f>
        <v>Предложение организации</v>
      </c>
      <c r="AN10" s="654" t="str" cm="1">
        <f t="array" ref="AN10">AN25</f>
        <v>Предложение организации</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847" t="str" cm="1">
        <f t="array" ref="AR10">AR25</f>
        <v>Принято органом регулирования</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320"/>
      <c r="BC10" s="320"/>
      <c r="BD10" s="277"/>
      <c r="BE10" s="277"/>
      <c r="BF10" s="277"/>
      <c r="BG10" s="277"/>
      <c r="BH10" s="277"/>
      <c r="BI10" s="320"/>
      <c r="BJ10" s="320"/>
      <c r="BK10" s="320"/>
      <c r="BL10" s="320"/>
      <c r="BM10" s="320"/>
      <c r="BN10" s="320"/>
    </row>
    <row r="11" spans="1:66" ht="11.25" hidden="1" customHeight="1">
      <c r="A11" s="320"/>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c r="BC11" s="320"/>
      <c r="BD11" s="320"/>
      <c r="BE11" s="320"/>
      <c r="BF11" s="320"/>
      <c r="BG11" s="320"/>
      <c r="BH11" s="320"/>
      <c r="BI11" s="320"/>
      <c r="BJ11" s="320"/>
      <c r="BK11" s="320"/>
      <c r="BL11" s="320"/>
      <c r="BM11" s="320"/>
      <c r="BN11" s="320"/>
    </row>
    <row r="12" spans="1:66" ht="11.25" hidden="1" customHeight="1">
      <c r="A12" s="320"/>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row>
    <row r="13" spans="1:66" ht="11.25" hidden="1" customHeight="1">
      <c r="A13" s="320"/>
      <c r="B13" s="320"/>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c r="BC13" s="320"/>
      <c r="BD13" s="320"/>
      <c r="BE13" s="320"/>
      <c r="BF13" s="320"/>
      <c r="BG13" s="320"/>
      <c r="BH13" s="320"/>
      <c r="BI13" s="320"/>
      <c r="BJ13" s="320"/>
      <c r="BK13" s="320"/>
      <c r="BL13" s="320"/>
      <c r="BM13" s="320"/>
      <c r="BN13" s="320"/>
    </row>
    <row r="14" spans="1:66" ht="11.25" hidden="1" customHeight="1">
      <c r="A14" s="320"/>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c r="BC14" s="320"/>
      <c r="BD14" s="320"/>
      <c r="BE14" s="320"/>
      <c r="BF14" s="320"/>
      <c r="BG14" s="320"/>
      <c r="BH14" s="320"/>
      <c r="BI14" s="320"/>
      <c r="BJ14" s="320"/>
      <c r="BK14" s="320"/>
      <c r="BL14" s="320"/>
      <c r="BM14" s="320"/>
      <c r="BN14" s="320"/>
    </row>
    <row r="15" spans="1:66" ht="11.25" hidden="1" customHeight="1">
      <c r="A15" s="320"/>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0"/>
      <c r="BG15" s="320"/>
      <c r="BH15" s="320"/>
      <c r="BI15" s="320"/>
      <c r="BJ15" s="320"/>
      <c r="BK15" s="320"/>
      <c r="BL15" s="320"/>
      <c r="BM15" s="320"/>
      <c r="BN15" s="320"/>
    </row>
    <row r="16" spans="1:66" ht="11.25" hidden="1" customHeight="1">
      <c r="A16" s="320"/>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320"/>
      <c r="BM16" s="320"/>
      <c r="BN16" s="320"/>
    </row>
    <row r="17" spans="1:66" ht="11.25" hidden="1" customHeight="1">
      <c r="A17" s="320"/>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c r="BC17" s="320"/>
      <c r="BD17" s="320"/>
      <c r="BE17" s="320"/>
      <c r="BF17" s="320"/>
      <c r="BG17" s="320"/>
      <c r="BH17" s="320"/>
      <c r="BI17" s="320"/>
      <c r="BJ17" s="320"/>
      <c r="BK17" s="320"/>
      <c r="BL17" s="320"/>
      <c r="BM17" s="320"/>
      <c r="BN17" s="320"/>
    </row>
    <row r="18" spans="1:66" ht="11.25" hidden="1" customHeight="1">
      <c r="A18" s="320"/>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row>
    <row r="19" spans="1:66" ht="11.25" hidden="1" customHeight="1">
      <c r="A19" s="320"/>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c r="BC19" s="320"/>
      <c r="BD19" s="320"/>
      <c r="BE19" s="320"/>
      <c r="BF19" s="320"/>
      <c r="BG19" s="320"/>
      <c r="BH19" s="320"/>
      <c r="BI19" s="320"/>
      <c r="BJ19" s="320"/>
      <c r="BK19" s="320"/>
      <c r="BL19" s="320"/>
      <c r="BM19" s="320"/>
      <c r="BN19" s="320"/>
    </row>
    <row r="20" spans="1:66" ht="11.25" hidden="1" customHeight="1">
      <c r="A20" s="320"/>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c r="BC20" s="320"/>
      <c r="BD20" s="320"/>
      <c r="BE20" s="320"/>
      <c r="BF20" s="320"/>
      <c r="BG20" s="320"/>
      <c r="BH20" s="320"/>
      <c r="BI20" s="320"/>
      <c r="BJ20" s="320"/>
      <c r="BK20" s="320"/>
      <c r="BL20" s="320"/>
      <c r="BM20" s="320"/>
      <c r="BN20" s="320"/>
    </row>
    <row r="21" spans="1:66" ht="14.65" customHeight="1">
      <c r="A21" s="320"/>
      <c r="B21" s="320"/>
      <c r="C21" s="320"/>
      <c r="D21" s="320"/>
      <c r="E21" s="843">
        <v>15</v>
      </c>
      <c r="F21" s="320"/>
      <c r="G21" s="320"/>
      <c r="H21" s="320"/>
      <c r="I21" s="320"/>
      <c r="J21" s="320"/>
      <c r="K21" s="320"/>
      <c r="L21" s="320"/>
      <c r="M21" s="320"/>
      <c r="N21" s="320"/>
      <c r="O21" s="320"/>
      <c r="P21" s="320"/>
      <c r="Q21" s="320"/>
      <c r="R21" s="320"/>
      <c r="S21" s="320"/>
      <c r="T21" s="320"/>
      <c r="U21" s="320"/>
      <c r="V21" s="320"/>
      <c r="W21" s="320"/>
      <c r="X21" s="320"/>
      <c r="Y21" s="320"/>
      <c r="Z21" s="320"/>
      <c r="AA21" s="852"/>
      <c r="AB21" s="320"/>
      <c r="AC21" s="853" t="str" cm="1">
        <f t="array" ref="AC21">tpl_title</f>
        <v>Кемеровская область / 2026 / МУП "Водоканал" (ИНН:4202043124, КПП:420201001) / ДПР: 2026-2028</v>
      </c>
      <c r="AD21" s="854"/>
      <c r="AE21" s="855"/>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c r="BC21" s="320"/>
      <c r="BD21" s="320"/>
      <c r="BE21" s="320"/>
      <c r="BF21" s="320"/>
      <c r="BG21" s="320"/>
      <c r="BH21" s="320"/>
      <c r="BI21" s="320"/>
      <c r="BJ21" s="320"/>
      <c r="BK21" s="320"/>
      <c r="BL21" s="320"/>
      <c r="BM21" s="320"/>
      <c r="BN21" s="320"/>
    </row>
    <row r="22" spans="1:66" ht="21.95" customHeight="1">
      <c r="A22" s="320"/>
      <c r="B22" s="320"/>
      <c r="C22" s="320"/>
      <c r="D22" s="320"/>
      <c r="E22" s="843">
        <v>22.5</v>
      </c>
      <c r="F22" s="320"/>
      <c r="G22" s="320"/>
      <c r="H22" s="320"/>
      <c r="I22" s="320"/>
      <c r="J22" s="320"/>
      <c r="K22" s="320"/>
      <c r="L22" s="320"/>
      <c r="M22" s="320"/>
      <c r="N22" s="320"/>
      <c r="O22" s="320"/>
      <c r="P22" s="320"/>
      <c r="Q22" s="320"/>
      <c r="R22" s="320"/>
      <c r="S22" s="320"/>
      <c r="T22" s="320"/>
      <c r="U22" s="320"/>
      <c r="V22" s="320"/>
      <c r="W22" s="320"/>
      <c r="X22" s="320"/>
      <c r="Y22" s="320"/>
      <c r="Z22" s="320"/>
      <c r="AA22" s="320"/>
      <c r="AB22" s="856" t="s">
        <v>519</v>
      </c>
      <c r="AC22" s="857"/>
      <c r="AD22" s="857"/>
      <c r="AE22" s="857"/>
      <c r="AF22" s="857"/>
      <c r="AG22" s="858"/>
      <c r="AH22" s="858"/>
      <c r="AI22" s="798"/>
      <c r="AJ22" s="798"/>
      <c r="AK22" s="798"/>
      <c r="AL22" s="798"/>
      <c r="AM22" s="798"/>
      <c r="AN22" s="798"/>
      <c r="AO22" s="798"/>
      <c r="AP22" s="798"/>
      <c r="AQ22" s="798"/>
      <c r="AR22" s="858"/>
      <c r="AS22" s="798"/>
      <c r="AT22" s="798"/>
      <c r="AU22" s="798"/>
      <c r="AV22" s="798"/>
      <c r="AW22" s="798"/>
      <c r="AX22" s="798"/>
      <c r="AY22" s="798"/>
      <c r="AZ22" s="798"/>
      <c r="BA22" s="798"/>
      <c r="BB22" s="320"/>
      <c r="BC22" s="320"/>
      <c r="BD22" s="320"/>
      <c r="BE22" s="320"/>
      <c r="BF22" s="320"/>
      <c r="BG22" s="320"/>
      <c r="BH22" s="320"/>
      <c r="BI22" s="320"/>
      <c r="BJ22" s="320"/>
      <c r="BK22" s="320"/>
      <c r="BL22" s="320"/>
      <c r="BM22" s="320"/>
      <c r="BN22" s="320"/>
    </row>
    <row r="23" spans="1:66" ht="14.65" customHeight="1">
      <c r="A23" s="320"/>
      <c r="B23" s="842"/>
      <c r="C23" s="320"/>
      <c r="D23" s="320"/>
      <c r="E23" s="859">
        <v>15</v>
      </c>
      <c r="F23" s="837"/>
      <c r="G23" s="320"/>
      <c r="H23" s="320"/>
      <c r="I23" s="320"/>
      <c r="J23" s="320"/>
      <c r="K23" s="320"/>
      <c r="L23" s="320"/>
      <c r="M23" s="320"/>
      <c r="N23" s="320"/>
      <c r="O23" s="320"/>
      <c r="P23" s="320"/>
      <c r="Q23" s="320"/>
      <c r="R23" s="320"/>
      <c r="S23" s="320"/>
      <c r="T23" s="320"/>
      <c r="U23" s="320"/>
      <c r="V23" s="320"/>
      <c r="W23" s="320"/>
      <c r="X23" s="320"/>
      <c r="Y23" s="320"/>
      <c r="Z23" s="320"/>
      <c r="AA23" s="842"/>
      <c r="AB23" s="860"/>
      <c r="AC23" s="861"/>
      <c r="AD23" s="862"/>
      <c r="AE23" s="863"/>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c r="BC23" s="666"/>
      <c r="BD23" s="277"/>
      <c r="BE23" s="277"/>
      <c r="BF23" s="277"/>
      <c r="BG23" s="277"/>
      <c r="BH23" s="277"/>
      <c r="BI23" s="320"/>
      <c r="BJ23" s="320"/>
      <c r="BK23" s="320"/>
      <c r="BL23" s="320"/>
      <c r="BM23" s="320"/>
      <c r="BN23" s="320"/>
    </row>
    <row r="24" spans="1:66" ht="24.6" customHeight="1">
      <c r="A24" s="320"/>
      <c r="B24" s="320"/>
      <c r="C24" s="320"/>
      <c r="D24" s="320"/>
      <c r="E24" s="843">
        <v>15</v>
      </c>
      <c r="F24" s="320"/>
      <c r="G24" s="320"/>
      <c r="H24" s="320"/>
      <c r="I24" s="320"/>
      <c r="J24" s="320"/>
      <c r="K24" s="320"/>
      <c r="L24" s="320"/>
      <c r="M24" s="320"/>
      <c r="N24" s="320"/>
      <c r="O24" s="320"/>
      <c r="P24" s="320"/>
      <c r="Q24" s="320"/>
      <c r="R24" s="320"/>
      <c r="S24" s="320"/>
      <c r="T24" s="320"/>
      <c r="U24" s="320"/>
      <c r="V24" s="320"/>
      <c r="W24" s="320"/>
      <c r="X24" s="320"/>
      <c r="Y24" s="320"/>
      <c r="Z24" s="320"/>
      <c r="AA24" s="320"/>
      <c r="AB24" s="1027" t="s">
        <v>21</v>
      </c>
      <c r="AC24" s="1027" t="s">
        <v>494</v>
      </c>
      <c r="AD24" s="1027" t="s">
        <v>359</v>
      </c>
      <c r="AE24" s="864" t="str">
        <f>god-2&amp;" год"</f>
        <v>2024 год</v>
      </c>
      <c r="AF24" s="865" t="str">
        <f>god-2&amp;" год"</f>
        <v>2024 год</v>
      </c>
      <c r="AG24" s="864" t="str">
        <f>god-1&amp;" год"</f>
        <v>2025 год</v>
      </c>
      <c r="AH24" s="865" t="str">
        <f>god&amp;" год"</f>
        <v>2026 год</v>
      </c>
      <c r="AI24" s="799" t="str">
        <f>god+1&amp;" год"</f>
        <v>2027 год</v>
      </c>
      <c r="AJ24" s="799" t="str">
        <f>god+2&amp;" год"</f>
        <v>2028 год</v>
      </c>
      <c r="AK24" s="799" t="str">
        <f>god+3&amp;" год"</f>
        <v>2029 год</v>
      </c>
      <c r="AL24" s="799" t="str">
        <f>god+4&amp;" год"</f>
        <v>2030 год</v>
      </c>
      <c r="AM24" s="799" t="str">
        <f>god+5&amp;" год"</f>
        <v>2031 год</v>
      </c>
      <c r="AN24" s="799" t="str">
        <f>god+6&amp;" год"</f>
        <v>2032 год</v>
      </c>
      <c r="AO24" s="799" t="str">
        <f>god+7&amp;" год"</f>
        <v>2033 год</v>
      </c>
      <c r="AP24" s="799" t="str">
        <f>god+8&amp;" год"</f>
        <v>2034 год</v>
      </c>
      <c r="AQ24" s="799" t="str">
        <f>god+9&amp;" год"</f>
        <v>2035 год</v>
      </c>
      <c r="AR24" s="864"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20"/>
      <c r="BC24" s="320"/>
      <c r="BD24" s="320"/>
      <c r="BE24" s="320"/>
      <c r="BF24" s="320"/>
      <c r="BG24" s="320"/>
      <c r="BH24" s="320"/>
      <c r="BI24" s="320"/>
      <c r="BJ24" s="320"/>
      <c r="BK24" s="320"/>
      <c r="BL24" s="320"/>
      <c r="BM24" s="320"/>
      <c r="BN24" s="320"/>
    </row>
    <row r="25" spans="1:66" ht="67.349999999999994" customHeight="1">
      <c r="A25" s="320"/>
      <c r="B25" s="320"/>
      <c r="C25" s="320"/>
      <c r="D25" s="320"/>
      <c r="E25" s="843">
        <v>69</v>
      </c>
      <c r="F25" s="320"/>
      <c r="G25" s="320"/>
      <c r="H25" s="320"/>
      <c r="I25" s="320"/>
      <c r="J25" s="320"/>
      <c r="K25" s="320"/>
      <c r="L25" s="320"/>
      <c r="M25" s="320"/>
      <c r="N25" s="320"/>
      <c r="O25" s="320"/>
      <c r="P25" s="320"/>
      <c r="Q25" s="320"/>
      <c r="R25" s="320"/>
      <c r="S25" s="320"/>
      <c r="T25" s="320"/>
      <c r="U25" s="320"/>
      <c r="V25" s="320"/>
      <c r="W25" s="320"/>
      <c r="X25" s="320"/>
      <c r="Y25" s="320"/>
      <c r="Z25" s="320"/>
      <c r="AA25" s="320"/>
      <c r="AB25" s="1027"/>
      <c r="AC25" s="1027"/>
      <c r="AD25" s="1027"/>
      <c r="AE25" s="866" t="s">
        <v>351</v>
      </c>
      <c r="AF25" s="867" t="s">
        <v>495</v>
      </c>
      <c r="AG25" s="864" t="s">
        <v>351</v>
      </c>
      <c r="AH25" s="867" t="s">
        <v>352</v>
      </c>
      <c r="AI25" s="800" t="s">
        <v>352</v>
      </c>
      <c r="AJ25" s="800" t="s">
        <v>352</v>
      </c>
      <c r="AK25" s="800" t="s">
        <v>352</v>
      </c>
      <c r="AL25" s="800" t="s">
        <v>352</v>
      </c>
      <c r="AM25" s="800" t="s">
        <v>352</v>
      </c>
      <c r="AN25" s="800" t="s">
        <v>352</v>
      </c>
      <c r="AO25" s="800" t="s">
        <v>352</v>
      </c>
      <c r="AP25" s="800" t="s">
        <v>352</v>
      </c>
      <c r="AQ25" s="800" t="s">
        <v>352</v>
      </c>
      <c r="AR25" s="864" t="s">
        <v>351</v>
      </c>
      <c r="AS25" s="12" t="s">
        <v>351</v>
      </c>
      <c r="AT25" s="12" t="s">
        <v>351</v>
      </c>
      <c r="AU25" s="12" t="s">
        <v>351</v>
      </c>
      <c r="AV25" s="12" t="s">
        <v>351</v>
      </c>
      <c r="AW25" s="12" t="s">
        <v>351</v>
      </c>
      <c r="AX25" s="12" t="s">
        <v>351</v>
      </c>
      <c r="AY25" s="12" t="s">
        <v>351</v>
      </c>
      <c r="AZ25" s="12" t="s">
        <v>351</v>
      </c>
      <c r="BA25" s="12" t="s">
        <v>351</v>
      </c>
      <c r="BB25" s="320"/>
      <c r="BC25" s="320"/>
      <c r="BD25" s="320"/>
      <c r="BE25" s="320"/>
      <c r="BF25" s="320"/>
      <c r="BG25" s="320"/>
      <c r="BH25" s="320"/>
      <c r="BI25" s="320"/>
      <c r="BJ25" s="320"/>
      <c r="BK25" s="320"/>
      <c r="BL25" s="320"/>
      <c r="BM25" s="320"/>
      <c r="BN25" s="320"/>
    </row>
    <row r="26" spans="1:66" s="12" customFormat="1" ht="11.25" hidden="1" customHeight="1">
      <c r="A26" s="868"/>
      <c r="B26" s="869"/>
      <c r="C26" s="868"/>
      <c r="D26" s="868"/>
      <c r="E26" s="870">
        <v>0</v>
      </c>
      <c r="F26" s="277"/>
      <c r="G26" s="868"/>
      <c r="H26" s="868"/>
      <c r="I26" s="868"/>
      <c r="J26" s="868"/>
      <c r="K26" s="868"/>
      <c r="L26" s="868"/>
      <c r="M26" s="868"/>
      <c r="N26" s="868"/>
      <c r="O26" s="868"/>
      <c r="P26" s="868"/>
      <c r="Q26" s="868"/>
      <c r="R26" s="868"/>
      <c r="S26" s="868"/>
      <c r="T26" s="868"/>
      <c r="U26" s="868"/>
      <c r="V26" s="868"/>
      <c r="W26" s="868"/>
      <c r="X26" s="868"/>
      <c r="Y26" s="868"/>
      <c r="Z26" s="868"/>
      <c r="AA26" s="320"/>
      <c r="AB26" s="871"/>
      <c r="AC26" s="872"/>
      <c r="AD26" s="855"/>
      <c r="AE26" s="873"/>
      <c r="AF26" s="873"/>
      <c r="AG26" s="873"/>
      <c r="AH26" s="873"/>
      <c r="AI26" s="626"/>
      <c r="AJ26" s="626"/>
      <c r="AK26" s="626"/>
      <c r="AL26" s="626"/>
      <c r="AM26" s="626"/>
      <c r="AN26" s="626"/>
      <c r="AO26" s="626"/>
      <c r="AP26" s="626"/>
      <c r="AQ26" s="626"/>
      <c r="AR26" s="873"/>
      <c r="AS26" s="626"/>
      <c r="AT26" s="626"/>
      <c r="AU26" s="626"/>
      <c r="AV26" s="626"/>
      <c r="AW26" s="626"/>
      <c r="AX26" s="626"/>
      <c r="AY26" s="626"/>
      <c r="AZ26" s="626"/>
      <c r="BA26" s="626"/>
      <c r="BB26" s="320"/>
      <c r="BC26" s="659"/>
      <c r="BD26" s="277"/>
      <c r="BE26" s="277"/>
      <c r="BF26" s="277"/>
      <c r="BG26" s="277"/>
      <c r="BH26" s="277"/>
      <c r="BI26" s="320"/>
      <c r="BJ26" s="320"/>
      <c r="BK26" s="320"/>
      <c r="BL26" s="320"/>
      <c r="BM26" s="320"/>
      <c r="BN26" s="320"/>
    </row>
    <row r="27" spans="1:66" s="16" customFormat="1" ht="14.65" hidden="1" customHeight="1">
      <c r="A27" s="320"/>
      <c r="B27" s="325"/>
      <c r="C27" s="320"/>
      <c r="D27" s="320"/>
      <c r="E27" s="457">
        <v>15</v>
      </c>
      <c r="F27" s="274" cm="1">
        <f t="array" ref="F27">Y27</f>
        <v>0</v>
      </c>
      <c r="G27" s="320"/>
      <c r="H27" s="320"/>
      <c r="I27" s="320"/>
      <c r="J27" s="320"/>
      <c r="K27" s="320"/>
      <c r="L27" s="320"/>
      <c r="M27" s="320"/>
      <c r="N27" s="320"/>
      <c r="O27" s="320"/>
      <c r="P27" s="320"/>
      <c r="Q27" s="320"/>
      <c r="R27" s="320"/>
      <c r="S27" s="320"/>
      <c r="T27" s="320"/>
      <c r="U27" s="320"/>
      <c r="V27" s="351" t="b">
        <f>Y27&gt;0</f>
        <v>0</v>
      </c>
      <c r="W27" s="320"/>
      <c r="X27" s="60" t="s">
        <v>266</v>
      </c>
      <c r="Y27" s="998">
        <v>0</v>
      </c>
      <c r="Z27" s="1026"/>
      <c r="AA27" s="320"/>
      <c r="AB27" s="801" t="str" cm="1">
        <f t="array" ref="AB27">INDEX('Общие сведения'!$AG$179:$AG$208,MATCH($Y27,'Общие сведения'!$Z$179:$Z$208,0))</f>
        <v xml:space="preserve">Тариф 0 () - </v>
      </c>
      <c r="AC27" s="802"/>
      <c r="AD27" s="803"/>
      <c r="AE27" s="803"/>
      <c r="AF27" s="803"/>
      <c r="AG27" s="803"/>
      <c r="AH27" s="803"/>
      <c r="AI27" s="803"/>
      <c r="AJ27" s="803"/>
      <c r="AK27" s="803"/>
      <c r="AL27" s="803"/>
      <c r="AM27" s="803"/>
      <c r="AN27" s="803"/>
      <c r="AO27" s="803"/>
      <c r="AP27" s="803"/>
      <c r="AQ27" s="803"/>
      <c r="AR27" s="803"/>
      <c r="AS27" s="803"/>
      <c r="AT27" s="803"/>
      <c r="AU27" s="803"/>
      <c r="AV27" s="803"/>
      <c r="AW27" s="803"/>
      <c r="AX27" s="803"/>
      <c r="AY27" s="803"/>
      <c r="AZ27" s="803"/>
      <c r="BA27" s="803"/>
      <c r="BB27" s="320"/>
      <c r="BC27" s="667"/>
      <c r="BD27" s="277"/>
      <c r="BE27" s="277"/>
      <c r="BF27" s="277"/>
      <c r="BG27" s="277"/>
      <c r="BH27" s="277"/>
      <c r="BI27" s="320"/>
      <c r="BJ27" s="320"/>
      <c r="BK27" s="320"/>
      <c r="BL27" s="320"/>
      <c r="BM27" s="320"/>
      <c r="BN27" s="320"/>
    </row>
    <row r="28" spans="1:66" ht="21.95" hidden="1" customHeight="1">
      <c r="A28" s="320"/>
      <c r="B28" s="277"/>
      <c r="C28" s="320"/>
      <c r="D28" s="320"/>
      <c r="E28" s="446">
        <v>22.5</v>
      </c>
      <c r="F28" s="266" cm="1">
        <f t="array" aca="1" ref="F28" ca="1">OFFSET(E28,-1,1)</f>
        <v>0</v>
      </c>
      <c r="G28" s="320"/>
      <c r="H28" s="320"/>
      <c r="I28" s="320"/>
      <c r="J28" s="320"/>
      <c r="K28" s="320"/>
      <c r="L28" s="320"/>
      <c r="M28" s="320"/>
      <c r="N28" s="320"/>
      <c r="O28" s="320"/>
      <c r="P28" s="320"/>
      <c r="Q28" s="320"/>
      <c r="R28" s="320"/>
      <c r="S28" s="320"/>
      <c r="T28" s="320"/>
      <c r="U28" s="320"/>
      <c r="V28" s="351" t="b" cm="1">
        <f t="array" ref="V28">V27</f>
        <v>0</v>
      </c>
      <c r="W28" s="320"/>
      <c r="X28" s="320"/>
      <c r="Y28" s="998"/>
      <c r="Z28" s="1026"/>
      <c r="AA28" s="320"/>
      <c r="AB28" s="49">
        <v>1</v>
      </c>
      <c r="AC28" s="51" t="s">
        <v>519</v>
      </c>
      <c r="AD28" s="52"/>
      <c r="AE28" s="822"/>
      <c r="AF28" s="822"/>
      <c r="AG28" s="822"/>
      <c r="AH28" s="822"/>
      <c r="AI28" s="187"/>
      <c r="AJ28" s="822"/>
      <c r="AK28" s="822"/>
      <c r="AL28" s="822"/>
      <c r="AM28" s="822"/>
      <c r="AN28" s="822"/>
      <c r="AO28" s="822"/>
      <c r="AP28" s="822"/>
      <c r="AQ28" s="822"/>
      <c r="AR28" s="822"/>
      <c r="AS28" s="187"/>
      <c r="AT28" s="822"/>
      <c r="AU28" s="822"/>
      <c r="AV28" s="822"/>
      <c r="AW28" s="822"/>
      <c r="AX28" s="822"/>
      <c r="AY28" s="822"/>
      <c r="AZ28" s="822"/>
      <c r="BA28" s="822"/>
      <c r="BB28" s="320"/>
      <c r="BC28" s="654" t="s">
        <v>573</v>
      </c>
      <c r="BD28" s="320"/>
      <c r="BE28" s="320"/>
      <c r="BF28" s="320"/>
      <c r="BG28" s="320"/>
      <c r="BH28" s="320"/>
      <c r="BI28" s="320"/>
      <c r="BJ28" s="320"/>
      <c r="BK28" s="320"/>
      <c r="BL28" s="320"/>
      <c r="BM28" s="320"/>
      <c r="BN28" s="320"/>
    </row>
    <row r="29" spans="1:66" ht="23.45" hidden="1" customHeight="1">
      <c r="A29" s="320"/>
      <c r="B29" s="320"/>
      <c r="C29" s="320"/>
      <c r="D29" s="320"/>
      <c r="E29" s="446">
        <v>24</v>
      </c>
      <c r="F29" s="266" cm="1">
        <f t="array" aca="1" ref="F29" ca="1">OFFSET(E29,-1,1)</f>
        <v>0</v>
      </c>
      <c r="G29" s="320"/>
      <c r="H29" s="320"/>
      <c r="I29" s="320"/>
      <c r="J29" s="320"/>
      <c r="K29" s="320"/>
      <c r="L29" s="320"/>
      <c r="M29" s="320"/>
      <c r="N29" s="320"/>
      <c r="O29" s="320"/>
      <c r="P29" s="320"/>
      <c r="Q29" s="320"/>
      <c r="R29" s="320"/>
      <c r="S29" s="320"/>
      <c r="T29" s="320"/>
      <c r="U29" s="320"/>
      <c r="V29" s="351" t="b" cm="1">
        <f t="array" ref="V29">V28</f>
        <v>0</v>
      </c>
      <c r="W29" s="320"/>
      <c r="X29" s="320"/>
      <c r="Y29" s="998"/>
      <c r="Z29" s="1026"/>
      <c r="AA29" s="320"/>
      <c r="AB29" s="49">
        <v>2</v>
      </c>
      <c r="AC29" s="51" t="s">
        <v>574</v>
      </c>
      <c r="AD29" s="52" t="s">
        <v>501</v>
      </c>
      <c r="AE29" s="822"/>
      <c r="AF29" s="822"/>
      <c r="AG29" s="822"/>
      <c r="AH29" s="822"/>
      <c r="AI29" s="187"/>
      <c r="AJ29" s="822"/>
      <c r="AK29" s="822"/>
      <c r="AL29" s="822"/>
      <c r="AM29" s="822"/>
      <c r="AN29" s="822"/>
      <c r="AO29" s="822"/>
      <c r="AP29" s="822"/>
      <c r="AQ29" s="822"/>
      <c r="AR29" s="822"/>
      <c r="AS29" s="187"/>
      <c r="AT29" s="822"/>
      <c r="AU29" s="822"/>
      <c r="AV29" s="822"/>
      <c r="AW29" s="822"/>
      <c r="AX29" s="822"/>
      <c r="AY29" s="822"/>
      <c r="AZ29" s="822"/>
      <c r="BA29" s="822"/>
      <c r="BB29" s="320"/>
      <c r="BC29" s="654" t="s">
        <v>575</v>
      </c>
      <c r="BD29" s="320"/>
      <c r="BE29" s="320"/>
      <c r="BF29" s="320"/>
      <c r="BG29" s="320"/>
      <c r="BH29" s="320"/>
      <c r="BI29" s="320"/>
      <c r="BJ29" s="320"/>
      <c r="BK29" s="320"/>
      <c r="BL29" s="320"/>
      <c r="BM29" s="320"/>
      <c r="BN29" s="320"/>
    </row>
    <row r="30" spans="1:66" ht="69.400000000000006" hidden="1" customHeight="1">
      <c r="A30" s="320"/>
      <c r="B30" s="320"/>
      <c r="C30" s="320"/>
      <c r="D30" s="320"/>
      <c r="E30" s="446">
        <v>71.25</v>
      </c>
      <c r="F30" s="266" cm="1">
        <f t="array" aca="1" ref="F30" ca="1">OFFSET(E30,-1,1)</f>
        <v>0</v>
      </c>
      <c r="G30" s="320"/>
      <c r="H30" s="320"/>
      <c r="I30" s="320"/>
      <c r="J30" s="320"/>
      <c r="K30" s="320"/>
      <c r="L30" s="320"/>
      <c r="M30" s="320"/>
      <c r="N30" s="320"/>
      <c r="O30" s="320"/>
      <c r="P30" s="320"/>
      <c r="Q30" s="320"/>
      <c r="R30" s="320"/>
      <c r="S30" s="320"/>
      <c r="T30" s="320"/>
      <c r="U30" s="320"/>
      <c r="V30" s="351" t="b" cm="1">
        <f t="array" ref="V30">V29</f>
        <v>0</v>
      </c>
      <c r="W30" s="320"/>
      <c r="X30" s="320"/>
      <c r="Y30" s="998"/>
      <c r="Z30" s="1026"/>
      <c r="AA30" s="320"/>
      <c r="AB30" s="49">
        <v>3</v>
      </c>
      <c r="AC30" s="53" t="s">
        <v>576</v>
      </c>
      <c r="AD30" s="52" t="s">
        <v>501</v>
      </c>
      <c r="AE30" s="822"/>
      <c r="AF30" s="822"/>
      <c r="AG30" s="822"/>
      <c r="AH30" s="822"/>
      <c r="AI30" s="187"/>
      <c r="AJ30" s="822"/>
      <c r="AK30" s="822"/>
      <c r="AL30" s="822"/>
      <c r="AM30" s="822"/>
      <c r="AN30" s="822"/>
      <c r="AO30" s="822"/>
      <c r="AP30" s="822"/>
      <c r="AQ30" s="822"/>
      <c r="AR30" s="822"/>
      <c r="AS30" s="187"/>
      <c r="AT30" s="822"/>
      <c r="AU30" s="822"/>
      <c r="AV30" s="822"/>
      <c r="AW30" s="822"/>
      <c r="AX30" s="822"/>
      <c r="AY30" s="822"/>
      <c r="AZ30" s="822"/>
      <c r="BA30" s="822"/>
      <c r="BB30" s="320"/>
      <c r="BC30" s="654" t="s">
        <v>577</v>
      </c>
      <c r="BD30" s="320"/>
      <c r="BE30" s="320"/>
      <c r="BF30" s="320"/>
      <c r="BG30" s="320"/>
      <c r="BH30" s="320"/>
      <c r="BI30" s="320"/>
      <c r="BJ30" s="320"/>
      <c r="BK30" s="320"/>
      <c r="BL30" s="320"/>
      <c r="BM30" s="320"/>
      <c r="BN30" s="320"/>
    </row>
    <row r="31" spans="1:66" ht="24.2" hidden="1" customHeight="1">
      <c r="A31" s="320"/>
      <c r="B31" s="277"/>
      <c r="C31" s="320"/>
      <c r="D31" s="320"/>
      <c r="E31" s="446">
        <v>24.75</v>
      </c>
      <c r="F31" s="266" cm="1">
        <f t="array" aca="1" ref="F31" ca="1">OFFSET(E31,-1,1)</f>
        <v>0</v>
      </c>
      <c r="G31" s="320"/>
      <c r="H31" s="320"/>
      <c r="I31" s="320"/>
      <c r="J31" s="320"/>
      <c r="K31" s="320"/>
      <c r="L31" s="320"/>
      <c r="M31" s="320"/>
      <c r="N31" s="320"/>
      <c r="O31" s="320"/>
      <c r="P31" s="320"/>
      <c r="Q31" s="320"/>
      <c r="R31" s="320"/>
      <c r="S31" s="320"/>
      <c r="T31" s="320"/>
      <c r="U31" s="320"/>
      <c r="V31" s="351" t="b" cm="1">
        <f t="array" ref="V31">V30</f>
        <v>0</v>
      </c>
      <c r="W31" s="320"/>
      <c r="X31" s="320"/>
      <c r="Y31" s="998"/>
      <c r="Z31" s="1026"/>
      <c r="AA31" s="320"/>
      <c r="AB31" s="49">
        <v>4</v>
      </c>
      <c r="AC31" s="51" t="s">
        <v>508</v>
      </c>
      <c r="AD31" s="52"/>
      <c r="AE31" s="822"/>
      <c r="AF31" s="822"/>
      <c r="AG31" s="822"/>
      <c r="AH31" s="822"/>
      <c r="AI31" s="187"/>
      <c r="AJ31" s="822"/>
      <c r="AK31" s="822"/>
      <c r="AL31" s="822"/>
      <c r="AM31" s="822"/>
      <c r="AN31" s="822"/>
      <c r="AO31" s="822"/>
      <c r="AP31" s="822"/>
      <c r="AQ31" s="822"/>
      <c r="AR31" s="822"/>
      <c r="AS31" s="187"/>
      <c r="AT31" s="822"/>
      <c r="AU31" s="822"/>
      <c r="AV31" s="822"/>
      <c r="AW31" s="822"/>
      <c r="AX31" s="822"/>
      <c r="AY31" s="822"/>
      <c r="AZ31" s="822"/>
      <c r="BA31" s="822"/>
      <c r="BB31" s="320"/>
      <c r="BC31" s="654" t="s">
        <v>578</v>
      </c>
      <c r="BD31" s="320"/>
      <c r="BE31" s="320"/>
      <c r="BF31" s="320"/>
      <c r="BG31" s="320"/>
      <c r="BH31" s="320"/>
      <c r="BI31" s="320"/>
      <c r="BJ31" s="320"/>
      <c r="BK31" s="320"/>
      <c r="BL31" s="320"/>
      <c r="BM31" s="320"/>
      <c r="BN31" s="320"/>
    </row>
    <row r="32" spans="1:66" s="874" customFormat="1" ht="26.45" customHeight="1">
      <c r="A32" s="320"/>
      <c r="B32" s="325"/>
      <c r="C32" s="320"/>
      <c r="D32" s="320"/>
      <c r="E32" s="457">
        <v>15</v>
      </c>
      <c r="F32" s="274" t="str" cm="1">
        <f t="array" ref="F32">Y32</f>
        <v>1</v>
      </c>
      <c r="G32" s="320"/>
      <c r="H32" s="320"/>
      <c r="I32" s="320"/>
      <c r="J32" s="320"/>
      <c r="K32" s="320"/>
      <c r="L32" s="320"/>
      <c r="M32" s="320"/>
      <c r="N32" s="320"/>
      <c r="O32" s="320"/>
      <c r="P32" s="320"/>
      <c r="Q32" s="320"/>
      <c r="R32" s="320"/>
      <c r="S32" s="320"/>
      <c r="T32" s="320"/>
      <c r="U32" s="320"/>
      <c r="V32" s="351" t="b">
        <f>Y32&gt;0</f>
        <v>1</v>
      </c>
      <c r="W32" s="320"/>
      <c r="X32" s="60" t="str" cm="1">
        <f t="array" ref="X32">Сценарии!$AB$55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Y32" s="998" t="s">
        <v>277</v>
      </c>
      <c r="Z32" s="1026"/>
      <c r="AA32" s="320"/>
      <c r="AB32" s="801" t="str" cm="1">
        <f t="array" ref="AB32">Сценарии!$AB$55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2" s="802"/>
      <c r="AD32" s="803"/>
      <c r="AE32" s="803"/>
      <c r="AF32" s="803"/>
      <c r="AG32" s="803"/>
      <c r="AH32" s="803"/>
      <c r="AI32" s="803"/>
      <c r="AJ32" s="803"/>
      <c r="AK32" s="803"/>
      <c r="AL32" s="803"/>
      <c r="AM32" s="803"/>
      <c r="AN32" s="803"/>
      <c r="AO32" s="803"/>
      <c r="AP32" s="803"/>
      <c r="AQ32" s="803"/>
      <c r="AR32" s="803"/>
      <c r="AS32" s="803"/>
      <c r="AT32" s="803"/>
      <c r="AU32" s="803"/>
      <c r="AV32" s="803"/>
      <c r="AW32" s="803"/>
      <c r="AX32" s="803"/>
      <c r="AY32" s="803"/>
      <c r="AZ32" s="803"/>
      <c r="BA32" s="803"/>
      <c r="BB32" s="320"/>
      <c r="BC32" s="667"/>
      <c r="BD32" s="277"/>
      <c r="BE32" s="277"/>
      <c r="BF32" s="277"/>
      <c r="BG32" s="277"/>
      <c r="BH32" s="277"/>
      <c r="BI32" s="320"/>
      <c r="BJ32" s="320"/>
      <c r="BK32" s="320"/>
      <c r="BL32" s="320"/>
      <c r="BM32" s="320"/>
      <c r="BN32" s="320"/>
    </row>
    <row r="33" spans="1:66" ht="33.6" customHeight="1">
      <c r="A33" s="320"/>
      <c r="B33" s="277"/>
      <c r="C33" s="320"/>
      <c r="D33" s="320"/>
      <c r="E33" s="446">
        <v>22.5</v>
      </c>
      <c r="F33" s="266" t="str" cm="1">
        <f t="array" aca="1" ref="F33" ca="1">OFFSET(E33,-1,1)</f>
        <v>1</v>
      </c>
      <c r="G33" s="320"/>
      <c r="H33" s="320"/>
      <c r="I33" s="320"/>
      <c r="J33" s="320"/>
      <c r="K33" s="320"/>
      <c r="L33" s="320"/>
      <c r="M33" s="320"/>
      <c r="N33" s="320"/>
      <c r="O33" s="320"/>
      <c r="P33" s="320"/>
      <c r="Q33" s="320"/>
      <c r="R33" s="320"/>
      <c r="S33" s="320"/>
      <c r="T33" s="320"/>
      <c r="U33" s="320"/>
      <c r="V33" s="351" t="b" cm="1">
        <f t="array" ref="V33">V32</f>
        <v>1</v>
      </c>
      <c r="W33" s="320"/>
      <c r="X33" s="320"/>
      <c r="Y33" s="998"/>
      <c r="Z33" s="1026"/>
      <c r="AA33" s="320"/>
      <c r="AB33" s="49">
        <v>1</v>
      </c>
      <c r="AC33" s="51" t="s">
        <v>519</v>
      </c>
      <c r="AD33" s="52"/>
      <c r="AE33" s="187">
        <v>0</v>
      </c>
      <c r="AF33" s="187">
        <v>0</v>
      </c>
      <c r="AG33" s="187">
        <v>0</v>
      </c>
      <c r="AH33" s="187">
        <v>0</v>
      </c>
      <c r="AI33" s="187">
        <v>0</v>
      </c>
      <c r="AJ33" s="187"/>
      <c r="AK33" s="187"/>
      <c r="AL33" s="187"/>
      <c r="AM33" s="187"/>
      <c r="AN33" s="187"/>
      <c r="AO33" s="187"/>
      <c r="AP33" s="187"/>
      <c r="AQ33" s="187"/>
      <c r="AR33" s="187">
        <v>0</v>
      </c>
      <c r="AS33" s="187">
        <v>0</v>
      </c>
      <c r="AT33" s="187"/>
      <c r="AU33" s="187"/>
      <c r="AV33" s="187"/>
      <c r="AW33" s="187"/>
      <c r="AX33" s="187"/>
      <c r="AY33" s="187"/>
      <c r="AZ33" s="187"/>
      <c r="BA33" s="187"/>
      <c r="BB33" s="320"/>
      <c r="BC33" s="654" t="s">
        <v>573</v>
      </c>
      <c r="BD33" s="320"/>
      <c r="BE33" s="320"/>
      <c r="BF33" s="320"/>
      <c r="BG33" s="320"/>
      <c r="BH33" s="320"/>
      <c r="BI33" s="320"/>
      <c r="BJ33" s="320"/>
      <c r="BK33" s="320"/>
      <c r="BL33" s="320"/>
      <c r="BM33" s="320"/>
      <c r="BN33" s="320"/>
    </row>
    <row r="34" spans="1:66" ht="34.15" customHeight="1">
      <c r="A34" s="320"/>
      <c r="B34" s="320"/>
      <c r="C34" s="320"/>
      <c r="D34" s="320"/>
      <c r="E34" s="446">
        <v>24</v>
      </c>
      <c r="F34" s="266" t="str" cm="1">
        <f t="array" aca="1" ref="F34" ca="1">OFFSET(E34,-1,1)</f>
        <v>1</v>
      </c>
      <c r="G34" s="320"/>
      <c r="H34" s="320"/>
      <c r="I34" s="320"/>
      <c r="J34" s="320"/>
      <c r="K34" s="320"/>
      <c r="L34" s="320"/>
      <c r="M34" s="320"/>
      <c r="N34" s="320"/>
      <c r="O34" s="320"/>
      <c r="P34" s="320"/>
      <c r="Q34" s="320"/>
      <c r="R34" s="320"/>
      <c r="S34" s="320"/>
      <c r="T34" s="320"/>
      <c r="U34" s="320"/>
      <c r="V34" s="351" t="b" cm="1">
        <f t="array" ref="V34">V33</f>
        <v>1</v>
      </c>
      <c r="W34" s="320"/>
      <c r="X34" s="320"/>
      <c r="Y34" s="998"/>
      <c r="Z34" s="1026"/>
      <c r="AA34" s="320"/>
      <c r="AB34" s="49">
        <v>2</v>
      </c>
      <c r="AC34" s="51" t="s">
        <v>574</v>
      </c>
      <c r="AD34" s="52" t="s">
        <v>501</v>
      </c>
      <c r="AE34" s="187">
        <v>0</v>
      </c>
      <c r="AF34" s="187">
        <v>0</v>
      </c>
      <c r="AG34" s="187">
        <v>0</v>
      </c>
      <c r="AH34" s="187">
        <v>0</v>
      </c>
      <c r="AI34" s="187">
        <v>0</v>
      </c>
      <c r="AJ34" s="187"/>
      <c r="AK34" s="187"/>
      <c r="AL34" s="187"/>
      <c r="AM34" s="187"/>
      <c r="AN34" s="187"/>
      <c r="AO34" s="187"/>
      <c r="AP34" s="187"/>
      <c r="AQ34" s="187"/>
      <c r="AR34" s="187">
        <v>0</v>
      </c>
      <c r="AS34" s="187">
        <v>0</v>
      </c>
      <c r="AT34" s="187"/>
      <c r="AU34" s="187"/>
      <c r="AV34" s="187"/>
      <c r="AW34" s="187"/>
      <c r="AX34" s="187"/>
      <c r="AY34" s="187"/>
      <c r="AZ34" s="187"/>
      <c r="BA34" s="187"/>
      <c r="BB34" s="320"/>
      <c r="BC34" s="654" t="s">
        <v>575</v>
      </c>
      <c r="BD34" s="320"/>
      <c r="BE34" s="320"/>
      <c r="BF34" s="320"/>
      <c r="BG34" s="320"/>
      <c r="BH34" s="320"/>
      <c r="BI34" s="320"/>
      <c r="BJ34" s="320"/>
      <c r="BK34" s="320"/>
      <c r="BL34" s="320"/>
      <c r="BM34" s="320"/>
      <c r="BN34" s="320"/>
    </row>
    <row r="35" spans="1:66" ht="69" customHeight="1">
      <c r="A35" s="320"/>
      <c r="B35" s="320"/>
      <c r="C35" s="320"/>
      <c r="D35" s="320"/>
      <c r="E35" s="446">
        <v>71.25</v>
      </c>
      <c r="F35" s="266" t="str" cm="1">
        <f t="array" aca="1" ref="F35" ca="1">OFFSET(E35,-1,1)</f>
        <v>1</v>
      </c>
      <c r="G35" s="320"/>
      <c r="H35" s="320"/>
      <c r="I35" s="320"/>
      <c r="J35" s="320"/>
      <c r="K35" s="320"/>
      <c r="L35" s="320"/>
      <c r="M35" s="320"/>
      <c r="N35" s="320"/>
      <c r="O35" s="320"/>
      <c r="P35" s="320"/>
      <c r="Q35" s="320"/>
      <c r="R35" s="320"/>
      <c r="S35" s="320"/>
      <c r="T35" s="320"/>
      <c r="U35" s="320"/>
      <c r="V35" s="351" t="b" cm="1">
        <f t="array" ref="V35">V34</f>
        <v>1</v>
      </c>
      <c r="W35" s="320"/>
      <c r="X35" s="320"/>
      <c r="Y35" s="998"/>
      <c r="Z35" s="1026"/>
      <c r="AA35" s="320"/>
      <c r="AB35" s="49">
        <v>3</v>
      </c>
      <c r="AC35" s="53" t="s">
        <v>576</v>
      </c>
      <c r="AD35" s="52" t="s">
        <v>501</v>
      </c>
      <c r="AE35" s="187">
        <v>0</v>
      </c>
      <c r="AF35" s="187">
        <v>0</v>
      </c>
      <c r="AG35" s="187">
        <v>0</v>
      </c>
      <c r="AH35" s="187">
        <v>0</v>
      </c>
      <c r="AI35" s="187">
        <v>0</v>
      </c>
      <c r="AJ35" s="187"/>
      <c r="AK35" s="187"/>
      <c r="AL35" s="187"/>
      <c r="AM35" s="187"/>
      <c r="AN35" s="187"/>
      <c r="AO35" s="187"/>
      <c r="AP35" s="187"/>
      <c r="AQ35" s="187"/>
      <c r="AR35" s="187">
        <v>0</v>
      </c>
      <c r="AS35" s="187">
        <v>0</v>
      </c>
      <c r="AT35" s="187"/>
      <c r="AU35" s="187"/>
      <c r="AV35" s="187"/>
      <c r="AW35" s="187"/>
      <c r="AX35" s="187"/>
      <c r="AY35" s="187"/>
      <c r="AZ35" s="187"/>
      <c r="BA35" s="187"/>
      <c r="BB35" s="320"/>
      <c r="BC35" s="654" t="s">
        <v>577</v>
      </c>
      <c r="BD35" s="320"/>
      <c r="BE35" s="320"/>
      <c r="BF35" s="320"/>
      <c r="BG35" s="320"/>
      <c r="BH35" s="320"/>
      <c r="BI35" s="320"/>
      <c r="BJ35" s="320"/>
      <c r="BK35" s="320"/>
      <c r="BL35" s="320"/>
      <c r="BM35" s="320"/>
      <c r="BN35" s="320"/>
    </row>
    <row r="36" spans="1:66" ht="24" customHeight="1">
      <c r="A36" s="320"/>
      <c r="B36" s="277"/>
      <c r="C36" s="320"/>
      <c r="D36" s="320"/>
      <c r="E36" s="446">
        <v>24.75</v>
      </c>
      <c r="F36" s="266" t="str" cm="1">
        <f t="array" aca="1" ref="F36" ca="1">OFFSET(E36,-1,1)</f>
        <v>1</v>
      </c>
      <c r="G36" s="320"/>
      <c r="H36" s="320"/>
      <c r="I36" s="320"/>
      <c r="J36" s="320"/>
      <c r="K36" s="320"/>
      <c r="L36" s="320"/>
      <c r="M36" s="320"/>
      <c r="N36" s="320"/>
      <c r="O36" s="320"/>
      <c r="P36" s="320"/>
      <c r="Q36" s="320"/>
      <c r="R36" s="320"/>
      <c r="S36" s="320"/>
      <c r="T36" s="320"/>
      <c r="U36" s="320"/>
      <c r="V36" s="351" t="b" cm="1">
        <f t="array" ref="V36">V35</f>
        <v>1</v>
      </c>
      <c r="W36" s="320"/>
      <c r="X36" s="320"/>
      <c r="Y36" s="998"/>
      <c r="Z36" s="1026"/>
      <c r="AA36" s="320"/>
      <c r="AB36" s="49">
        <v>4</v>
      </c>
      <c r="AC36" s="51" t="s">
        <v>508</v>
      </c>
      <c r="AD36" s="52"/>
      <c r="AE36" s="187"/>
      <c r="AF36" s="187"/>
      <c r="AG36" s="187"/>
      <c r="AH36" s="187">
        <v>0</v>
      </c>
      <c r="AI36" s="187">
        <v>0</v>
      </c>
      <c r="AJ36" s="187"/>
      <c r="AK36" s="187"/>
      <c r="AL36" s="187"/>
      <c r="AM36" s="187"/>
      <c r="AN36" s="187"/>
      <c r="AO36" s="187"/>
      <c r="AP36" s="187"/>
      <c r="AQ36" s="187"/>
      <c r="AR36" s="187">
        <v>1</v>
      </c>
      <c r="AS36" s="187">
        <v>1</v>
      </c>
      <c r="AT36" s="187"/>
      <c r="AU36" s="187"/>
      <c r="AV36" s="187"/>
      <c r="AW36" s="187"/>
      <c r="AX36" s="187"/>
      <c r="AY36" s="187"/>
      <c r="AZ36" s="187"/>
      <c r="BA36" s="187"/>
      <c r="BB36" s="320"/>
      <c r="BC36" s="654" t="s">
        <v>578</v>
      </c>
      <c r="BD36" s="320"/>
      <c r="BE36" s="320"/>
      <c r="BF36" s="320"/>
      <c r="BG36" s="320"/>
      <c r="BH36" s="320"/>
      <c r="BI36" s="320"/>
      <c r="BJ36" s="320"/>
      <c r="BK36" s="320"/>
      <c r="BL36" s="320"/>
      <c r="BM36" s="320"/>
      <c r="BN36" s="320"/>
    </row>
    <row r="37" spans="1:66" ht="10.7" customHeight="1">
      <c r="A37" s="836"/>
      <c r="B37" s="842"/>
      <c r="C37" s="836"/>
      <c r="D37" s="836"/>
      <c r="E37" s="843">
        <v>11</v>
      </c>
      <c r="F37" s="837" t="str" cm="1">
        <f t="array" aca="1" ref="F37" ca="1">OFFSET(E37,-1,1)</f>
        <v>1</v>
      </c>
      <c r="G37" s="836"/>
      <c r="H37" s="836"/>
      <c r="I37" s="836"/>
      <c r="J37" s="836"/>
      <c r="K37" s="836"/>
      <c r="L37" s="836"/>
      <c r="M37" s="836"/>
      <c r="N37" s="836"/>
      <c r="O37" s="836"/>
      <c r="P37" s="836"/>
      <c r="Q37" s="836"/>
      <c r="R37" s="836"/>
      <c r="S37" s="836"/>
      <c r="T37" s="836"/>
      <c r="U37" s="836"/>
      <c r="V37" s="836"/>
      <c r="W37" s="875" t="s">
        <v>175</v>
      </c>
      <c r="X37" s="56" t="s">
        <v>579</v>
      </c>
      <c r="Y37" s="836"/>
      <c r="Z37" s="836"/>
      <c r="AA37" s="836"/>
      <c r="AB37" s="876"/>
      <c r="AC37" s="875"/>
      <c r="AD37" s="836"/>
      <c r="AE37" s="836"/>
      <c r="AF37" s="836"/>
      <c r="AG37" s="836"/>
      <c r="AH37" s="836"/>
      <c r="AI37" s="38"/>
      <c r="AJ37" s="38"/>
      <c r="AK37" s="38"/>
      <c r="AL37" s="38"/>
      <c r="AM37" s="38"/>
      <c r="AN37" s="38"/>
      <c r="AO37" s="38"/>
      <c r="AP37" s="38"/>
      <c r="AQ37" s="38"/>
      <c r="AR37" s="836"/>
      <c r="AS37" s="38"/>
      <c r="AT37" s="38"/>
      <c r="AU37" s="38"/>
      <c r="AV37" s="38"/>
      <c r="AW37" s="38"/>
      <c r="AX37" s="38"/>
      <c r="AY37" s="38"/>
      <c r="AZ37" s="38"/>
      <c r="BA37" s="38"/>
      <c r="BB37" s="38"/>
      <c r="BC37" s="654"/>
      <c r="BD37" s="277"/>
      <c r="BE37" s="277"/>
      <c r="BF37" s="277"/>
      <c r="BG37" s="277"/>
      <c r="BH37" s="277"/>
      <c r="BI37" s="38"/>
      <c r="BJ37" s="38"/>
      <c r="BK37" s="38"/>
      <c r="BL37" s="38"/>
      <c r="BM37" s="38"/>
      <c r="BN37" s="38"/>
    </row>
  </sheetData>
  <sheetProtection formatColumns="0" formatRows="0" insertRows="0" deleteColumns="0" deleteRows="0" sort="0" autoFilter="0"/>
  <mergeCells count="7">
    <mergeCell ref="Y32:Y36"/>
    <mergeCell ref="Z32:Z36"/>
    <mergeCell ref="AB24:AB25"/>
    <mergeCell ref="AC24:AC25"/>
    <mergeCell ref="AD24:AD25"/>
    <mergeCell ref="Y27:Y31"/>
    <mergeCell ref="Z27:Z31"/>
  </mergeCells>
  <dataValidations count="2">
    <dataValidation type="decimal" allowBlank="1" showErrorMessage="1" errorTitle="Ошибка" error="Допускается ввод только неотрицательных чисел!" sqref="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xr:uid="{00000000-0002-0000-0900-000000000000}">
      <formula1>0</formula1>
      <formula2>9.99999999999999E+23</formula2>
    </dataValidation>
    <dataValidation allowBlank="1" showErrorMessage="1" errorTitle="Ошибка" error="Допускается ввод только неотрицательных чисел!" sqref="AE26:BA26" xr:uid="{00000000-0002-0000-09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DE248-3838-11D8-A028-F2B96C0B4668}">
  <sheetPr>
    <tabColor theme="6" tint="0.39997558519241921"/>
    <outlinePr summaryBelow="0" summaryRight="0"/>
    <pageSetUpPr fitToPage="1"/>
  </sheetPr>
  <dimension ref="A1:BF222"/>
  <sheetViews>
    <sheetView showGridLines="0" zoomScale="110" workbookViewId="0">
      <pane xSplit="30" ySplit="25" topLeftCell="AE127" activePane="bottomRight" state="frozen"/>
      <selection pane="topRight" activeCell="AE1" sqref="AE1"/>
      <selection pane="bottomLeft" activeCell="A26" sqref="A26"/>
      <selection pane="bottomRight" activeCell="AB217" sqref="AB217:BC217"/>
    </sheetView>
  </sheetViews>
  <sheetFormatPr defaultColWidth="9.140625" defaultRowHeight="11.25" customHeight="1"/>
  <cols>
    <col min="1" max="1" width="3.5703125" style="17" hidden="1" customWidth="1"/>
    <col min="2" max="2" width="8.85546875" style="46" hidden="1" customWidth="1"/>
    <col min="3" max="4" width="3.5703125" style="17" hidden="1" customWidth="1"/>
    <col min="5" max="5" width="3.5703125" style="459" hidden="1" customWidth="1"/>
    <col min="6" max="6" width="13.28515625" style="252"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4" hidden="1" customWidth="1"/>
    <col min="18" max="18" width="7.7109375" style="314" hidden="1" customWidth="1"/>
    <col min="19" max="19" width="10" style="314" hidden="1" customWidth="1"/>
    <col min="20" max="20" width="10.42578125" style="314" hidden="1" customWidth="1"/>
    <col min="21" max="21" width="5.85546875" style="314" hidden="1" customWidth="1"/>
    <col min="22" max="22" width="6.140625" style="17" hidden="1" customWidth="1"/>
    <col min="23" max="23" width="5.5703125" style="314" hidden="1" customWidth="1"/>
    <col min="24" max="24" width="5.28515625" style="17" hidden="1" customWidth="1"/>
    <col min="25" max="26" width="3.5703125" style="17" hidden="1" customWidth="1"/>
    <col min="27" max="27" width="3" style="17" customWidth="1"/>
    <col min="28" max="28" width="11" style="60" customWidth="1"/>
    <col min="29" max="29" width="35.28515625" style="60" customWidth="1"/>
    <col min="30" max="30" width="10.28515625" style="60" customWidth="1"/>
    <col min="31" max="37" width="13" style="17" customWidth="1"/>
    <col min="38" max="44" width="13" style="17" hidden="1" customWidth="1"/>
    <col min="45" max="47" width="13" style="17" customWidth="1"/>
    <col min="48" max="54" width="13" style="17" hidden="1" customWidth="1"/>
    <col min="55" max="55" width="52.140625" style="60" customWidth="1"/>
    <col min="56" max="56" width="3" style="17" customWidth="1"/>
    <col min="57" max="57" width="9.140625" style="17" hidden="1"/>
    <col min="58" max="58" width="9.140625" style="669" hidden="1"/>
  </cols>
  <sheetData>
    <row r="1" spans="1:58" ht="11.25" hidden="1" customHeight="1">
      <c r="E1" s="17"/>
      <c r="F1" s="252" t="s">
        <v>309</v>
      </c>
      <c r="H1" s="17" t="s">
        <v>320</v>
      </c>
      <c r="T1" s="351" t="s">
        <v>92</v>
      </c>
      <c r="U1" s="351" t="s">
        <v>97</v>
      </c>
      <c r="V1" s="351" t="s">
        <v>93</v>
      </c>
      <c r="W1" s="351" t="s">
        <v>94</v>
      </c>
      <c r="X1" s="351" t="s">
        <v>95</v>
      </c>
      <c r="Y1" s="351" t="s">
        <v>99</v>
      </c>
      <c r="Z1" s="351" t="s">
        <v>311</v>
      </c>
      <c r="AA1" s="351" t="s">
        <v>96</v>
      </c>
      <c r="AC1" s="351" t="s">
        <v>98</v>
      </c>
      <c r="BF1" s="669" t="s">
        <v>312</v>
      </c>
    </row>
    <row r="2" spans="1:58" s="46" customFormat="1" ht="11.25" hidden="1" customHeight="1">
      <c r="B2" s="340" t="s">
        <v>18</v>
      </c>
      <c r="F2" s="41"/>
      <c r="P2" s="477"/>
      <c r="Q2" s="477"/>
      <c r="R2" s="477"/>
      <c r="S2" s="477"/>
      <c r="T2" s="477"/>
      <c r="U2" s="477"/>
      <c r="W2" s="477"/>
      <c r="AB2" s="325"/>
      <c r="AC2" s="325"/>
      <c r="AD2" s="325"/>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C2" s="325"/>
      <c r="BF2" s="670"/>
    </row>
    <row r="3" spans="1:58" ht="11.25" hidden="1" customHeight="1">
      <c r="E3" s="17"/>
    </row>
    <row r="4" spans="1:58" ht="11.25" hidden="1" customHeight="1">
      <c r="E4" s="17"/>
    </row>
    <row r="5" spans="1:58" s="459" customFormat="1" ht="11.25" hidden="1" customHeight="1">
      <c r="A5" s="17"/>
      <c r="B5" s="46"/>
      <c r="C5" s="17"/>
      <c r="D5" s="17"/>
      <c r="E5" s="459" t="s">
        <v>19</v>
      </c>
      <c r="F5" s="445"/>
      <c r="P5" s="478"/>
      <c r="Q5" s="478"/>
      <c r="R5" s="478"/>
      <c r="S5" s="478"/>
      <c r="T5" s="478"/>
      <c r="U5" s="478"/>
      <c r="W5" s="478"/>
      <c r="AA5" s="459">
        <v>3</v>
      </c>
      <c r="AB5" s="457">
        <v>11</v>
      </c>
      <c r="AC5" s="457">
        <v>50</v>
      </c>
      <c r="AD5" s="457">
        <v>10.29</v>
      </c>
      <c r="AE5" s="459">
        <v>13</v>
      </c>
      <c r="AF5" s="459">
        <v>13</v>
      </c>
      <c r="AG5" s="459">
        <v>13</v>
      </c>
      <c r="AH5" s="459">
        <v>13</v>
      </c>
      <c r="AI5" s="459">
        <v>13</v>
      </c>
      <c r="AJ5" s="459">
        <v>13</v>
      </c>
      <c r="AK5" s="459">
        <v>13</v>
      </c>
      <c r="AL5" s="459">
        <v>13</v>
      </c>
      <c r="AM5" s="459">
        <v>13</v>
      </c>
      <c r="AN5" s="459">
        <v>13</v>
      </c>
      <c r="AO5" s="459">
        <v>13</v>
      </c>
      <c r="AP5" s="459">
        <v>13</v>
      </c>
      <c r="AQ5" s="459">
        <v>13</v>
      </c>
      <c r="AR5" s="459">
        <v>13</v>
      </c>
      <c r="AS5" s="459">
        <v>13</v>
      </c>
      <c r="AT5" s="459">
        <v>13</v>
      </c>
      <c r="AU5" s="459">
        <v>13</v>
      </c>
      <c r="AV5" s="459">
        <v>13</v>
      </c>
      <c r="AW5" s="459">
        <v>13</v>
      </c>
      <c r="AX5" s="459">
        <v>13</v>
      </c>
      <c r="AY5" s="459">
        <v>13</v>
      </c>
      <c r="AZ5" s="459">
        <v>13</v>
      </c>
      <c r="BA5" s="459">
        <v>13</v>
      </c>
      <c r="BB5" s="459">
        <v>13</v>
      </c>
      <c r="BC5" s="457">
        <v>20</v>
      </c>
      <c r="BD5" s="459">
        <v>3</v>
      </c>
      <c r="BF5" s="669"/>
    </row>
    <row r="6" spans="1:58" ht="11.25" hidden="1" customHeight="1">
      <c r="A6" s="17" t="s">
        <v>349</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69" customFormat="1" ht="11.25" hidden="1" customHeight="1">
      <c r="A9" s="669" t="s">
        <v>354</v>
      </c>
      <c r="B9" s="670"/>
      <c r="F9" s="671"/>
      <c r="P9" s="653"/>
      <c r="Q9" s="653"/>
      <c r="R9" s="653"/>
      <c r="S9" s="653"/>
      <c r="T9" s="653"/>
      <c r="U9" s="653"/>
      <c r="W9" s="653"/>
      <c r="AB9" s="667"/>
      <c r="AC9" s="667"/>
      <c r="AD9" s="667"/>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C9" s="667"/>
    </row>
    <row r="10" spans="1:58" s="669" customFormat="1" ht="11.25" hidden="1" customHeight="1">
      <c r="A10" s="669" t="s">
        <v>355</v>
      </c>
      <c r="B10" s="670"/>
      <c r="F10" s="671"/>
      <c r="P10" s="653"/>
      <c r="Q10" s="653"/>
      <c r="R10" s="653"/>
      <c r="S10" s="653"/>
      <c r="T10" s="653"/>
      <c r="U10" s="653"/>
      <c r="W10" s="653"/>
      <c r="AB10" s="667"/>
      <c r="AC10" s="667"/>
      <c r="AD10" s="667"/>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7"/>
    </row>
    <row r="11" spans="1:58" s="669" customFormat="1" ht="11.25" hidden="1" customHeight="1">
      <c r="A11" s="669" t="s">
        <v>356</v>
      </c>
      <c r="B11" s="670"/>
      <c r="F11" s="671"/>
      <c r="P11" s="653"/>
      <c r="Q11" s="653"/>
      <c r="R11" s="653"/>
      <c r="S11" s="653"/>
      <c r="T11" s="653"/>
      <c r="U11" s="653"/>
      <c r="W11" s="653"/>
      <c r="AB11" s="667"/>
      <c r="AC11" s="667"/>
      <c r="AD11" s="667"/>
      <c r="BC11" s="667"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459">
        <v>15</v>
      </c>
      <c r="AA21" s="59"/>
      <c r="AC21" s="3" t="str" cm="1">
        <f t="array" ref="AC21">tpl_title</f>
        <v>Кемеровская область / 2026 / МУП "Водоканал" (ИНН:4202043124, КПП:420201001) / ДПР: 2026-2028</v>
      </c>
    </row>
    <row r="22" spans="1:58" s="59" customFormat="1" ht="19.5" customHeight="1">
      <c r="B22" s="46"/>
      <c r="E22" s="460">
        <v>20</v>
      </c>
      <c r="F22" s="3"/>
      <c r="AB22" s="224" t="s">
        <v>44</v>
      </c>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F22" s="672"/>
    </row>
    <row r="23" spans="1:58" ht="10.9" customHeight="1">
      <c r="E23" s="459">
        <v>11.25</v>
      </c>
    </row>
    <row r="24" spans="1:58" s="60" customFormat="1" ht="21.95" customHeight="1">
      <c r="B24" s="46"/>
      <c r="E24" s="457">
        <v>15</v>
      </c>
      <c r="F24" s="120"/>
      <c r="AB24" s="1030" t="s">
        <v>21</v>
      </c>
      <c r="AC24" s="1031" t="s">
        <v>358</v>
      </c>
      <c r="AD24" s="1028" t="s">
        <v>359</v>
      </c>
      <c r="AE24" s="418"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9" t="s">
        <v>580</v>
      </c>
      <c r="BF24" s="667"/>
    </row>
    <row r="25" spans="1:58" s="60" customFormat="1" ht="68.45" customHeight="1">
      <c r="B25" s="46"/>
      <c r="E25" s="457">
        <v>70.25</v>
      </c>
      <c r="F25" s="120"/>
      <c r="AB25" s="1030"/>
      <c r="AC25" s="1031"/>
      <c r="AD25" s="1028"/>
      <c r="AE25" s="419"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29"/>
      <c r="BF25" s="667"/>
    </row>
    <row r="26" spans="1:58" ht="15" hidden="1" customHeight="1">
      <c r="A26" s="314"/>
      <c r="B26" s="477"/>
      <c r="C26" s="314"/>
      <c r="D26" s="314"/>
      <c r="E26" s="478">
        <v>0</v>
      </c>
      <c r="F26" s="532"/>
      <c r="G26" s="314"/>
      <c r="H26" s="314"/>
      <c r="I26" s="314"/>
      <c r="J26" s="314"/>
      <c r="K26" s="314"/>
      <c r="L26" s="314"/>
      <c r="M26" s="314"/>
      <c r="N26" s="314"/>
      <c r="O26" s="314"/>
      <c r="R26" s="481" t="s">
        <v>265</v>
      </c>
      <c r="S26" s="481" t="s">
        <v>581</v>
      </c>
      <c r="T26" s="351"/>
      <c r="V26" s="314"/>
      <c r="X26" s="314"/>
      <c r="Y26" s="314"/>
      <c r="Z26" s="314"/>
      <c r="AA26" s="314"/>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ht="14.65" hidden="1" customHeight="1">
      <c r="E27" s="459">
        <v>15</v>
      </c>
      <c r="F27" s="252" cm="1">
        <f t="array" ref="F27">X27</f>
        <v>0</v>
      </c>
      <c r="T27" s="351" t="b">
        <f>X27&gt;0</f>
        <v>0</v>
      </c>
      <c r="V27" s="17" t="s">
        <v>266</v>
      </c>
      <c r="X27" s="1024">
        <v>0</v>
      </c>
      <c r="Y27" s="1007"/>
      <c r="AB27" s="94" t="str" cm="1">
        <f t="array" ref="AB27">INDEX('Общие сведения'!$AG$179:$AG$208,MATCH($X27,'Общие сведения'!$Z$179:$Z$208,0))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8" ht="14.65" hidden="1" customHeight="1">
      <c r="E28" s="459">
        <v>15</v>
      </c>
      <c r="F28" s="3" cm="1">
        <f t="array" aca="1" ref="F28" ca="1">OFFSET(E28,-1,1)</f>
        <v>0</v>
      </c>
      <c r="R28" s="314" t="b" cm="1">
        <f t="array" ref="R28">INDEX('Общие сведения'!$AN$179:$AN$208,MATCH($X27,'Общие сведения'!$Z$179:$Z$208,0))</f>
        <v>0</v>
      </c>
      <c r="S28" s="314" t="b">
        <f>IF(ISERROR(SEARCH("Водоснабжение",AB27)),FALSE,TRUE)</f>
        <v>0</v>
      </c>
      <c r="T28" s="351" t="b">
        <f>AND(X27&gt;0,S28,NOT(R28))</f>
        <v>0</v>
      </c>
      <c r="X28" s="1024"/>
      <c r="Y28" s="1007"/>
      <c r="AB28" s="153" t="s">
        <v>277</v>
      </c>
      <c r="AC28" s="234" t="s">
        <v>582</v>
      </c>
      <c r="AD28" s="11"/>
      <c r="AE28" s="413" cm="1">
        <f t="array" ref="AE28">INDEX('Общие сведения'!$AH$179:$AH$208,MATCH($X27,'Общие сведения'!$Z$179:$Z$208,0))</f>
        <v>0</v>
      </c>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4"/>
      <c r="BC28" s="823"/>
      <c r="BF28" s="669" t="s">
        <v>583</v>
      </c>
    </row>
    <row r="29" spans="1:58" ht="14.65" hidden="1" customHeight="1">
      <c r="E29" s="459">
        <v>15</v>
      </c>
      <c r="F29" s="3" cm="1">
        <f t="array" aca="1" ref="F29" ca="1">OFFSET(E29,-1,1)</f>
        <v>0</v>
      </c>
      <c r="H29" s="17" t="s">
        <v>325</v>
      </c>
      <c r="T29" s="351" t="b" cm="1">
        <f t="array" ref="T29">T28</f>
        <v>0</v>
      </c>
      <c r="X29" s="1024"/>
      <c r="Y29" s="1007"/>
      <c r="AB29" s="153" t="s">
        <v>435</v>
      </c>
      <c r="AC29" s="55" t="s">
        <v>584</v>
      </c>
      <c r="AD29" s="12" t="s">
        <v>585</v>
      </c>
      <c r="AE29" s="222">
        <f t="shared" ref="AE29:BB29" si="2">AE38+AE33-AE36</f>
        <v>0</v>
      </c>
      <c r="AF29" s="222">
        <f t="shared" si="2"/>
        <v>0</v>
      </c>
      <c r="AG29" s="222">
        <f t="shared" si="2"/>
        <v>0</v>
      </c>
      <c r="AH29" s="222">
        <f t="shared" si="2"/>
        <v>0</v>
      </c>
      <c r="AI29" s="222">
        <f t="shared" si="2"/>
        <v>0</v>
      </c>
      <c r="AJ29" s="222">
        <f t="shared" si="2"/>
        <v>0</v>
      </c>
      <c r="AK29" s="222">
        <f t="shared" si="2"/>
        <v>0</v>
      </c>
      <c r="AL29" s="222">
        <f t="shared" si="2"/>
        <v>0</v>
      </c>
      <c r="AM29" s="222">
        <f t="shared" si="2"/>
        <v>0</v>
      </c>
      <c r="AN29" s="222">
        <f t="shared" si="2"/>
        <v>0</v>
      </c>
      <c r="AO29" s="222">
        <f t="shared" si="2"/>
        <v>0</v>
      </c>
      <c r="AP29" s="222">
        <f t="shared" si="2"/>
        <v>0</v>
      </c>
      <c r="AQ29" s="222">
        <f t="shared" si="2"/>
        <v>0</v>
      </c>
      <c r="AR29" s="222">
        <f t="shared" si="2"/>
        <v>0</v>
      </c>
      <c r="AS29" s="222">
        <f t="shared" si="2"/>
        <v>0</v>
      </c>
      <c r="AT29" s="222">
        <f t="shared" si="2"/>
        <v>0</v>
      </c>
      <c r="AU29" s="222">
        <f t="shared" si="2"/>
        <v>0</v>
      </c>
      <c r="AV29" s="222">
        <f t="shared" si="2"/>
        <v>0</v>
      </c>
      <c r="AW29" s="222">
        <f t="shared" si="2"/>
        <v>0</v>
      </c>
      <c r="AX29" s="222">
        <f t="shared" si="2"/>
        <v>0</v>
      </c>
      <c r="AY29" s="222">
        <f t="shared" si="2"/>
        <v>0</v>
      </c>
      <c r="AZ29" s="222">
        <f t="shared" si="2"/>
        <v>0</v>
      </c>
      <c r="BA29" s="222">
        <f t="shared" si="2"/>
        <v>0</v>
      </c>
      <c r="BB29" s="222">
        <f t="shared" si="2"/>
        <v>0</v>
      </c>
      <c r="BC29" s="823"/>
      <c r="BF29" s="669" t="s">
        <v>586</v>
      </c>
    </row>
    <row r="30" spans="1:58" ht="14.65" hidden="1" customHeight="1">
      <c r="E30" s="459">
        <v>15</v>
      </c>
      <c r="F30" s="3" cm="1">
        <f t="array" aca="1" ref="F30" ca="1">OFFSET(E30,-1,1)</f>
        <v>0</v>
      </c>
      <c r="H30" s="17" t="s">
        <v>587</v>
      </c>
      <c r="T30" s="351" t="b" cm="1">
        <f t="array" ref="T30">T29</f>
        <v>0</v>
      </c>
      <c r="X30" s="1024"/>
      <c r="Y30" s="1007"/>
      <c r="AB30" s="153" t="s">
        <v>588</v>
      </c>
      <c r="AC30" s="105" t="s">
        <v>589</v>
      </c>
      <c r="AD30" s="12" t="s">
        <v>585</v>
      </c>
      <c r="AE30" s="833"/>
      <c r="AF30" s="833"/>
      <c r="AG30" s="833"/>
      <c r="AH30" s="833"/>
      <c r="AI30" s="190"/>
      <c r="AJ30" s="190"/>
      <c r="AK30" s="190"/>
      <c r="AL30" s="833"/>
      <c r="AM30" s="833"/>
      <c r="AN30" s="833"/>
      <c r="AO30" s="833"/>
      <c r="AP30" s="833"/>
      <c r="AQ30" s="833"/>
      <c r="AR30" s="833"/>
      <c r="AS30" s="190"/>
      <c r="AT30" s="190"/>
      <c r="AU30" s="190"/>
      <c r="AV30" s="833"/>
      <c r="AW30" s="833"/>
      <c r="AX30" s="833"/>
      <c r="AY30" s="833"/>
      <c r="AZ30" s="833"/>
      <c r="BA30" s="833"/>
      <c r="BB30" s="833"/>
      <c r="BC30" s="774"/>
      <c r="BF30" s="669" t="s">
        <v>590</v>
      </c>
    </row>
    <row r="31" spans="1:58" ht="14.65" hidden="1" customHeight="1">
      <c r="E31" s="459">
        <v>15</v>
      </c>
      <c r="F31" s="3" cm="1">
        <f t="array" aca="1" ref="F31" ca="1">OFFSET(E31,-1,1)</f>
        <v>0</v>
      </c>
      <c r="H31" s="17" t="s">
        <v>591</v>
      </c>
      <c r="T31" s="351" t="b" cm="1">
        <f t="array" ref="T31">T30</f>
        <v>0</v>
      </c>
      <c r="X31" s="1024"/>
      <c r="Y31" s="1007"/>
      <c r="AB31" s="153" t="s">
        <v>592</v>
      </c>
      <c r="AC31" s="105" t="s">
        <v>593</v>
      </c>
      <c r="AD31" s="12" t="s">
        <v>585</v>
      </c>
      <c r="AE31" s="833"/>
      <c r="AF31" s="833"/>
      <c r="AG31" s="833"/>
      <c r="AH31" s="833"/>
      <c r="AI31" s="190"/>
      <c r="AJ31" s="190"/>
      <c r="AK31" s="190"/>
      <c r="AL31" s="833"/>
      <c r="AM31" s="833"/>
      <c r="AN31" s="833"/>
      <c r="AO31" s="833"/>
      <c r="AP31" s="833"/>
      <c r="AQ31" s="833"/>
      <c r="AR31" s="833"/>
      <c r="AS31" s="190"/>
      <c r="AT31" s="190"/>
      <c r="AU31" s="190"/>
      <c r="AV31" s="833"/>
      <c r="AW31" s="833"/>
      <c r="AX31" s="833"/>
      <c r="AY31" s="833"/>
      <c r="AZ31" s="833"/>
      <c r="BA31" s="833"/>
      <c r="BB31" s="833"/>
      <c r="BC31" s="774"/>
      <c r="BF31" s="669" t="s">
        <v>594</v>
      </c>
    </row>
    <row r="32" spans="1:58" ht="21.95" hidden="1" customHeight="1">
      <c r="E32" s="459">
        <v>22.5</v>
      </c>
      <c r="F32" s="3" cm="1">
        <f t="array" aca="1" ref="F32" ca="1">OFFSET(E32,-1,1)</f>
        <v>0</v>
      </c>
      <c r="H32" s="17" t="s">
        <v>595</v>
      </c>
      <c r="T32" s="351" t="b" cm="1">
        <f t="array" ref="T32">T31</f>
        <v>0</v>
      </c>
      <c r="X32" s="1024"/>
      <c r="Y32" s="1007"/>
      <c r="AB32" s="153" t="s">
        <v>596</v>
      </c>
      <c r="AC32" s="55" t="s">
        <v>597</v>
      </c>
      <c r="AD32" s="12" t="s">
        <v>585</v>
      </c>
      <c r="AE32" s="833"/>
      <c r="AF32" s="833"/>
      <c r="AG32" s="833"/>
      <c r="AH32" s="833"/>
      <c r="AI32" s="190"/>
      <c r="AJ32" s="190"/>
      <c r="AK32" s="190"/>
      <c r="AL32" s="833"/>
      <c r="AM32" s="833"/>
      <c r="AN32" s="833"/>
      <c r="AO32" s="833"/>
      <c r="AP32" s="833"/>
      <c r="AQ32" s="833"/>
      <c r="AR32" s="833"/>
      <c r="AS32" s="190"/>
      <c r="AT32" s="190"/>
      <c r="AU32" s="190"/>
      <c r="AV32" s="833"/>
      <c r="AW32" s="833"/>
      <c r="AX32" s="833"/>
      <c r="AY32" s="833"/>
      <c r="AZ32" s="833"/>
      <c r="BA32" s="833"/>
      <c r="BB32" s="833"/>
      <c r="BC32" s="774"/>
      <c r="BF32" s="669" t="s">
        <v>598</v>
      </c>
    </row>
    <row r="33" spans="5:58" ht="14.65" hidden="1" customHeight="1">
      <c r="E33" s="459">
        <v>15</v>
      </c>
      <c r="F33" s="3" cm="1">
        <f t="array" aca="1" ref="F33" ca="1">OFFSET(E33,-1,1)</f>
        <v>0</v>
      </c>
      <c r="H33" s="17" t="s">
        <v>324</v>
      </c>
      <c r="T33" s="351" t="b" cm="1">
        <f t="array" ref="T33">T32</f>
        <v>0</v>
      </c>
      <c r="X33" s="1024"/>
      <c r="Y33" s="1007"/>
      <c r="AB33" s="153" t="s">
        <v>319</v>
      </c>
      <c r="AC33" s="55" t="s">
        <v>599</v>
      </c>
      <c r="AD33" s="12" t="s">
        <v>585</v>
      </c>
      <c r="AE33" s="222">
        <f t="shared" ref="AE33:BB33" si="3">SUM(AE34:AE35)</f>
        <v>0</v>
      </c>
      <c r="AF33" s="222">
        <f t="shared" si="3"/>
        <v>0</v>
      </c>
      <c r="AG33" s="222">
        <f t="shared" si="3"/>
        <v>0</v>
      </c>
      <c r="AH33" s="222">
        <f t="shared" si="3"/>
        <v>0</v>
      </c>
      <c r="AI33" s="222">
        <f t="shared" si="3"/>
        <v>0</v>
      </c>
      <c r="AJ33" s="222">
        <f t="shared" si="3"/>
        <v>0</v>
      </c>
      <c r="AK33" s="222">
        <f t="shared" si="3"/>
        <v>0</v>
      </c>
      <c r="AL33" s="222">
        <f t="shared" si="3"/>
        <v>0</v>
      </c>
      <c r="AM33" s="222">
        <f t="shared" si="3"/>
        <v>0</v>
      </c>
      <c r="AN33" s="222">
        <f t="shared" si="3"/>
        <v>0</v>
      </c>
      <c r="AO33" s="222">
        <f t="shared" si="3"/>
        <v>0</v>
      </c>
      <c r="AP33" s="222">
        <f t="shared" si="3"/>
        <v>0</v>
      </c>
      <c r="AQ33" s="222">
        <f t="shared" si="3"/>
        <v>0</v>
      </c>
      <c r="AR33" s="222">
        <f t="shared" si="3"/>
        <v>0</v>
      </c>
      <c r="AS33" s="222">
        <f t="shared" si="3"/>
        <v>0</v>
      </c>
      <c r="AT33" s="222">
        <f t="shared" si="3"/>
        <v>0</v>
      </c>
      <c r="AU33" s="222">
        <f t="shared" si="3"/>
        <v>0</v>
      </c>
      <c r="AV33" s="222">
        <f t="shared" si="3"/>
        <v>0</v>
      </c>
      <c r="AW33" s="222">
        <f t="shared" si="3"/>
        <v>0</v>
      </c>
      <c r="AX33" s="222">
        <f t="shared" si="3"/>
        <v>0</v>
      </c>
      <c r="AY33" s="222">
        <f t="shared" si="3"/>
        <v>0</v>
      </c>
      <c r="AZ33" s="222">
        <f t="shared" si="3"/>
        <v>0</v>
      </c>
      <c r="BA33" s="222">
        <f t="shared" si="3"/>
        <v>0</v>
      </c>
      <c r="BB33" s="222">
        <f t="shared" si="3"/>
        <v>0</v>
      </c>
      <c r="BC33" s="774"/>
      <c r="BF33" s="669" t="s">
        <v>600</v>
      </c>
    </row>
    <row r="34" spans="5:58" ht="14.65" hidden="1" customHeight="1">
      <c r="E34" s="459">
        <v>15</v>
      </c>
      <c r="F34" s="3" cm="1">
        <f t="array" aca="1" ref="F34" ca="1">OFFSET(E34,-1,1)</f>
        <v>0</v>
      </c>
      <c r="H34" s="17" t="s">
        <v>601</v>
      </c>
      <c r="T34" s="351" t="b" cm="1">
        <f t="array" ref="T34">T33</f>
        <v>0</v>
      </c>
      <c r="X34" s="1024"/>
      <c r="Y34" s="1007"/>
      <c r="AB34" s="153" t="s">
        <v>602</v>
      </c>
      <c r="AC34" s="105" t="s">
        <v>603</v>
      </c>
      <c r="AD34" s="12" t="s">
        <v>585</v>
      </c>
      <c r="AE34" s="833"/>
      <c r="AF34" s="833"/>
      <c r="AG34" s="833"/>
      <c r="AH34" s="833"/>
      <c r="AI34" s="190"/>
      <c r="AJ34" s="190"/>
      <c r="AK34" s="190"/>
      <c r="AL34" s="833"/>
      <c r="AM34" s="833"/>
      <c r="AN34" s="833"/>
      <c r="AO34" s="833"/>
      <c r="AP34" s="833"/>
      <c r="AQ34" s="833"/>
      <c r="AR34" s="833"/>
      <c r="AS34" s="190"/>
      <c r="AT34" s="190"/>
      <c r="AU34" s="190"/>
      <c r="AV34" s="833"/>
      <c r="AW34" s="833"/>
      <c r="AX34" s="833"/>
      <c r="AY34" s="833"/>
      <c r="AZ34" s="833"/>
      <c r="BA34" s="833"/>
      <c r="BB34" s="833"/>
      <c r="BC34" s="774"/>
      <c r="BF34" s="669" t="s">
        <v>604</v>
      </c>
    </row>
    <row r="35" spans="5:58" ht="14.65" hidden="1" customHeight="1">
      <c r="E35" s="459">
        <v>15</v>
      </c>
      <c r="F35" s="3" cm="1">
        <f t="array" aca="1" ref="F35" ca="1">OFFSET(E35,-1,1)</f>
        <v>0</v>
      </c>
      <c r="H35" s="17" t="s">
        <v>605</v>
      </c>
      <c r="T35" s="351" t="b" cm="1">
        <f t="array" ref="T35">T34</f>
        <v>0</v>
      </c>
      <c r="X35" s="1024"/>
      <c r="Y35" s="1007"/>
      <c r="AB35" s="153" t="s">
        <v>606</v>
      </c>
      <c r="AC35" s="105" t="s">
        <v>607</v>
      </c>
      <c r="AD35" s="12" t="s">
        <v>585</v>
      </c>
      <c r="AE35" s="833"/>
      <c r="AF35" s="833"/>
      <c r="AG35" s="833"/>
      <c r="AH35" s="833"/>
      <c r="AI35" s="190"/>
      <c r="AJ35" s="190"/>
      <c r="AK35" s="190"/>
      <c r="AL35" s="833"/>
      <c r="AM35" s="833"/>
      <c r="AN35" s="833"/>
      <c r="AO35" s="833"/>
      <c r="AP35" s="833"/>
      <c r="AQ35" s="833"/>
      <c r="AR35" s="833"/>
      <c r="AS35" s="190"/>
      <c r="AT35" s="190"/>
      <c r="AU35" s="190"/>
      <c r="AV35" s="833"/>
      <c r="AW35" s="833"/>
      <c r="AX35" s="833"/>
      <c r="AY35" s="833"/>
      <c r="AZ35" s="833"/>
      <c r="BA35" s="833"/>
      <c r="BB35" s="833"/>
      <c r="BC35" s="774"/>
      <c r="BF35" s="669" t="s">
        <v>608</v>
      </c>
    </row>
    <row r="36" spans="5:58" ht="14.65" hidden="1" customHeight="1">
      <c r="E36" s="459">
        <v>15</v>
      </c>
      <c r="F36" s="3" cm="1">
        <f t="array" aca="1" ref="F36" ca="1">OFFSET(E36,-1,1)</f>
        <v>0</v>
      </c>
      <c r="H36" s="17" t="s">
        <v>557</v>
      </c>
      <c r="T36" s="351" t="b" cm="1">
        <f t="array" ref="T36">T35</f>
        <v>0</v>
      </c>
      <c r="X36" s="1024"/>
      <c r="Y36" s="1007"/>
      <c r="AB36" s="153" t="s">
        <v>438</v>
      </c>
      <c r="AC36" s="234" t="s">
        <v>609</v>
      </c>
      <c r="AD36" s="12" t="s">
        <v>585</v>
      </c>
      <c r="AE36" s="822"/>
      <c r="AF36" s="822"/>
      <c r="AG36" s="822"/>
      <c r="AH36" s="822"/>
      <c r="AI36" s="187"/>
      <c r="AJ36" s="187"/>
      <c r="AK36" s="187"/>
      <c r="AL36" s="822"/>
      <c r="AM36" s="822"/>
      <c r="AN36" s="822"/>
      <c r="AO36" s="822"/>
      <c r="AP36" s="822"/>
      <c r="AQ36" s="822"/>
      <c r="AR36" s="822"/>
      <c r="AS36" s="187"/>
      <c r="AT36" s="187"/>
      <c r="AU36" s="187"/>
      <c r="AV36" s="822"/>
      <c r="AW36" s="822"/>
      <c r="AX36" s="822"/>
      <c r="AY36" s="822"/>
      <c r="AZ36" s="822"/>
      <c r="BA36" s="822"/>
      <c r="BB36" s="822"/>
      <c r="BC36" s="774"/>
      <c r="BF36" s="669" t="s">
        <v>610</v>
      </c>
    </row>
    <row r="37" spans="5:58" ht="14.65" hidden="1" customHeight="1">
      <c r="E37" s="459">
        <v>15</v>
      </c>
      <c r="F37" s="3" cm="1">
        <f t="array" aca="1" ref="F37" ca="1">OFFSET(E37,-1,1)</f>
        <v>0</v>
      </c>
      <c r="H37" s="17" t="s">
        <v>560</v>
      </c>
      <c r="T37" s="351" t="b" cm="1">
        <f t="array" ref="T37">T36</f>
        <v>0</v>
      </c>
      <c r="X37" s="1024"/>
      <c r="Y37" s="1007"/>
      <c r="AB37" s="153" t="s">
        <v>440</v>
      </c>
      <c r="AC37" s="234" t="s">
        <v>611</v>
      </c>
      <c r="AD37" s="12" t="s">
        <v>585</v>
      </c>
      <c r="AE37" s="833"/>
      <c r="AF37" s="833"/>
      <c r="AG37" s="833"/>
      <c r="AH37" s="833"/>
      <c r="AI37" s="190"/>
      <c r="AJ37" s="190"/>
      <c r="AK37" s="190"/>
      <c r="AL37" s="833"/>
      <c r="AM37" s="833"/>
      <c r="AN37" s="833"/>
      <c r="AO37" s="833"/>
      <c r="AP37" s="833"/>
      <c r="AQ37" s="833"/>
      <c r="AR37" s="833"/>
      <c r="AS37" s="190"/>
      <c r="AT37" s="190"/>
      <c r="AU37" s="190"/>
      <c r="AV37" s="833"/>
      <c r="AW37" s="833"/>
      <c r="AX37" s="833"/>
      <c r="AY37" s="833"/>
      <c r="AZ37" s="833"/>
      <c r="BA37" s="833"/>
      <c r="BB37" s="833"/>
      <c r="BC37" s="774"/>
      <c r="BF37" s="669" t="s">
        <v>612</v>
      </c>
    </row>
    <row r="38" spans="5:58" ht="14.65" hidden="1" customHeight="1">
      <c r="E38" s="459">
        <v>15</v>
      </c>
      <c r="F38" s="3" cm="1">
        <f t="array" aca="1" ref="F38" ca="1">OFFSET(E38,-1,1)</f>
        <v>0</v>
      </c>
      <c r="H38" s="17" t="s">
        <v>613</v>
      </c>
      <c r="T38" s="351" t="b" cm="1">
        <f t="array" ref="T38">T37</f>
        <v>0</v>
      </c>
      <c r="X38" s="1024"/>
      <c r="Y38" s="1007"/>
      <c r="AB38" s="153" t="s">
        <v>442</v>
      </c>
      <c r="AC38" s="55" t="s">
        <v>614</v>
      </c>
      <c r="AD38" s="12" t="s">
        <v>585</v>
      </c>
      <c r="AE38" s="222">
        <f t="shared" ref="AE38:BB38" si="4">AE44+AE42</f>
        <v>0</v>
      </c>
      <c r="AF38" s="222">
        <f t="shared" si="4"/>
        <v>0</v>
      </c>
      <c r="AG38" s="222">
        <f t="shared" si="4"/>
        <v>0</v>
      </c>
      <c r="AH38" s="222">
        <f t="shared" si="4"/>
        <v>0</v>
      </c>
      <c r="AI38" s="222">
        <f t="shared" si="4"/>
        <v>0</v>
      </c>
      <c r="AJ38" s="222">
        <f t="shared" si="4"/>
        <v>0</v>
      </c>
      <c r="AK38" s="222">
        <f t="shared" si="4"/>
        <v>0</v>
      </c>
      <c r="AL38" s="222">
        <f t="shared" si="4"/>
        <v>0</v>
      </c>
      <c r="AM38" s="222">
        <f t="shared" si="4"/>
        <v>0</v>
      </c>
      <c r="AN38" s="222">
        <f t="shared" si="4"/>
        <v>0</v>
      </c>
      <c r="AO38" s="222">
        <f t="shared" si="4"/>
        <v>0</v>
      </c>
      <c r="AP38" s="222">
        <f t="shared" si="4"/>
        <v>0</v>
      </c>
      <c r="AQ38" s="222">
        <f t="shared" si="4"/>
        <v>0</v>
      </c>
      <c r="AR38" s="222">
        <f t="shared" si="4"/>
        <v>0</v>
      </c>
      <c r="AS38" s="222">
        <f t="shared" si="4"/>
        <v>0</v>
      </c>
      <c r="AT38" s="222">
        <f t="shared" si="4"/>
        <v>0</v>
      </c>
      <c r="AU38" s="222">
        <f t="shared" si="4"/>
        <v>0</v>
      </c>
      <c r="AV38" s="222">
        <f t="shared" si="4"/>
        <v>0</v>
      </c>
      <c r="AW38" s="222">
        <f t="shared" si="4"/>
        <v>0</v>
      </c>
      <c r="AX38" s="222">
        <f t="shared" si="4"/>
        <v>0</v>
      </c>
      <c r="AY38" s="222">
        <f t="shared" si="4"/>
        <v>0</v>
      </c>
      <c r="AZ38" s="222">
        <f t="shared" si="4"/>
        <v>0</v>
      </c>
      <c r="BA38" s="222">
        <f t="shared" si="4"/>
        <v>0</v>
      </c>
      <c r="BB38" s="222">
        <f t="shared" si="4"/>
        <v>0</v>
      </c>
      <c r="BC38" s="774"/>
      <c r="BF38" s="669" t="s">
        <v>615</v>
      </c>
    </row>
    <row r="39" spans="5:58" ht="21.95" hidden="1" customHeight="1">
      <c r="E39" s="459">
        <v>22.5</v>
      </c>
      <c r="F39" s="3" cm="1">
        <f t="array" aca="1" ref="F39" ca="1">OFFSET(E39,-1,1)</f>
        <v>0</v>
      </c>
      <c r="H39" s="17" t="s">
        <v>616</v>
      </c>
      <c r="T39" s="351" t="b" cm="1">
        <f t="array" ref="T39">T38</f>
        <v>0</v>
      </c>
      <c r="X39" s="1024"/>
      <c r="Y39" s="1007"/>
      <c r="AB39" s="153" t="s">
        <v>617</v>
      </c>
      <c r="AC39" s="105" t="s">
        <v>618</v>
      </c>
      <c r="AD39" s="12" t="s">
        <v>585</v>
      </c>
      <c r="AE39" s="833"/>
      <c r="AF39" s="833"/>
      <c r="AG39" s="833"/>
      <c r="AH39" s="833"/>
      <c r="AI39" s="190"/>
      <c r="AJ39" s="190"/>
      <c r="AK39" s="190"/>
      <c r="AL39" s="833"/>
      <c r="AM39" s="833"/>
      <c r="AN39" s="833"/>
      <c r="AO39" s="833"/>
      <c r="AP39" s="833"/>
      <c r="AQ39" s="833"/>
      <c r="AR39" s="833"/>
      <c r="AS39" s="190"/>
      <c r="AT39" s="190"/>
      <c r="AU39" s="190"/>
      <c r="AV39" s="833"/>
      <c r="AW39" s="833"/>
      <c r="AX39" s="833"/>
      <c r="AY39" s="833"/>
      <c r="AZ39" s="833"/>
      <c r="BA39" s="833"/>
      <c r="BB39" s="833"/>
      <c r="BC39" s="774"/>
      <c r="BF39" s="669" t="s">
        <v>619</v>
      </c>
    </row>
    <row r="40" spans="5:58" ht="14.65" hidden="1" customHeight="1">
      <c r="E40" s="459">
        <v>15</v>
      </c>
      <c r="F40" s="3" cm="1">
        <f t="array" aca="1" ref="F40" ca="1">OFFSET(E40,-1,1)</f>
        <v>0</v>
      </c>
      <c r="H40" s="17" t="s">
        <v>620</v>
      </c>
      <c r="T40" s="351" t="b" cm="1">
        <f t="array" ref="T40">T39</f>
        <v>0</v>
      </c>
      <c r="X40" s="1024"/>
      <c r="Y40" s="1007"/>
      <c r="AB40" s="153" t="s">
        <v>621</v>
      </c>
      <c r="AC40" s="105" t="s">
        <v>622</v>
      </c>
      <c r="AD40" s="12" t="s">
        <v>585</v>
      </c>
      <c r="AE40" s="833"/>
      <c r="AF40" s="833"/>
      <c r="AG40" s="833"/>
      <c r="AH40" s="833"/>
      <c r="AI40" s="190"/>
      <c r="AJ40" s="190"/>
      <c r="AK40" s="190"/>
      <c r="AL40" s="833"/>
      <c r="AM40" s="833"/>
      <c r="AN40" s="833"/>
      <c r="AO40" s="833"/>
      <c r="AP40" s="833"/>
      <c r="AQ40" s="833"/>
      <c r="AR40" s="833"/>
      <c r="AS40" s="190"/>
      <c r="AT40" s="190"/>
      <c r="AU40" s="190"/>
      <c r="AV40" s="833"/>
      <c r="AW40" s="833"/>
      <c r="AX40" s="833"/>
      <c r="AY40" s="833"/>
      <c r="AZ40" s="833"/>
      <c r="BA40" s="833"/>
      <c r="BB40" s="833"/>
      <c r="BC40" s="774"/>
      <c r="BF40" s="669" t="s">
        <v>623</v>
      </c>
    </row>
    <row r="41" spans="5:58" ht="21.95" hidden="1" customHeight="1">
      <c r="E41" s="459">
        <v>22.5</v>
      </c>
      <c r="F41" s="3" cm="1">
        <f t="array" aca="1" ref="F41" ca="1">OFFSET(E41,-1,1)</f>
        <v>0</v>
      </c>
      <c r="H41" s="17" t="s">
        <v>624</v>
      </c>
      <c r="T41" s="351" t="b" cm="1">
        <f t="array" ref="T41">T40</f>
        <v>0</v>
      </c>
      <c r="X41" s="1024"/>
      <c r="Y41" s="1007"/>
      <c r="AB41" s="153" t="s">
        <v>625</v>
      </c>
      <c r="AC41" s="105" t="s">
        <v>626</v>
      </c>
      <c r="AD41" s="12" t="s">
        <v>585</v>
      </c>
      <c r="AE41" s="833"/>
      <c r="AF41" s="833"/>
      <c r="AG41" s="833"/>
      <c r="AH41" s="833"/>
      <c r="AI41" s="190"/>
      <c r="AJ41" s="190"/>
      <c r="AK41" s="190"/>
      <c r="AL41" s="833"/>
      <c r="AM41" s="833"/>
      <c r="AN41" s="833"/>
      <c r="AO41" s="833"/>
      <c r="AP41" s="833"/>
      <c r="AQ41" s="833"/>
      <c r="AR41" s="833"/>
      <c r="AS41" s="190"/>
      <c r="AT41" s="190"/>
      <c r="AU41" s="190"/>
      <c r="AV41" s="833"/>
      <c r="AW41" s="833"/>
      <c r="AX41" s="833"/>
      <c r="AY41" s="833"/>
      <c r="AZ41" s="833"/>
      <c r="BA41" s="833"/>
      <c r="BB41" s="833"/>
      <c r="BC41" s="774"/>
      <c r="BF41" s="669" t="s">
        <v>627</v>
      </c>
    </row>
    <row r="42" spans="5:58" ht="14.65" hidden="1" customHeight="1">
      <c r="E42" s="459">
        <v>15</v>
      </c>
      <c r="F42" s="3" cm="1">
        <f t="array" aca="1" ref="F42" ca="1">OFFSET(E42,-1,1)</f>
        <v>0</v>
      </c>
      <c r="H42" s="17" t="s">
        <v>628</v>
      </c>
      <c r="T42" s="351" t="b" cm="1">
        <f t="array" ref="T42">T41</f>
        <v>0</v>
      </c>
      <c r="X42" s="1024"/>
      <c r="Y42" s="1007"/>
      <c r="AB42" s="153" t="s">
        <v>444</v>
      </c>
      <c r="AC42" s="234" t="s">
        <v>629</v>
      </c>
      <c r="AD42" s="12" t="s">
        <v>585</v>
      </c>
      <c r="AE42" s="833"/>
      <c r="AF42" s="833"/>
      <c r="AG42" s="833"/>
      <c r="AH42" s="833"/>
      <c r="AI42" s="190"/>
      <c r="AJ42" s="190"/>
      <c r="AK42" s="190"/>
      <c r="AL42" s="833"/>
      <c r="AM42" s="833"/>
      <c r="AN42" s="833"/>
      <c r="AO42" s="833"/>
      <c r="AP42" s="833"/>
      <c r="AQ42" s="833"/>
      <c r="AR42" s="833"/>
      <c r="AS42" s="190"/>
      <c r="AT42" s="190"/>
      <c r="AU42" s="190"/>
      <c r="AV42" s="833"/>
      <c r="AW42" s="833"/>
      <c r="AX42" s="833"/>
      <c r="AY42" s="833"/>
      <c r="AZ42" s="833"/>
      <c r="BA42" s="833"/>
      <c r="BB42" s="833"/>
      <c r="BC42" s="774"/>
      <c r="BF42" s="669" t="s">
        <v>630</v>
      </c>
    </row>
    <row r="43" spans="5:58" ht="14.65" hidden="1" customHeight="1">
      <c r="E43" s="459">
        <v>15</v>
      </c>
      <c r="F43" s="3" cm="1">
        <f t="array" aca="1" ref="F43" ca="1">OFFSET(E43,-1,1)</f>
        <v>0</v>
      </c>
      <c r="H43" s="17" t="s">
        <v>631</v>
      </c>
      <c r="T43" s="351" t="b" cm="1">
        <f t="array" ref="T43">T42</f>
        <v>0</v>
      </c>
      <c r="X43" s="1024"/>
      <c r="Y43" s="1007"/>
      <c r="AB43" s="153" t="s">
        <v>632</v>
      </c>
      <c r="AC43" s="235" t="s">
        <v>633</v>
      </c>
      <c r="AD43" s="12" t="s">
        <v>501</v>
      </c>
      <c r="AE43" s="817">
        <f t="shared" ref="AE43:BB43" si="5">IF(AE38=0,0,AE42/AE38*100)</f>
        <v>0</v>
      </c>
      <c r="AF43" s="817">
        <f t="shared" si="5"/>
        <v>0</v>
      </c>
      <c r="AG43" s="817">
        <f t="shared" si="5"/>
        <v>0</v>
      </c>
      <c r="AH43" s="817">
        <f t="shared" si="5"/>
        <v>0</v>
      </c>
      <c r="AI43" s="57">
        <f t="shared" si="5"/>
        <v>0</v>
      </c>
      <c r="AJ43" s="57">
        <f t="shared" si="5"/>
        <v>0</v>
      </c>
      <c r="AK43" s="57">
        <f t="shared" si="5"/>
        <v>0</v>
      </c>
      <c r="AL43" s="817">
        <f t="shared" si="5"/>
        <v>0</v>
      </c>
      <c r="AM43" s="817">
        <f t="shared" si="5"/>
        <v>0</v>
      </c>
      <c r="AN43" s="817">
        <f t="shared" si="5"/>
        <v>0</v>
      </c>
      <c r="AO43" s="817">
        <f t="shared" si="5"/>
        <v>0</v>
      </c>
      <c r="AP43" s="817">
        <f t="shared" si="5"/>
        <v>0</v>
      </c>
      <c r="AQ43" s="817">
        <f t="shared" si="5"/>
        <v>0</v>
      </c>
      <c r="AR43" s="817">
        <f t="shared" si="5"/>
        <v>0</v>
      </c>
      <c r="AS43" s="57">
        <f t="shared" si="5"/>
        <v>0</v>
      </c>
      <c r="AT43" s="57">
        <f t="shared" si="5"/>
        <v>0</v>
      </c>
      <c r="AU43" s="57">
        <f t="shared" si="5"/>
        <v>0</v>
      </c>
      <c r="AV43" s="817">
        <f t="shared" si="5"/>
        <v>0</v>
      </c>
      <c r="AW43" s="817">
        <f t="shared" si="5"/>
        <v>0</v>
      </c>
      <c r="AX43" s="817">
        <f t="shared" si="5"/>
        <v>0</v>
      </c>
      <c r="AY43" s="817">
        <f t="shared" si="5"/>
        <v>0</v>
      </c>
      <c r="AZ43" s="817">
        <f t="shared" si="5"/>
        <v>0</v>
      </c>
      <c r="BA43" s="817">
        <f t="shared" si="5"/>
        <v>0</v>
      </c>
      <c r="BB43" s="817">
        <f t="shared" si="5"/>
        <v>0</v>
      </c>
      <c r="BC43" s="774"/>
      <c r="BF43" s="669" t="s">
        <v>634</v>
      </c>
    </row>
    <row r="44" spans="5:58" ht="14.65" hidden="1" customHeight="1">
      <c r="E44" s="459">
        <v>15</v>
      </c>
      <c r="F44" s="3" cm="1">
        <f t="array" aca="1" ref="F44" ca="1">OFFSET(E44,-1,1)</f>
        <v>0</v>
      </c>
      <c r="H44" s="17" t="s">
        <v>635</v>
      </c>
      <c r="T44" s="351" t="b" cm="1">
        <f t="array" ref="T44">T43</f>
        <v>0</v>
      </c>
      <c r="X44" s="1024"/>
      <c r="Y44" s="1007"/>
      <c r="AB44" s="153" t="s">
        <v>446</v>
      </c>
      <c r="AC44" s="234" t="s">
        <v>636</v>
      </c>
      <c r="AD44" s="12" t="s">
        <v>585</v>
      </c>
      <c r="AE44" s="222">
        <f t="shared" ref="AE44:BB44" si="6">AE45+AE49+AE52+AE62</f>
        <v>0</v>
      </c>
      <c r="AF44" s="222">
        <f t="shared" si="6"/>
        <v>0</v>
      </c>
      <c r="AG44" s="222">
        <f t="shared" si="6"/>
        <v>0</v>
      </c>
      <c r="AH44" s="222">
        <f t="shared" si="6"/>
        <v>0</v>
      </c>
      <c r="AI44" s="222">
        <f t="shared" si="6"/>
        <v>0</v>
      </c>
      <c r="AJ44" s="222">
        <f t="shared" si="6"/>
        <v>0</v>
      </c>
      <c r="AK44" s="222">
        <f t="shared" si="6"/>
        <v>0</v>
      </c>
      <c r="AL44" s="222">
        <f t="shared" si="6"/>
        <v>0</v>
      </c>
      <c r="AM44" s="222">
        <f t="shared" si="6"/>
        <v>0</v>
      </c>
      <c r="AN44" s="222">
        <f t="shared" si="6"/>
        <v>0</v>
      </c>
      <c r="AO44" s="222">
        <f t="shared" si="6"/>
        <v>0</v>
      </c>
      <c r="AP44" s="222">
        <f t="shared" si="6"/>
        <v>0</v>
      </c>
      <c r="AQ44" s="222">
        <f t="shared" si="6"/>
        <v>0</v>
      </c>
      <c r="AR44" s="222">
        <f t="shared" si="6"/>
        <v>0</v>
      </c>
      <c r="AS44" s="222">
        <f t="shared" si="6"/>
        <v>0</v>
      </c>
      <c r="AT44" s="222">
        <f t="shared" si="6"/>
        <v>0</v>
      </c>
      <c r="AU44" s="222">
        <f t="shared" si="6"/>
        <v>0</v>
      </c>
      <c r="AV44" s="222">
        <f t="shared" si="6"/>
        <v>0</v>
      </c>
      <c r="AW44" s="222">
        <f t="shared" si="6"/>
        <v>0</v>
      </c>
      <c r="AX44" s="222">
        <f t="shared" si="6"/>
        <v>0</v>
      </c>
      <c r="AY44" s="222">
        <f t="shared" si="6"/>
        <v>0</v>
      </c>
      <c r="AZ44" s="222">
        <f t="shared" si="6"/>
        <v>0</v>
      </c>
      <c r="BA44" s="222">
        <f t="shared" si="6"/>
        <v>0</v>
      </c>
      <c r="BB44" s="222">
        <f t="shared" si="6"/>
        <v>0</v>
      </c>
      <c r="BC44" s="774"/>
      <c r="BF44" s="669" t="s">
        <v>637</v>
      </c>
    </row>
    <row r="45" spans="5:58" ht="14.65" hidden="1" customHeight="1">
      <c r="E45" s="459">
        <v>15</v>
      </c>
      <c r="F45" s="3" cm="1">
        <f t="array" aca="1" ref="F45" ca="1">OFFSET(E45,-1,1)</f>
        <v>0</v>
      </c>
      <c r="G45" s="17" t="str">
        <f>IF(OwnNeedsInPO="да","ПО","")</f>
        <v/>
      </c>
      <c r="H45" s="17" t="s">
        <v>638</v>
      </c>
      <c r="T45" s="351" t="b" cm="1">
        <f t="array" ref="T45">T44</f>
        <v>0</v>
      </c>
      <c r="X45" s="1024"/>
      <c r="Y45" s="1007"/>
      <c r="AB45" s="153" t="s">
        <v>639</v>
      </c>
      <c r="AC45" s="105" t="s">
        <v>640</v>
      </c>
      <c r="AD45" s="12" t="s">
        <v>585</v>
      </c>
      <c r="AE45" s="222">
        <f t="shared" ref="AE45:BB45" si="7">SUM(AE46:AE48)</f>
        <v>0</v>
      </c>
      <c r="AF45" s="222">
        <f t="shared" si="7"/>
        <v>0</v>
      </c>
      <c r="AG45" s="222">
        <f t="shared" si="7"/>
        <v>0</v>
      </c>
      <c r="AH45" s="222">
        <f t="shared" si="7"/>
        <v>0</v>
      </c>
      <c r="AI45" s="222">
        <f t="shared" si="7"/>
        <v>0</v>
      </c>
      <c r="AJ45" s="222">
        <f t="shared" si="7"/>
        <v>0</v>
      </c>
      <c r="AK45" s="222">
        <f t="shared" si="7"/>
        <v>0</v>
      </c>
      <c r="AL45" s="222">
        <f t="shared" si="7"/>
        <v>0</v>
      </c>
      <c r="AM45" s="222">
        <f t="shared" si="7"/>
        <v>0</v>
      </c>
      <c r="AN45" s="222">
        <f t="shared" si="7"/>
        <v>0</v>
      </c>
      <c r="AO45" s="222">
        <f t="shared" si="7"/>
        <v>0</v>
      </c>
      <c r="AP45" s="222">
        <f t="shared" si="7"/>
        <v>0</v>
      </c>
      <c r="AQ45" s="222">
        <f t="shared" si="7"/>
        <v>0</v>
      </c>
      <c r="AR45" s="222">
        <f t="shared" si="7"/>
        <v>0</v>
      </c>
      <c r="AS45" s="222">
        <f t="shared" si="7"/>
        <v>0</v>
      </c>
      <c r="AT45" s="222">
        <f t="shared" si="7"/>
        <v>0</v>
      </c>
      <c r="AU45" s="222">
        <f t="shared" si="7"/>
        <v>0</v>
      </c>
      <c r="AV45" s="222">
        <f t="shared" si="7"/>
        <v>0</v>
      </c>
      <c r="AW45" s="222">
        <f t="shared" si="7"/>
        <v>0</v>
      </c>
      <c r="AX45" s="222">
        <f t="shared" si="7"/>
        <v>0</v>
      </c>
      <c r="AY45" s="222">
        <f t="shared" si="7"/>
        <v>0</v>
      </c>
      <c r="AZ45" s="222">
        <f t="shared" si="7"/>
        <v>0</v>
      </c>
      <c r="BA45" s="222">
        <f t="shared" si="7"/>
        <v>0</v>
      </c>
      <c r="BB45" s="222">
        <f t="shared" si="7"/>
        <v>0</v>
      </c>
      <c r="BC45" s="774"/>
      <c r="BF45" s="669" t="s">
        <v>641</v>
      </c>
    </row>
    <row r="46" spans="5:58" ht="14.65" hidden="1" customHeight="1">
      <c r="E46" s="459">
        <v>15</v>
      </c>
      <c r="F46" s="3" cm="1">
        <f t="array" aca="1" ref="F46" ca="1">OFFSET(E46,-1,1)</f>
        <v>0</v>
      </c>
      <c r="H46" s="17" t="s">
        <v>642</v>
      </c>
      <c r="T46" s="351" t="b" cm="1">
        <f t="array" ref="T46">T45</f>
        <v>0</v>
      </c>
      <c r="X46" s="1024"/>
      <c r="Y46" s="1007"/>
      <c r="AB46" s="153" t="s">
        <v>643</v>
      </c>
      <c r="AC46" s="236" t="s">
        <v>644</v>
      </c>
      <c r="AD46" s="12" t="s">
        <v>585</v>
      </c>
      <c r="AE46" s="833"/>
      <c r="AF46" s="833"/>
      <c r="AG46" s="833"/>
      <c r="AH46" s="833"/>
      <c r="AI46" s="190"/>
      <c r="AJ46" s="190"/>
      <c r="AK46" s="190"/>
      <c r="AL46" s="833"/>
      <c r="AM46" s="833"/>
      <c r="AN46" s="833"/>
      <c r="AO46" s="833"/>
      <c r="AP46" s="833"/>
      <c r="AQ46" s="833"/>
      <c r="AR46" s="833"/>
      <c r="AS46" s="190"/>
      <c r="AT46" s="190"/>
      <c r="AU46" s="190"/>
      <c r="AV46" s="833"/>
      <c r="AW46" s="833"/>
      <c r="AX46" s="833"/>
      <c r="AY46" s="833"/>
      <c r="AZ46" s="833"/>
      <c r="BA46" s="833"/>
      <c r="BB46" s="833"/>
      <c r="BC46" s="774"/>
      <c r="BF46" s="669" t="s">
        <v>645</v>
      </c>
    </row>
    <row r="47" spans="5:58" ht="14.65" hidden="1" customHeight="1">
      <c r="E47" s="459">
        <v>15</v>
      </c>
      <c r="F47" s="3" cm="1">
        <f t="array" aca="1" ref="F47" ca="1">OFFSET(E47,-1,1)</f>
        <v>0</v>
      </c>
      <c r="H47" s="17" t="s">
        <v>646</v>
      </c>
      <c r="T47" s="351" t="b" cm="1">
        <f t="array" ref="T47">T46</f>
        <v>0</v>
      </c>
      <c r="X47" s="1024"/>
      <c r="Y47" s="1007"/>
      <c r="AB47" s="153" t="s">
        <v>647</v>
      </c>
      <c r="AC47" s="236" t="s">
        <v>648</v>
      </c>
      <c r="AD47" s="12" t="s">
        <v>585</v>
      </c>
      <c r="AE47" s="833"/>
      <c r="AF47" s="833"/>
      <c r="AG47" s="833"/>
      <c r="AH47" s="833"/>
      <c r="AI47" s="190"/>
      <c r="AJ47" s="190"/>
      <c r="AK47" s="190"/>
      <c r="AL47" s="833"/>
      <c r="AM47" s="833"/>
      <c r="AN47" s="833"/>
      <c r="AO47" s="833"/>
      <c r="AP47" s="833"/>
      <c r="AQ47" s="833"/>
      <c r="AR47" s="833"/>
      <c r="AS47" s="190"/>
      <c r="AT47" s="190"/>
      <c r="AU47" s="190"/>
      <c r="AV47" s="833"/>
      <c r="AW47" s="833"/>
      <c r="AX47" s="833"/>
      <c r="AY47" s="833"/>
      <c r="AZ47" s="833"/>
      <c r="BA47" s="833"/>
      <c r="BB47" s="833"/>
      <c r="BC47" s="774"/>
      <c r="BF47" s="669" t="s">
        <v>649</v>
      </c>
    </row>
    <row r="48" spans="5:58" ht="14.65" hidden="1" customHeight="1">
      <c r="E48" s="459">
        <v>15</v>
      </c>
      <c r="F48" s="3" cm="1">
        <f t="array" aca="1" ref="F48" ca="1">OFFSET(E48,-1,1)</f>
        <v>0</v>
      </c>
      <c r="H48" s="17" t="s">
        <v>650</v>
      </c>
      <c r="T48" s="351" t="b" cm="1">
        <f t="array" ref="T48">T47</f>
        <v>0</v>
      </c>
      <c r="X48" s="1024"/>
      <c r="Y48" s="1007"/>
      <c r="AB48" s="153" t="s">
        <v>651</v>
      </c>
      <c r="AC48" s="236" t="s">
        <v>652</v>
      </c>
      <c r="AD48" s="12" t="s">
        <v>585</v>
      </c>
      <c r="AE48" s="833"/>
      <c r="AF48" s="833"/>
      <c r="AG48" s="833"/>
      <c r="AH48" s="833"/>
      <c r="AI48" s="190"/>
      <c r="AJ48" s="190"/>
      <c r="AK48" s="190"/>
      <c r="AL48" s="833"/>
      <c r="AM48" s="833"/>
      <c r="AN48" s="833"/>
      <c r="AO48" s="833"/>
      <c r="AP48" s="833"/>
      <c r="AQ48" s="833"/>
      <c r="AR48" s="833"/>
      <c r="AS48" s="190"/>
      <c r="AT48" s="190"/>
      <c r="AU48" s="190"/>
      <c r="AV48" s="833"/>
      <c r="AW48" s="833"/>
      <c r="AX48" s="833"/>
      <c r="AY48" s="833"/>
      <c r="AZ48" s="833"/>
      <c r="BA48" s="833"/>
      <c r="BB48" s="833"/>
      <c r="BC48" s="774"/>
      <c r="BF48" s="669" t="s">
        <v>653</v>
      </c>
    </row>
    <row r="49" spans="1:58" ht="14.65" hidden="1" customHeight="1">
      <c r="E49" s="459">
        <v>15</v>
      </c>
      <c r="F49" s="3" cm="1">
        <f t="array" aca="1" ref="F49" ca="1">OFFSET(E49,-1,1)</f>
        <v>0</v>
      </c>
      <c r="G49" s="17" t="s">
        <v>654</v>
      </c>
      <c r="H49" s="17" t="s">
        <v>655</v>
      </c>
      <c r="T49" s="351" t="b" cm="1">
        <f t="array" ref="T49">T48</f>
        <v>0</v>
      </c>
      <c r="X49" s="1024"/>
      <c r="Y49" s="1007"/>
      <c r="AB49" s="153" t="s">
        <v>656</v>
      </c>
      <c r="AC49" s="105" t="s">
        <v>657</v>
      </c>
      <c r="AD49" s="12" t="s">
        <v>585</v>
      </c>
      <c r="AE49" s="222">
        <f t="shared" ref="AE49:BB49" si="8">SUM(AE50:AE51)</f>
        <v>0</v>
      </c>
      <c r="AF49" s="222">
        <f t="shared" si="8"/>
        <v>0</v>
      </c>
      <c r="AG49" s="222">
        <f t="shared" si="8"/>
        <v>0</v>
      </c>
      <c r="AH49" s="222">
        <f t="shared" si="8"/>
        <v>0</v>
      </c>
      <c r="AI49" s="222">
        <f t="shared" si="8"/>
        <v>0</v>
      </c>
      <c r="AJ49" s="222">
        <f t="shared" si="8"/>
        <v>0</v>
      </c>
      <c r="AK49" s="222">
        <f t="shared" si="8"/>
        <v>0</v>
      </c>
      <c r="AL49" s="222">
        <f t="shared" si="8"/>
        <v>0</v>
      </c>
      <c r="AM49" s="222">
        <f t="shared" si="8"/>
        <v>0</v>
      </c>
      <c r="AN49" s="222">
        <f t="shared" si="8"/>
        <v>0</v>
      </c>
      <c r="AO49" s="222">
        <f t="shared" si="8"/>
        <v>0</v>
      </c>
      <c r="AP49" s="222">
        <f t="shared" si="8"/>
        <v>0</v>
      </c>
      <c r="AQ49" s="222">
        <f t="shared" si="8"/>
        <v>0</v>
      </c>
      <c r="AR49" s="222">
        <f t="shared" si="8"/>
        <v>0</v>
      </c>
      <c r="AS49" s="222">
        <f t="shared" si="8"/>
        <v>0</v>
      </c>
      <c r="AT49" s="222">
        <f t="shared" si="8"/>
        <v>0</v>
      </c>
      <c r="AU49" s="222">
        <f t="shared" si="8"/>
        <v>0</v>
      </c>
      <c r="AV49" s="222">
        <f t="shared" si="8"/>
        <v>0</v>
      </c>
      <c r="AW49" s="222">
        <f t="shared" si="8"/>
        <v>0</v>
      </c>
      <c r="AX49" s="222">
        <f t="shared" si="8"/>
        <v>0</v>
      </c>
      <c r="AY49" s="222">
        <f t="shared" si="8"/>
        <v>0</v>
      </c>
      <c r="AZ49" s="222">
        <f t="shared" si="8"/>
        <v>0</v>
      </c>
      <c r="BA49" s="222">
        <f t="shared" si="8"/>
        <v>0</v>
      </c>
      <c r="BB49" s="222">
        <f t="shared" si="8"/>
        <v>0</v>
      </c>
      <c r="BC49" s="774"/>
      <c r="BF49" s="669" t="s">
        <v>658</v>
      </c>
    </row>
    <row r="50" spans="1:58" ht="14.65" hidden="1" customHeight="1">
      <c r="E50" s="459">
        <v>15</v>
      </c>
      <c r="F50" s="3" cm="1">
        <f t="array" aca="1" ref="F50" ca="1">OFFSET(E50,-1,1)</f>
        <v>0</v>
      </c>
      <c r="H50" s="17" t="s">
        <v>659</v>
      </c>
      <c r="T50" s="351" t="b" cm="1">
        <f t="array" ref="T50">T49</f>
        <v>0</v>
      </c>
      <c r="X50" s="1024"/>
      <c r="Y50" s="1007"/>
      <c r="AB50" s="153" t="s">
        <v>660</v>
      </c>
      <c r="AC50" s="236" t="s">
        <v>661</v>
      </c>
      <c r="AD50" s="12" t="s">
        <v>585</v>
      </c>
      <c r="AE50" s="833"/>
      <c r="AF50" s="833"/>
      <c r="AG50" s="833"/>
      <c r="AH50" s="833"/>
      <c r="AI50" s="190"/>
      <c r="AJ50" s="190"/>
      <c r="AK50" s="190"/>
      <c r="AL50" s="833"/>
      <c r="AM50" s="833"/>
      <c r="AN50" s="833"/>
      <c r="AO50" s="833"/>
      <c r="AP50" s="833"/>
      <c r="AQ50" s="833"/>
      <c r="AR50" s="833"/>
      <c r="AS50" s="190"/>
      <c r="AT50" s="190"/>
      <c r="AU50" s="190"/>
      <c r="AV50" s="833"/>
      <c r="AW50" s="833"/>
      <c r="AX50" s="833"/>
      <c r="AY50" s="833"/>
      <c r="AZ50" s="833"/>
      <c r="BA50" s="833"/>
      <c r="BB50" s="833"/>
      <c r="BC50" s="774"/>
      <c r="BF50" s="669" t="s">
        <v>662</v>
      </c>
    </row>
    <row r="51" spans="1:58" ht="14.65" hidden="1" customHeight="1">
      <c r="E51" s="459">
        <v>15</v>
      </c>
      <c r="F51" s="3" cm="1">
        <f t="array" aca="1" ref="F51" ca="1">OFFSET(E51,-1,1)</f>
        <v>0</v>
      </c>
      <c r="H51" s="17" t="s">
        <v>663</v>
      </c>
      <c r="T51" s="351" t="b" cm="1">
        <f t="array" ref="T51">T50</f>
        <v>0</v>
      </c>
      <c r="X51" s="1024"/>
      <c r="Y51" s="1007"/>
      <c r="AB51" s="153" t="s">
        <v>664</v>
      </c>
      <c r="AC51" s="236" t="s">
        <v>665</v>
      </c>
      <c r="AD51" s="12" t="s">
        <v>585</v>
      </c>
      <c r="AE51" s="833"/>
      <c r="AF51" s="833"/>
      <c r="AG51" s="833"/>
      <c r="AH51" s="833"/>
      <c r="AI51" s="190"/>
      <c r="AJ51" s="190"/>
      <c r="AK51" s="190"/>
      <c r="AL51" s="833"/>
      <c r="AM51" s="833"/>
      <c r="AN51" s="833"/>
      <c r="AO51" s="833"/>
      <c r="AP51" s="833"/>
      <c r="AQ51" s="833"/>
      <c r="AR51" s="833"/>
      <c r="AS51" s="190"/>
      <c r="AT51" s="190"/>
      <c r="AU51" s="190"/>
      <c r="AV51" s="833"/>
      <c r="AW51" s="833"/>
      <c r="AX51" s="833"/>
      <c r="AY51" s="833"/>
      <c r="AZ51" s="833"/>
      <c r="BA51" s="833"/>
      <c r="BB51" s="833"/>
      <c r="BC51" s="774"/>
      <c r="BF51" s="669" t="s">
        <v>666</v>
      </c>
    </row>
    <row r="52" spans="1:58" ht="14.65" hidden="1" customHeight="1">
      <c r="E52" s="459">
        <v>15</v>
      </c>
      <c r="F52" s="3" cm="1">
        <f t="array" aca="1" ref="F52" ca="1">OFFSET(E52,-1,1)</f>
        <v>0</v>
      </c>
      <c r="G52" s="17" t="s">
        <v>654</v>
      </c>
      <c r="H52" s="17" t="s">
        <v>667</v>
      </c>
      <c r="T52" s="351" t="b" cm="1">
        <f t="array" ref="T52">T51</f>
        <v>0</v>
      </c>
      <c r="X52" s="1024"/>
      <c r="Y52" s="1007"/>
      <c r="AB52" s="153" t="s">
        <v>668</v>
      </c>
      <c r="AC52" s="105" t="s">
        <v>669</v>
      </c>
      <c r="AD52" s="12" t="s">
        <v>585</v>
      </c>
      <c r="AE52" s="222">
        <f t="shared" ref="AE52:BB52" si="9">AE53+AE56+AE59</f>
        <v>0</v>
      </c>
      <c r="AF52" s="222">
        <f t="shared" si="9"/>
        <v>0</v>
      </c>
      <c r="AG52" s="222">
        <f t="shared" si="9"/>
        <v>0</v>
      </c>
      <c r="AH52" s="222">
        <f t="shared" si="9"/>
        <v>0</v>
      </c>
      <c r="AI52" s="222">
        <f t="shared" si="9"/>
        <v>0</v>
      </c>
      <c r="AJ52" s="222">
        <f t="shared" si="9"/>
        <v>0</v>
      </c>
      <c r="AK52" s="222">
        <f t="shared" si="9"/>
        <v>0</v>
      </c>
      <c r="AL52" s="222">
        <f t="shared" si="9"/>
        <v>0</v>
      </c>
      <c r="AM52" s="222">
        <f t="shared" si="9"/>
        <v>0</v>
      </c>
      <c r="AN52" s="222">
        <f t="shared" si="9"/>
        <v>0</v>
      </c>
      <c r="AO52" s="222">
        <f t="shared" si="9"/>
        <v>0</v>
      </c>
      <c r="AP52" s="222">
        <f t="shared" si="9"/>
        <v>0</v>
      </c>
      <c r="AQ52" s="222">
        <f t="shared" si="9"/>
        <v>0</v>
      </c>
      <c r="AR52" s="222">
        <f t="shared" si="9"/>
        <v>0</v>
      </c>
      <c r="AS52" s="222">
        <f t="shared" si="9"/>
        <v>0</v>
      </c>
      <c r="AT52" s="222">
        <f t="shared" si="9"/>
        <v>0</v>
      </c>
      <c r="AU52" s="222">
        <f t="shared" si="9"/>
        <v>0</v>
      </c>
      <c r="AV52" s="222">
        <f t="shared" si="9"/>
        <v>0</v>
      </c>
      <c r="AW52" s="222">
        <f t="shared" si="9"/>
        <v>0</v>
      </c>
      <c r="AX52" s="222">
        <f t="shared" si="9"/>
        <v>0</v>
      </c>
      <c r="AY52" s="222">
        <f t="shared" si="9"/>
        <v>0</v>
      </c>
      <c r="AZ52" s="222">
        <f t="shared" si="9"/>
        <v>0</v>
      </c>
      <c r="BA52" s="222">
        <f t="shared" si="9"/>
        <v>0</v>
      </c>
      <c r="BB52" s="222">
        <f t="shared" si="9"/>
        <v>0</v>
      </c>
      <c r="BC52" s="774"/>
      <c r="BF52" s="669" t="s">
        <v>670</v>
      </c>
    </row>
    <row r="53" spans="1:58" ht="14.65" hidden="1" customHeight="1">
      <c r="E53" s="459">
        <v>15</v>
      </c>
      <c r="F53" s="3" cm="1">
        <f t="array" aca="1" ref="F53" ca="1">OFFSET(E53,-1,1)</f>
        <v>0</v>
      </c>
      <c r="H53" s="17" t="s">
        <v>671</v>
      </c>
      <c r="T53" s="351" t="b" cm="1">
        <f t="array" ref="T53">T52</f>
        <v>0</v>
      </c>
      <c r="X53" s="1024"/>
      <c r="Y53" s="1007"/>
      <c r="AB53" s="153" t="s">
        <v>672</v>
      </c>
      <c r="AC53" s="236" t="s">
        <v>673</v>
      </c>
      <c r="AD53" s="12" t="s">
        <v>585</v>
      </c>
      <c r="AE53" s="222">
        <f t="shared" ref="AE53:BB53" si="10">SUM(AE54:AE55)</f>
        <v>0</v>
      </c>
      <c r="AF53" s="222">
        <f t="shared" si="10"/>
        <v>0</v>
      </c>
      <c r="AG53" s="222">
        <f t="shared" si="10"/>
        <v>0</v>
      </c>
      <c r="AH53" s="222">
        <f t="shared" si="10"/>
        <v>0</v>
      </c>
      <c r="AI53" s="222">
        <f t="shared" si="10"/>
        <v>0</v>
      </c>
      <c r="AJ53" s="222">
        <f t="shared" si="10"/>
        <v>0</v>
      </c>
      <c r="AK53" s="222">
        <f t="shared" si="10"/>
        <v>0</v>
      </c>
      <c r="AL53" s="222">
        <f t="shared" si="10"/>
        <v>0</v>
      </c>
      <c r="AM53" s="222">
        <f t="shared" si="10"/>
        <v>0</v>
      </c>
      <c r="AN53" s="222">
        <f t="shared" si="10"/>
        <v>0</v>
      </c>
      <c r="AO53" s="222">
        <f t="shared" si="10"/>
        <v>0</v>
      </c>
      <c r="AP53" s="222">
        <f t="shared" si="10"/>
        <v>0</v>
      </c>
      <c r="AQ53" s="222">
        <f t="shared" si="10"/>
        <v>0</v>
      </c>
      <c r="AR53" s="222">
        <f t="shared" si="10"/>
        <v>0</v>
      </c>
      <c r="AS53" s="222">
        <f t="shared" si="10"/>
        <v>0</v>
      </c>
      <c r="AT53" s="222">
        <f t="shared" si="10"/>
        <v>0</v>
      </c>
      <c r="AU53" s="222">
        <f t="shared" si="10"/>
        <v>0</v>
      </c>
      <c r="AV53" s="222">
        <f t="shared" si="10"/>
        <v>0</v>
      </c>
      <c r="AW53" s="222">
        <f t="shared" si="10"/>
        <v>0</v>
      </c>
      <c r="AX53" s="222">
        <f t="shared" si="10"/>
        <v>0</v>
      </c>
      <c r="AY53" s="222">
        <f t="shared" si="10"/>
        <v>0</v>
      </c>
      <c r="AZ53" s="222">
        <f t="shared" si="10"/>
        <v>0</v>
      </c>
      <c r="BA53" s="222">
        <f t="shared" si="10"/>
        <v>0</v>
      </c>
      <c r="BB53" s="222">
        <f t="shared" si="10"/>
        <v>0</v>
      </c>
      <c r="BC53" s="774"/>
      <c r="BF53" s="669" t="s">
        <v>674</v>
      </c>
    </row>
    <row r="54" spans="1:58" ht="14.65" hidden="1" customHeight="1">
      <c r="E54" s="459">
        <v>15</v>
      </c>
      <c r="F54" s="3" cm="1">
        <f t="array" aca="1" ref="F54" ca="1">OFFSET(E54,-1,1)</f>
        <v>0</v>
      </c>
      <c r="H54" s="17" t="s">
        <v>675</v>
      </c>
      <c r="T54" s="351" t="b" cm="1">
        <f t="array" ref="T54">T53</f>
        <v>0</v>
      </c>
      <c r="X54" s="1024"/>
      <c r="Y54" s="1007"/>
      <c r="AB54" s="153" t="s">
        <v>676</v>
      </c>
      <c r="AC54" s="237" t="s">
        <v>661</v>
      </c>
      <c r="AD54" s="12" t="s">
        <v>585</v>
      </c>
      <c r="AE54" s="833"/>
      <c r="AF54" s="833"/>
      <c r="AG54" s="833"/>
      <c r="AH54" s="833"/>
      <c r="AI54" s="190"/>
      <c r="AJ54" s="190"/>
      <c r="AK54" s="190"/>
      <c r="AL54" s="833"/>
      <c r="AM54" s="833"/>
      <c r="AN54" s="833"/>
      <c r="AO54" s="833"/>
      <c r="AP54" s="833"/>
      <c r="AQ54" s="833"/>
      <c r="AR54" s="833"/>
      <c r="AS54" s="190"/>
      <c r="AT54" s="190"/>
      <c r="AU54" s="190"/>
      <c r="AV54" s="833"/>
      <c r="AW54" s="833"/>
      <c r="AX54" s="833"/>
      <c r="AY54" s="833"/>
      <c r="AZ54" s="833"/>
      <c r="BA54" s="833"/>
      <c r="BB54" s="833"/>
      <c r="BC54" s="774"/>
      <c r="BF54" s="669" t="s">
        <v>677</v>
      </c>
    </row>
    <row r="55" spans="1:58" ht="14.65" hidden="1" customHeight="1">
      <c r="E55" s="459">
        <v>15</v>
      </c>
      <c r="F55" s="3" cm="1">
        <f t="array" aca="1" ref="F55" ca="1">OFFSET(E55,-1,1)</f>
        <v>0</v>
      </c>
      <c r="H55" s="17" t="s">
        <v>678</v>
      </c>
      <c r="T55" s="351" t="b" cm="1">
        <f t="array" ref="T55">T54</f>
        <v>0</v>
      </c>
      <c r="X55" s="1024"/>
      <c r="Y55" s="1007"/>
      <c r="AB55" s="153" t="s">
        <v>679</v>
      </c>
      <c r="AC55" s="237" t="s">
        <v>665</v>
      </c>
      <c r="AD55" s="12" t="s">
        <v>585</v>
      </c>
      <c r="AE55" s="833"/>
      <c r="AF55" s="833"/>
      <c r="AG55" s="833"/>
      <c r="AH55" s="833"/>
      <c r="AI55" s="190"/>
      <c r="AJ55" s="190"/>
      <c r="AK55" s="190"/>
      <c r="AL55" s="833"/>
      <c r="AM55" s="833"/>
      <c r="AN55" s="833"/>
      <c r="AO55" s="833"/>
      <c r="AP55" s="833"/>
      <c r="AQ55" s="833"/>
      <c r="AR55" s="833"/>
      <c r="AS55" s="190"/>
      <c r="AT55" s="190"/>
      <c r="AU55" s="190"/>
      <c r="AV55" s="833"/>
      <c r="AW55" s="833"/>
      <c r="AX55" s="833"/>
      <c r="AY55" s="833"/>
      <c r="AZ55" s="833"/>
      <c r="BA55" s="833"/>
      <c r="BB55" s="833"/>
      <c r="BC55" s="774"/>
      <c r="BF55" s="669" t="s">
        <v>680</v>
      </c>
    </row>
    <row r="56" spans="1:58" ht="14.65" hidden="1" customHeight="1">
      <c r="E56" s="459">
        <v>15</v>
      </c>
      <c r="F56" s="3" cm="1">
        <f t="array" aca="1" ref="F56" ca="1">OFFSET(E56,-1,1)</f>
        <v>0</v>
      </c>
      <c r="G56" s="17" t="s">
        <v>681</v>
      </c>
      <c r="H56" s="17" t="s">
        <v>682</v>
      </c>
      <c r="T56" s="351" t="b" cm="1">
        <f t="array" ref="T56">T55</f>
        <v>0</v>
      </c>
      <c r="X56" s="1024"/>
      <c r="Y56" s="1007"/>
      <c r="AB56" s="153" t="s">
        <v>683</v>
      </c>
      <c r="AC56" s="236" t="s">
        <v>684</v>
      </c>
      <c r="AD56" s="12" t="s">
        <v>585</v>
      </c>
      <c r="AE56" s="222">
        <f t="shared" ref="AE56:BB56" si="11">SUM(AE57:AE58)</f>
        <v>0</v>
      </c>
      <c r="AF56" s="222">
        <f t="shared" si="11"/>
        <v>0</v>
      </c>
      <c r="AG56" s="222">
        <f t="shared" si="11"/>
        <v>0</v>
      </c>
      <c r="AH56" s="222">
        <f t="shared" si="11"/>
        <v>0</v>
      </c>
      <c r="AI56" s="222">
        <f t="shared" si="11"/>
        <v>0</v>
      </c>
      <c r="AJ56" s="222">
        <f t="shared" si="11"/>
        <v>0</v>
      </c>
      <c r="AK56" s="222">
        <f t="shared" si="11"/>
        <v>0</v>
      </c>
      <c r="AL56" s="222">
        <f t="shared" si="11"/>
        <v>0</v>
      </c>
      <c r="AM56" s="222">
        <f t="shared" si="11"/>
        <v>0</v>
      </c>
      <c r="AN56" s="222">
        <f t="shared" si="11"/>
        <v>0</v>
      </c>
      <c r="AO56" s="222">
        <f t="shared" si="11"/>
        <v>0</v>
      </c>
      <c r="AP56" s="222">
        <f t="shared" si="11"/>
        <v>0</v>
      </c>
      <c r="AQ56" s="222">
        <f t="shared" si="11"/>
        <v>0</v>
      </c>
      <c r="AR56" s="222">
        <f t="shared" si="11"/>
        <v>0</v>
      </c>
      <c r="AS56" s="222">
        <f t="shared" si="11"/>
        <v>0</v>
      </c>
      <c r="AT56" s="222">
        <f t="shared" si="11"/>
        <v>0</v>
      </c>
      <c r="AU56" s="222">
        <f t="shared" si="11"/>
        <v>0</v>
      </c>
      <c r="AV56" s="222">
        <f t="shared" si="11"/>
        <v>0</v>
      </c>
      <c r="AW56" s="222">
        <f t="shared" si="11"/>
        <v>0</v>
      </c>
      <c r="AX56" s="222">
        <f t="shared" si="11"/>
        <v>0</v>
      </c>
      <c r="AY56" s="222">
        <f t="shared" si="11"/>
        <v>0</v>
      </c>
      <c r="AZ56" s="222">
        <f t="shared" si="11"/>
        <v>0</v>
      </c>
      <c r="BA56" s="222">
        <f t="shared" si="11"/>
        <v>0</v>
      </c>
      <c r="BB56" s="222">
        <f t="shared" si="11"/>
        <v>0</v>
      </c>
      <c r="BC56" s="774"/>
      <c r="BF56" s="669" t="s">
        <v>685</v>
      </c>
    </row>
    <row r="57" spans="1:58" ht="14.65" hidden="1" customHeight="1">
      <c r="E57" s="459">
        <v>15</v>
      </c>
      <c r="F57" s="3" cm="1">
        <f t="array" aca="1" ref="F57" ca="1">OFFSET(E57,-1,1)</f>
        <v>0</v>
      </c>
      <c r="H57" s="17" t="s">
        <v>686</v>
      </c>
      <c r="T57" s="351" t="b" cm="1">
        <f t="array" ref="T57">T56</f>
        <v>0</v>
      </c>
      <c r="X57" s="1024"/>
      <c r="Y57" s="1007"/>
      <c r="AB57" s="153" t="s">
        <v>687</v>
      </c>
      <c r="AC57" s="237" t="s">
        <v>661</v>
      </c>
      <c r="AD57" s="12" t="s">
        <v>585</v>
      </c>
      <c r="AE57" s="833"/>
      <c r="AF57" s="833"/>
      <c r="AG57" s="833"/>
      <c r="AH57" s="833"/>
      <c r="AI57" s="190"/>
      <c r="AJ57" s="190"/>
      <c r="AK57" s="190"/>
      <c r="AL57" s="833"/>
      <c r="AM57" s="833"/>
      <c r="AN57" s="833"/>
      <c r="AO57" s="833"/>
      <c r="AP57" s="833"/>
      <c r="AQ57" s="833"/>
      <c r="AR57" s="833"/>
      <c r="AS57" s="190"/>
      <c r="AT57" s="190"/>
      <c r="AU57" s="190"/>
      <c r="AV57" s="833"/>
      <c r="AW57" s="833"/>
      <c r="AX57" s="833"/>
      <c r="AY57" s="833"/>
      <c r="AZ57" s="833"/>
      <c r="BA57" s="833"/>
      <c r="BB57" s="833"/>
      <c r="BC57" s="774"/>
      <c r="BF57" s="669" t="s">
        <v>688</v>
      </c>
    </row>
    <row r="58" spans="1:58" ht="14.65" hidden="1" customHeight="1">
      <c r="E58" s="459">
        <v>15</v>
      </c>
      <c r="F58" s="3" cm="1">
        <f t="array" aca="1" ref="F58" ca="1">OFFSET(E58,-1,1)</f>
        <v>0</v>
      </c>
      <c r="H58" s="17" t="s">
        <v>689</v>
      </c>
      <c r="T58" s="351" t="b" cm="1">
        <f t="array" ref="T58">T57</f>
        <v>0</v>
      </c>
      <c r="X58" s="1024"/>
      <c r="Y58" s="1007"/>
      <c r="AB58" s="153" t="s">
        <v>690</v>
      </c>
      <c r="AC58" s="237" t="s">
        <v>665</v>
      </c>
      <c r="AD58" s="12" t="s">
        <v>585</v>
      </c>
      <c r="AE58" s="833"/>
      <c r="AF58" s="833"/>
      <c r="AG58" s="833"/>
      <c r="AH58" s="833"/>
      <c r="AI58" s="190"/>
      <c r="AJ58" s="190"/>
      <c r="AK58" s="190"/>
      <c r="AL58" s="833"/>
      <c r="AM58" s="833"/>
      <c r="AN58" s="833"/>
      <c r="AO58" s="833"/>
      <c r="AP58" s="833"/>
      <c r="AQ58" s="833"/>
      <c r="AR58" s="833"/>
      <c r="AS58" s="190"/>
      <c r="AT58" s="190"/>
      <c r="AU58" s="190"/>
      <c r="AV58" s="833"/>
      <c r="AW58" s="833"/>
      <c r="AX58" s="833"/>
      <c r="AY58" s="833"/>
      <c r="AZ58" s="833"/>
      <c r="BA58" s="833"/>
      <c r="BB58" s="833"/>
      <c r="BC58" s="774"/>
      <c r="BF58" s="669" t="s">
        <v>691</v>
      </c>
    </row>
    <row r="59" spans="1:58" ht="14.65" hidden="1" customHeight="1">
      <c r="E59" s="459">
        <v>15</v>
      </c>
      <c r="F59" s="3" cm="1">
        <f t="array" aca="1" ref="F59" ca="1">OFFSET(E59,-1,1)</f>
        <v>0</v>
      </c>
      <c r="H59" s="17" t="s">
        <v>692</v>
      </c>
      <c r="T59" s="351" t="b" cm="1">
        <f t="array" ref="T59">T58</f>
        <v>0</v>
      </c>
      <c r="X59" s="1024"/>
      <c r="Y59" s="1007"/>
      <c r="AB59" s="153" t="s">
        <v>693</v>
      </c>
      <c r="AC59" s="236" t="s">
        <v>694</v>
      </c>
      <c r="AD59" s="12" t="s">
        <v>585</v>
      </c>
      <c r="AE59" s="222">
        <f t="shared" ref="AE59:BB59" si="12">SUM(AE60:AE61)</f>
        <v>0</v>
      </c>
      <c r="AF59" s="222">
        <f t="shared" si="12"/>
        <v>0</v>
      </c>
      <c r="AG59" s="222">
        <f t="shared" si="12"/>
        <v>0</v>
      </c>
      <c r="AH59" s="222">
        <f t="shared" si="12"/>
        <v>0</v>
      </c>
      <c r="AI59" s="222">
        <f t="shared" si="12"/>
        <v>0</v>
      </c>
      <c r="AJ59" s="222">
        <f t="shared" si="12"/>
        <v>0</v>
      </c>
      <c r="AK59" s="222">
        <f t="shared" si="12"/>
        <v>0</v>
      </c>
      <c r="AL59" s="222">
        <f t="shared" si="12"/>
        <v>0</v>
      </c>
      <c r="AM59" s="222">
        <f t="shared" si="12"/>
        <v>0</v>
      </c>
      <c r="AN59" s="222">
        <f t="shared" si="12"/>
        <v>0</v>
      </c>
      <c r="AO59" s="222">
        <f t="shared" si="12"/>
        <v>0</v>
      </c>
      <c r="AP59" s="222">
        <f t="shared" si="12"/>
        <v>0</v>
      </c>
      <c r="AQ59" s="222">
        <f t="shared" si="12"/>
        <v>0</v>
      </c>
      <c r="AR59" s="222">
        <f t="shared" si="12"/>
        <v>0</v>
      </c>
      <c r="AS59" s="222">
        <f t="shared" si="12"/>
        <v>0</v>
      </c>
      <c r="AT59" s="222">
        <f t="shared" si="12"/>
        <v>0</v>
      </c>
      <c r="AU59" s="222">
        <f t="shared" si="12"/>
        <v>0</v>
      </c>
      <c r="AV59" s="222">
        <f t="shared" si="12"/>
        <v>0</v>
      </c>
      <c r="AW59" s="222">
        <f t="shared" si="12"/>
        <v>0</v>
      </c>
      <c r="AX59" s="222">
        <f t="shared" si="12"/>
        <v>0</v>
      </c>
      <c r="AY59" s="222">
        <f t="shared" si="12"/>
        <v>0</v>
      </c>
      <c r="AZ59" s="222">
        <f t="shared" si="12"/>
        <v>0</v>
      </c>
      <c r="BA59" s="222">
        <f t="shared" si="12"/>
        <v>0</v>
      </c>
      <c r="BB59" s="222">
        <f t="shared" si="12"/>
        <v>0</v>
      </c>
      <c r="BC59" s="774"/>
      <c r="BF59" s="669" t="s">
        <v>695</v>
      </c>
    </row>
    <row r="60" spans="1:58" ht="14.65" hidden="1" customHeight="1">
      <c r="E60" s="459">
        <v>15</v>
      </c>
      <c r="F60" s="3" cm="1">
        <f t="array" aca="1" ref="F60" ca="1">OFFSET(E60,-1,1)</f>
        <v>0</v>
      </c>
      <c r="H60" s="17" t="s">
        <v>696</v>
      </c>
      <c r="T60" s="351" t="b" cm="1">
        <f t="array" ref="T60">T59</f>
        <v>0</v>
      </c>
      <c r="X60" s="1024"/>
      <c r="Y60" s="1007"/>
      <c r="AB60" s="153" t="s">
        <v>697</v>
      </c>
      <c r="AC60" s="237" t="s">
        <v>661</v>
      </c>
      <c r="AD60" s="12" t="s">
        <v>585</v>
      </c>
      <c r="AE60" s="833"/>
      <c r="AF60" s="833"/>
      <c r="AG60" s="833"/>
      <c r="AH60" s="833"/>
      <c r="AI60" s="190"/>
      <c r="AJ60" s="190"/>
      <c r="AK60" s="190"/>
      <c r="AL60" s="833"/>
      <c r="AM60" s="833"/>
      <c r="AN60" s="833"/>
      <c r="AO60" s="833"/>
      <c r="AP60" s="833"/>
      <c r="AQ60" s="833"/>
      <c r="AR60" s="833"/>
      <c r="AS60" s="190"/>
      <c r="AT60" s="190"/>
      <c r="AU60" s="190"/>
      <c r="AV60" s="833"/>
      <c r="AW60" s="833"/>
      <c r="AX60" s="833"/>
      <c r="AY60" s="833"/>
      <c r="AZ60" s="833"/>
      <c r="BA60" s="833"/>
      <c r="BB60" s="833"/>
      <c r="BC60" s="774"/>
      <c r="BF60" s="669" t="s">
        <v>698</v>
      </c>
    </row>
    <row r="61" spans="1:58" ht="14.65" hidden="1" customHeight="1">
      <c r="E61" s="459">
        <v>15</v>
      </c>
      <c r="F61" s="3" cm="1">
        <f t="array" aca="1" ref="F61" ca="1">OFFSET(E61,-1,1)</f>
        <v>0</v>
      </c>
      <c r="H61" s="17" t="s">
        <v>699</v>
      </c>
      <c r="T61" s="351" t="b" cm="1">
        <f t="array" ref="T61">T60</f>
        <v>0</v>
      </c>
      <c r="X61" s="1024"/>
      <c r="Y61" s="1007"/>
      <c r="AB61" s="153" t="s">
        <v>700</v>
      </c>
      <c r="AC61" s="237" t="s">
        <v>665</v>
      </c>
      <c r="AD61" s="12" t="s">
        <v>585</v>
      </c>
      <c r="AE61" s="833"/>
      <c r="AF61" s="833"/>
      <c r="AG61" s="833"/>
      <c r="AH61" s="833"/>
      <c r="AI61" s="190"/>
      <c r="AJ61" s="190"/>
      <c r="AK61" s="190"/>
      <c r="AL61" s="833"/>
      <c r="AM61" s="833"/>
      <c r="AN61" s="833"/>
      <c r="AO61" s="833"/>
      <c r="AP61" s="833"/>
      <c r="AQ61" s="833"/>
      <c r="AR61" s="833"/>
      <c r="AS61" s="190"/>
      <c r="AT61" s="190"/>
      <c r="AU61" s="190"/>
      <c r="AV61" s="833"/>
      <c r="AW61" s="833"/>
      <c r="AX61" s="833"/>
      <c r="AY61" s="833"/>
      <c r="AZ61" s="833"/>
      <c r="BA61" s="833"/>
      <c r="BB61" s="833"/>
      <c r="BC61" s="823"/>
      <c r="BF61" s="669" t="s">
        <v>701</v>
      </c>
    </row>
    <row r="62" spans="1:58" ht="21.95" hidden="1" customHeight="1">
      <c r="E62" s="459">
        <v>22.5</v>
      </c>
      <c r="F62" s="3" cm="1">
        <f t="array" aca="1" ref="F62" ca="1">OFFSET(E62,-1,1)</f>
        <v>0</v>
      </c>
      <c r="H62" s="17" t="s">
        <v>702</v>
      </c>
      <c r="I62" s="314"/>
      <c r="J62" s="314"/>
      <c r="T62" s="351" t="b" cm="1">
        <f t="array" ref="T62">T61</f>
        <v>0</v>
      </c>
      <c r="X62" s="1024"/>
      <c r="Y62" s="1007"/>
      <c r="AB62" s="153" t="s">
        <v>703</v>
      </c>
      <c r="AC62" s="238" t="s">
        <v>704</v>
      </c>
      <c r="AD62" s="12" t="s">
        <v>585</v>
      </c>
      <c r="AE62" s="822"/>
      <c r="AF62" s="822"/>
      <c r="AG62" s="822"/>
      <c r="AH62" s="822"/>
      <c r="AI62" s="187"/>
      <c r="AJ62" s="187"/>
      <c r="AK62" s="187"/>
      <c r="AL62" s="822"/>
      <c r="AM62" s="822"/>
      <c r="AN62" s="822"/>
      <c r="AO62" s="822"/>
      <c r="AP62" s="822"/>
      <c r="AQ62" s="822"/>
      <c r="AR62" s="822"/>
      <c r="AS62" s="187"/>
      <c r="AT62" s="187"/>
      <c r="AU62" s="187"/>
      <c r="AV62" s="822"/>
      <c r="AW62" s="822"/>
      <c r="AX62" s="822"/>
      <c r="AY62" s="822"/>
      <c r="AZ62" s="822"/>
      <c r="BA62" s="822"/>
      <c r="BB62" s="822"/>
      <c r="BC62" s="823"/>
      <c r="BF62" s="669" t="s">
        <v>705</v>
      </c>
    </row>
    <row r="63" spans="1:58" ht="14.65" hidden="1" customHeight="1">
      <c r="E63" s="459">
        <v>15</v>
      </c>
      <c r="F63" s="252" cm="1">
        <f t="array" aca="1" ref="F63" ca="1">OFFSET(E63,-1,1)</f>
        <v>0</v>
      </c>
      <c r="T63" s="351" t="b" cm="1">
        <f t="array" ref="T63">T62</f>
        <v>0</v>
      </c>
      <c r="X63" s="1024"/>
      <c r="Y63" s="1007"/>
      <c r="AB63" s="153" t="s">
        <v>706</v>
      </c>
      <c r="AC63" s="238" t="s">
        <v>707</v>
      </c>
      <c r="AD63" s="12" t="s">
        <v>585</v>
      </c>
      <c r="AE63" s="822"/>
      <c r="AF63" s="822"/>
      <c r="AG63" s="822"/>
      <c r="AH63" s="822"/>
      <c r="AI63" s="187"/>
      <c r="AJ63" s="187"/>
      <c r="AK63" s="187"/>
      <c r="AL63" s="822"/>
      <c r="AM63" s="822"/>
      <c r="AN63" s="822"/>
      <c r="AO63" s="822"/>
      <c r="AP63" s="822"/>
      <c r="AQ63" s="822"/>
      <c r="AR63" s="822"/>
      <c r="AS63" s="187"/>
      <c r="AT63" s="187"/>
      <c r="AU63" s="187"/>
      <c r="AV63" s="822"/>
      <c r="AW63" s="822"/>
      <c r="AX63" s="822"/>
      <c r="AY63" s="822"/>
      <c r="AZ63" s="822"/>
      <c r="BA63" s="822"/>
      <c r="BB63" s="822"/>
      <c r="BC63" s="823"/>
      <c r="BF63" s="669" t="s">
        <v>708</v>
      </c>
    </row>
    <row r="64" spans="1:58" ht="11.25" hidden="1" customHeight="1">
      <c r="A64" s="314"/>
      <c r="B64" s="477"/>
      <c r="C64" s="314"/>
      <c r="D64" s="314"/>
      <c r="E64" s="478" t="s">
        <v>362</v>
      </c>
      <c r="F64" s="764" cm="1">
        <f t="array" aca="1" ref="F64" ca="1">OFFSET(E64,-1,1)</f>
        <v>0</v>
      </c>
      <c r="G64" s="314"/>
      <c r="H64" s="314"/>
      <c r="I64"/>
      <c r="J64"/>
      <c r="L64" s="314"/>
      <c r="M64" s="314"/>
      <c r="N64" s="314"/>
      <c r="O64" s="314"/>
      <c r="T64" s="351" t="b">
        <v>0</v>
      </c>
      <c r="V64" s="314"/>
      <c r="X64" s="1024"/>
      <c r="Y64" s="1007"/>
      <c r="Z64" s="314"/>
      <c r="AA64" s="314"/>
      <c r="AB64"/>
      <c r="AC64" s="18"/>
      <c r="AD64" s="18"/>
      <c r="AE64" s="248"/>
      <c r="AF64" s="248"/>
      <c r="AG64" s="248"/>
      <c r="AH64" s="248"/>
      <c r="AI64" s="248"/>
      <c r="AJ64" s="249"/>
      <c r="AK64" s="248"/>
      <c r="AL64" s="248"/>
      <c r="AM64" s="248"/>
      <c r="AN64" s="248"/>
      <c r="AO64" s="248"/>
      <c r="AP64" s="248"/>
      <c r="AQ64" s="248"/>
      <c r="AR64" s="248"/>
      <c r="AS64" s="248"/>
      <c r="AT64" s="248"/>
      <c r="AU64" s="248"/>
      <c r="AV64" s="248"/>
      <c r="AW64" s="248"/>
      <c r="AX64" s="248"/>
      <c r="AY64" s="248"/>
      <c r="AZ64" s="248"/>
      <c r="BA64" s="248"/>
      <c r="BB64" s="248"/>
      <c r="BC64"/>
      <c r="BD64"/>
      <c r="BE64"/>
      <c r="BF64" s="659"/>
    </row>
    <row r="65" spans="1:58" ht="14.65" hidden="1" customHeight="1">
      <c r="E65" s="459">
        <v>15</v>
      </c>
      <c r="F65" s="3" cm="1">
        <f t="array" aca="1" ref="F65" ca="1">OFFSET(E65,-1,1)</f>
        <v>0</v>
      </c>
      <c r="R65" s="314" t="b" cm="1">
        <f t="array" ref="R65">INDEX('Общие сведения'!$AN$179:$AN$208,MATCH($X27,'Общие сведения'!$Z$179:$Z$208,0))</f>
        <v>0</v>
      </c>
      <c r="S65" s="314" t="b">
        <f>IF(ISERROR(SEARCH("Водоснабжение",AB27)),FALSE,TRUE)</f>
        <v>0</v>
      </c>
      <c r="T65" s="351" t="b">
        <f>AND(X27&gt;0,S65,R65)</f>
        <v>0</v>
      </c>
      <c r="X65" s="1024"/>
      <c r="Y65" s="1007"/>
      <c r="AB65" s="153" t="s">
        <v>277</v>
      </c>
      <c r="AC65" s="233" t="s">
        <v>582</v>
      </c>
      <c r="AD65" s="111"/>
      <c r="AE65" s="413" cm="1">
        <f t="array" ref="AE65">INDEX('Общие сведения'!$AH$179:$AH$208,MATCH($X27,'Общие сведения'!$Z$179:$Z$208,0))</f>
        <v>0</v>
      </c>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4"/>
      <c r="BC65" s="823"/>
      <c r="BF65" s="669" t="s">
        <v>709</v>
      </c>
    </row>
    <row r="66" spans="1:58" ht="14.65" hidden="1" customHeight="1">
      <c r="E66" s="459">
        <v>15</v>
      </c>
      <c r="F66" s="3" cm="1">
        <f t="array" aca="1" ref="F66" ca="1">OFFSET(E66,-1,1)</f>
        <v>0</v>
      </c>
      <c r="H66" s="17" t="s">
        <v>325</v>
      </c>
      <c r="T66" s="351" t="b" cm="1">
        <f t="array" ref="T66">T65</f>
        <v>0</v>
      </c>
      <c r="X66" s="1024"/>
      <c r="Y66" s="1007"/>
      <c r="AB66" s="153" t="s">
        <v>435</v>
      </c>
      <c r="AC66" s="239" t="s">
        <v>710</v>
      </c>
      <c r="AD66" s="12" t="s">
        <v>585</v>
      </c>
      <c r="AE66" s="250">
        <f t="shared" ref="AE66:BB66" si="13">AE70+AE72+AE75+AE78</f>
        <v>0</v>
      </c>
      <c r="AF66" s="250">
        <f t="shared" si="13"/>
        <v>0</v>
      </c>
      <c r="AG66" s="250">
        <f t="shared" si="13"/>
        <v>0</v>
      </c>
      <c r="AH66" s="250">
        <f t="shared" si="13"/>
        <v>0</v>
      </c>
      <c r="AI66" s="250">
        <f t="shared" si="13"/>
        <v>0</v>
      </c>
      <c r="AJ66" s="250">
        <f t="shared" si="13"/>
        <v>0</v>
      </c>
      <c r="AK66" s="250">
        <f t="shared" si="13"/>
        <v>0</v>
      </c>
      <c r="AL66" s="250">
        <f t="shared" si="13"/>
        <v>0</v>
      </c>
      <c r="AM66" s="250">
        <f t="shared" si="13"/>
        <v>0</v>
      </c>
      <c r="AN66" s="250">
        <f t="shared" si="13"/>
        <v>0</v>
      </c>
      <c r="AO66" s="250">
        <f t="shared" si="13"/>
        <v>0</v>
      </c>
      <c r="AP66" s="250">
        <f t="shared" si="13"/>
        <v>0</v>
      </c>
      <c r="AQ66" s="250">
        <f t="shared" si="13"/>
        <v>0</v>
      </c>
      <c r="AR66" s="250">
        <f t="shared" si="13"/>
        <v>0</v>
      </c>
      <c r="AS66" s="250">
        <f t="shared" si="13"/>
        <v>0</v>
      </c>
      <c r="AT66" s="250">
        <f t="shared" si="13"/>
        <v>0</v>
      </c>
      <c r="AU66" s="250">
        <f t="shared" si="13"/>
        <v>0</v>
      </c>
      <c r="AV66" s="250">
        <f t="shared" si="13"/>
        <v>0</v>
      </c>
      <c r="AW66" s="250">
        <f t="shared" si="13"/>
        <v>0</v>
      </c>
      <c r="AX66" s="250">
        <f t="shared" si="13"/>
        <v>0</v>
      </c>
      <c r="AY66" s="250">
        <f t="shared" si="13"/>
        <v>0</v>
      </c>
      <c r="AZ66" s="250">
        <f t="shared" si="13"/>
        <v>0</v>
      </c>
      <c r="BA66" s="250">
        <f t="shared" si="13"/>
        <v>0</v>
      </c>
      <c r="BB66" s="250">
        <f t="shared" si="13"/>
        <v>0</v>
      </c>
      <c r="BC66" s="823"/>
      <c r="BF66" s="669" t="s">
        <v>711</v>
      </c>
    </row>
    <row r="67" spans="1:58" ht="14.65" hidden="1" customHeight="1">
      <c r="E67" s="459">
        <v>15</v>
      </c>
      <c r="F67" s="3" cm="1">
        <f t="array" aca="1" ref="F67" ca="1">OFFSET(E67,-1,1)</f>
        <v>0</v>
      </c>
      <c r="H67" s="17" t="s">
        <v>587</v>
      </c>
      <c r="T67" s="351" t="b" cm="1">
        <f t="array" ref="T67">T66</f>
        <v>0</v>
      </c>
      <c r="X67" s="1024"/>
      <c r="Y67" s="1007"/>
      <c r="AB67" s="153" t="s">
        <v>588</v>
      </c>
      <c r="AC67" s="240" t="s">
        <v>712</v>
      </c>
      <c r="AD67" s="12" t="s">
        <v>585</v>
      </c>
      <c r="AE67" s="822"/>
      <c r="AF67" s="822"/>
      <c r="AG67" s="822"/>
      <c r="AH67" s="822"/>
      <c r="AI67" s="187"/>
      <c r="AJ67" s="187"/>
      <c r="AK67" s="187"/>
      <c r="AL67" s="822"/>
      <c r="AM67" s="822"/>
      <c r="AN67" s="822"/>
      <c r="AO67" s="822"/>
      <c r="AP67" s="822"/>
      <c r="AQ67" s="822"/>
      <c r="AR67" s="822"/>
      <c r="AS67" s="187"/>
      <c r="AT67" s="187"/>
      <c r="AU67" s="187"/>
      <c r="AV67" s="822"/>
      <c r="AW67" s="822"/>
      <c r="AX67" s="822"/>
      <c r="AY67" s="822"/>
      <c r="AZ67" s="822"/>
      <c r="BA67" s="822"/>
      <c r="BB67" s="822"/>
      <c r="BC67" s="823"/>
      <c r="BF67" s="669" t="s">
        <v>713</v>
      </c>
    </row>
    <row r="68" spans="1:58" ht="14.65" hidden="1" customHeight="1">
      <c r="E68" s="459">
        <v>15</v>
      </c>
      <c r="F68" s="3" cm="1">
        <f t="array" aca="1" ref="F68" ca="1">OFFSET(E68,-1,1)</f>
        <v>0</v>
      </c>
      <c r="H68" s="17" t="s">
        <v>591</v>
      </c>
      <c r="T68" s="351" t="b" cm="1">
        <f t="array" ref="T68">T67</f>
        <v>0</v>
      </c>
      <c r="X68" s="1024"/>
      <c r="Y68" s="1007"/>
      <c r="AB68" s="153" t="s">
        <v>592</v>
      </c>
      <c r="AC68" s="240" t="s">
        <v>714</v>
      </c>
      <c r="AD68" s="12" t="s">
        <v>585</v>
      </c>
      <c r="AE68" s="822"/>
      <c r="AF68" s="822"/>
      <c r="AG68" s="822"/>
      <c r="AH68" s="822"/>
      <c r="AI68" s="187"/>
      <c r="AJ68" s="187"/>
      <c r="AK68" s="187"/>
      <c r="AL68" s="822"/>
      <c r="AM68" s="822"/>
      <c r="AN68" s="822"/>
      <c r="AO68" s="822"/>
      <c r="AP68" s="822"/>
      <c r="AQ68" s="822"/>
      <c r="AR68" s="822"/>
      <c r="AS68" s="187"/>
      <c r="AT68" s="187"/>
      <c r="AU68" s="187"/>
      <c r="AV68" s="822"/>
      <c r="AW68" s="822"/>
      <c r="AX68" s="822"/>
      <c r="AY68" s="822"/>
      <c r="AZ68" s="822"/>
      <c r="BA68" s="822"/>
      <c r="BB68" s="822"/>
      <c r="BC68" s="823"/>
      <c r="BF68" s="669" t="s">
        <v>715</v>
      </c>
    </row>
    <row r="69" spans="1:58" ht="21.95" hidden="1" customHeight="1">
      <c r="E69" s="459">
        <v>22.5</v>
      </c>
      <c r="F69" s="3" cm="1">
        <f t="array" aca="1" ref="F69" ca="1">OFFSET(E69,-1,1)</f>
        <v>0</v>
      </c>
      <c r="H69" s="17" t="s">
        <v>595</v>
      </c>
      <c r="T69" s="351" t="b" cm="1">
        <f t="array" ref="T69">T68</f>
        <v>0</v>
      </c>
      <c r="X69" s="1024"/>
      <c r="Y69" s="1007"/>
      <c r="AB69" s="153" t="s">
        <v>596</v>
      </c>
      <c r="AC69" s="240" t="s">
        <v>716</v>
      </c>
      <c r="AD69" s="12" t="s">
        <v>585</v>
      </c>
      <c r="AE69" s="822"/>
      <c r="AF69" s="822"/>
      <c r="AG69" s="822"/>
      <c r="AH69" s="822"/>
      <c r="AI69" s="187"/>
      <c r="AJ69" s="187"/>
      <c r="AK69" s="187"/>
      <c r="AL69" s="822"/>
      <c r="AM69" s="822"/>
      <c r="AN69" s="822"/>
      <c r="AO69" s="822"/>
      <c r="AP69" s="822"/>
      <c r="AQ69" s="822"/>
      <c r="AR69" s="822"/>
      <c r="AS69" s="187"/>
      <c r="AT69" s="187"/>
      <c r="AU69" s="187"/>
      <c r="AV69" s="822"/>
      <c r="AW69" s="822"/>
      <c r="AX69" s="822"/>
      <c r="AY69" s="822"/>
      <c r="AZ69" s="822"/>
      <c r="BA69" s="822"/>
      <c r="BB69" s="822"/>
      <c r="BC69" s="823"/>
      <c r="BF69" s="669" t="s">
        <v>717</v>
      </c>
    </row>
    <row r="70" spans="1:58" ht="14.65" hidden="1" customHeight="1">
      <c r="E70" s="459">
        <v>15</v>
      </c>
      <c r="F70" s="3" cm="1">
        <f t="array" aca="1" ref="F70" ca="1">OFFSET(E70,-1,1)</f>
        <v>0</v>
      </c>
      <c r="H70" s="17" t="s">
        <v>324</v>
      </c>
      <c r="T70" s="351" t="b" cm="1">
        <f t="array" ref="T70">T69</f>
        <v>0</v>
      </c>
      <c r="X70" s="1024"/>
      <c r="Y70" s="1007"/>
      <c r="AB70" s="153" t="s">
        <v>319</v>
      </c>
      <c r="AC70" s="233" t="s">
        <v>629</v>
      </c>
      <c r="AD70" s="12" t="s">
        <v>585</v>
      </c>
      <c r="AE70" s="822"/>
      <c r="AF70" s="822"/>
      <c r="AG70" s="822"/>
      <c r="AH70" s="822"/>
      <c r="AI70" s="187"/>
      <c r="AJ70" s="187"/>
      <c r="AK70" s="187"/>
      <c r="AL70" s="822"/>
      <c r="AM70" s="822"/>
      <c r="AN70" s="822"/>
      <c r="AO70" s="822"/>
      <c r="AP70" s="822"/>
      <c r="AQ70" s="822"/>
      <c r="AR70" s="822"/>
      <c r="AS70" s="187"/>
      <c r="AT70" s="187"/>
      <c r="AU70" s="187"/>
      <c r="AV70" s="822"/>
      <c r="AW70" s="822"/>
      <c r="AX70" s="822"/>
      <c r="AY70" s="822"/>
      <c r="AZ70" s="822"/>
      <c r="BA70" s="822"/>
      <c r="BB70" s="822"/>
      <c r="BC70" s="823"/>
      <c r="BF70" s="669" t="s">
        <v>718</v>
      </c>
    </row>
    <row r="71" spans="1:58" ht="14.65" hidden="1" customHeight="1">
      <c r="E71" s="459">
        <v>15</v>
      </c>
      <c r="F71" s="3" cm="1">
        <f t="array" aca="1" ref="F71" ca="1">OFFSET(E71,-1,1)</f>
        <v>0</v>
      </c>
      <c r="H71" s="17" t="s">
        <v>601</v>
      </c>
      <c r="T71" s="351" t="b" cm="1">
        <f t="array" ref="T71">T70</f>
        <v>0</v>
      </c>
      <c r="X71" s="1024"/>
      <c r="Y71" s="1007"/>
      <c r="AB71" s="153" t="s">
        <v>602</v>
      </c>
      <c r="AC71" s="235" t="s">
        <v>633</v>
      </c>
      <c r="AD71" s="12" t="s">
        <v>501</v>
      </c>
      <c r="AE71" s="817">
        <f t="shared" ref="AE71:BB71" si="14">IF(AE66=0,0,AE70/AE66*100)</f>
        <v>0</v>
      </c>
      <c r="AF71" s="817">
        <f t="shared" si="14"/>
        <v>0</v>
      </c>
      <c r="AG71" s="817">
        <f t="shared" si="14"/>
        <v>0</v>
      </c>
      <c r="AH71" s="817">
        <f t="shared" si="14"/>
        <v>0</v>
      </c>
      <c r="AI71" s="57">
        <f t="shared" si="14"/>
        <v>0</v>
      </c>
      <c r="AJ71" s="57">
        <f t="shared" si="14"/>
        <v>0</v>
      </c>
      <c r="AK71" s="57">
        <f t="shared" si="14"/>
        <v>0</v>
      </c>
      <c r="AL71" s="817">
        <f t="shared" si="14"/>
        <v>0</v>
      </c>
      <c r="AM71" s="817">
        <f t="shared" si="14"/>
        <v>0</v>
      </c>
      <c r="AN71" s="817">
        <f t="shared" si="14"/>
        <v>0</v>
      </c>
      <c r="AO71" s="817">
        <f t="shared" si="14"/>
        <v>0</v>
      </c>
      <c r="AP71" s="817">
        <f t="shared" si="14"/>
        <v>0</v>
      </c>
      <c r="AQ71" s="817">
        <f t="shared" si="14"/>
        <v>0</v>
      </c>
      <c r="AR71" s="817">
        <f t="shared" si="14"/>
        <v>0</v>
      </c>
      <c r="AS71" s="57">
        <f t="shared" si="14"/>
        <v>0</v>
      </c>
      <c r="AT71" s="57">
        <f t="shared" si="14"/>
        <v>0</v>
      </c>
      <c r="AU71" s="57">
        <f t="shared" si="14"/>
        <v>0</v>
      </c>
      <c r="AV71" s="817">
        <f t="shared" si="14"/>
        <v>0</v>
      </c>
      <c r="AW71" s="817">
        <f t="shared" si="14"/>
        <v>0</v>
      </c>
      <c r="AX71" s="817">
        <f t="shared" si="14"/>
        <v>0</v>
      </c>
      <c r="AY71" s="817">
        <f t="shared" si="14"/>
        <v>0</v>
      </c>
      <c r="AZ71" s="817">
        <f t="shared" si="14"/>
        <v>0</v>
      </c>
      <c r="BA71" s="817">
        <f t="shared" si="14"/>
        <v>0</v>
      </c>
      <c r="BB71" s="817">
        <f t="shared" si="14"/>
        <v>0</v>
      </c>
      <c r="BC71" s="774"/>
      <c r="BF71" s="669" t="s">
        <v>719</v>
      </c>
    </row>
    <row r="72" spans="1:58" ht="14.65" hidden="1" customHeight="1">
      <c r="E72" s="459">
        <v>15</v>
      </c>
      <c r="F72" s="3" cm="1">
        <f t="array" aca="1" ref="F72" ca="1">OFFSET(E72,-1,1)</f>
        <v>0</v>
      </c>
      <c r="G72" s="17" t="str">
        <f>IF(OwnNeedsInPO="да","ПО","")</f>
        <v/>
      </c>
      <c r="H72" s="17" t="s">
        <v>557</v>
      </c>
      <c r="T72" s="351" t="b" cm="1">
        <f t="array" ref="T72">T71</f>
        <v>0</v>
      </c>
      <c r="X72" s="1024"/>
      <c r="Y72" s="1007"/>
      <c r="AB72" s="153" t="s">
        <v>438</v>
      </c>
      <c r="AC72" s="239" t="s">
        <v>640</v>
      </c>
      <c r="AD72" s="12" t="s">
        <v>585</v>
      </c>
      <c r="AE72" s="250">
        <f t="shared" ref="AE72:BB72" si="15">AE73+AE74</f>
        <v>0</v>
      </c>
      <c r="AF72" s="250">
        <f t="shared" si="15"/>
        <v>0</v>
      </c>
      <c r="AG72" s="250">
        <f t="shared" si="15"/>
        <v>0</v>
      </c>
      <c r="AH72" s="250">
        <f t="shared" si="15"/>
        <v>0</v>
      </c>
      <c r="AI72" s="250">
        <f t="shared" si="15"/>
        <v>0</v>
      </c>
      <c r="AJ72" s="250">
        <f t="shared" si="15"/>
        <v>0</v>
      </c>
      <c r="AK72" s="250">
        <f t="shared" si="15"/>
        <v>0</v>
      </c>
      <c r="AL72" s="250">
        <f t="shared" si="15"/>
        <v>0</v>
      </c>
      <c r="AM72" s="250">
        <f t="shared" si="15"/>
        <v>0</v>
      </c>
      <c r="AN72" s="250">
        <f t="shared" si="15"/>
        <v>0</v>
      </c>
      <c r="AO72" s="250">
        <f t="shared" si="15"/>
        <v>0</v>
      </c>
      <c r="AP72" s="250">
        <f t="shared" si="15"/>
        <v>0</v>
      </c>
      <c r="AQ72" s="250">
        <f t="shared" si="15"/>
        <v>0</v>
      </c>
      <c r="AR72" s="250">
        <f t="shared" si="15"/>
        <v>0</v>
      </c>
      <c r="AS72" s="250">
        <f t="shared" si="15"/>
        <v>0</v>
      </c>
      <c r="AT72" s="250">
        <f t="shared" si="15"/>
        <v>0</v>
      </c>
      <c r="AU72" s="250">
        <f t="shared" si="15"/>
        <v>0</v>
      </c>
      <c r="AV72" s="250">
        <f t="shared" si="15"/>
        <v>0</v>
      </c>
      <c r="AW72" s="250">
        <f t="shared" si="15"/>
        <v>0</v>
      </c>
      <c r="AX72" s="250">
        <f t="shared" si="15"/>
        <v>0</v>
      </c>
      <c r="AY72" s="250">
        <f t="shared" si="15"/>
        <v>0</v>
      </c>
      <c r="AZ72" s="250">
        <f t="shared" si="15"/>
        <v>0</v>
      </c>
      <c r="BA72" s="250">
        <f t="shared" si="15"/>
        <v>0</v>
      </c>
      <c r="BB72" s="250">
        <f t="shared" si="15"/>
        <v>0</v>
      </c>
      <c r="BC72" s="823"/>
      <c r="BF72" s="669" t="s">
        <v>720</v>
      </c>
    </row>
    <row r="73" spans="1:58" ht="14.65" hidden="1" customHeight="1">
      <c r="E73" s="459">
        <v>15</v>
      </c>
      <c r="F73" s="3" cm="1">
        <f t="array" aca="1" ref="F73" ca="1">OFFSET(E73,-1,1)</f>
        <v>0</v>
      </c>
      <c r="H73" s="17" t="s">
        <v>721</v>
      </c>
      <c r="T73" s="351" t="b" cm="1">
        <f t="array" ref="T73">T72</f>
        <v>0</v>
      </c>
      <c r="X73" s="1024"/>
      <c r="Y73" s="1007"/>
      <c r="AB73" s="153" t="s">
        <v>722</v>
      </c>
      <c r="AC73" s="240" t="s">
        <v>644</v>
      </c>
      <c r="AD73" s="12" t="s">
        <v>585</v>
      </c>
      <c r="AE73" s="822"/>
      <c r="AF73" s="822"/>
      <c r="AG73" s="822"/>
      <c r="AH73" s="822"/>
      <c r="AI73" s="187"/>
      <c r="AJ73" s="187"/>
      <c r="AK73" s="187"/>
      <c r="AL73" s="822"/>
      <c r="AM73" s="822"/>
      <c r="AN73" s="822"/>
      <c r="AO73" s="822"/>
      <c r="AP73" s="822"/>
      <c r="AQ73" s="822"/>
      <c r="AR73" s="822"/>
      <c r="AS73" s="187"/>
      <c r="AT73" s="187"/>
      <c r="AU73" s="187"/>
      <c r="AV73" s="822"/>
      <c r="AW73" s="822"/>
      <c r="AX73" s="822"/>
      <c r="AY73" s="822"/>
      <c r="AZ73" s="822"/>
      <c r="BA73" s="822"/>
      <c r="BB73" s="822"/>
      <c r="BC73" s="823"/>
      <c r="BF73" s="669" t="s">
        <v>723</v>
      </c>
    </row>
    <row r="74" spans="1:58" ht="14.65" hidden="1" customHeight="1">
      <c r="E74" s="459">
        <v>15</v>
      </c>
      <c r="F74" s="3" cm="1">
        <f t="array" aca="1" ref="F74" ca="1">OFFSET(E74,-1,1)</f>
        <v>0</v>
      </c>
      <c r="H74" s="17" t="s">
        <v>724</v>
      </c>
      <c r="T74" s="351" t="b" cm="1">
        <f t="array" ref="T74">T73</f>
        <v>0</v>
      </c>
      <c r="X74" s="1024"/>
      <c r="Y74" s="1007"/>
      <c r="AB74" s="153" t="s">
        <v>725</v>
      </c>
      <c r="AC74" s="240" t="s">
        <v>648</v>
      </c>
      <c r="AD74" s="12" t="s">
        <v>585</v>
      </c>
      <c r="AE74" s="822"/>
      <c r="AF74" s="822"/>
      <c r="AG74" s="822"/>
      <c r="AH74" s="822"/>
      <c r="AI74" s="187"/>
      <c r="AJ74" s="187"/>
      <c r="AK74" s="187"/>
      <c r="AL74" s="822"/>
      <c r="AM74" s="822"/>
      <c r="AN74" s="822"/>
      <c r="AO74" s="822"/>
      <c r="AP74" s="822"/>
      <c r="AQ74" s="822"/>
      <c r="AR74" s="822"/>
      <c r="AS74" s="187"/>
      <c r="AT74" s="187"/>
      <c r="AU74" s="187"/>
      <c r="AV74" s="822"/>
      <c r="AW74" s="822"/>
      <c r="AX74" s="822"/>
      <c r="AY74" s="822"/>
      <c r="AZ74" s="822"/>
      <c r="BA74" s="822"/>
      <c r="BB74" s="822"/>
      <c r="BC74" s="823"/>
      <c r="BF74" s="669" t="s">
        <v>726</v>
      </c>
    </row>
    <row r="75" spans="1:58" ht="14.65" hidden="1" customHeight="1">
      <c r="E75" s="459">
        <v>15</v>
      </c>
      <c r="F75" s="3" cm="1">
        <f t="array" aca="1" ref="F75" ca="1">OFFSET(E75,-1,1)</f>
        <v>0</v>
      </c>
      <c r="G75" s="17" t="s">
        <v>654</v>
      </c>
      <c r="H75" s="17" t="s">
        <v>560</v>
      </c>
      <c r="T75" s="351" t="b" cm="1">
        <f t="array" ref="T75">T74</f>
        <v>0</v>
      </c>
      <c r="X75" s="1024"/>
      <c r="Y75" s="1007"/>
      <c r="AB75" s="153" t="s">
        <v>440</v>
      </c>
      <c r="AC75" s="239" t="s">
        <v>657</v>
      </c>
      <c r="AD75" s="12" t="s">
        <v>585</v>
      </c>
      <c r="AE75" s="250">
        <f t="shared" ref="AE75:BB75" si="16">AE76+AE77</f>
        <v>0</v>
      </c>
      <c r="AF75" s="250">
        <f t="shared" si="16"/>
        <v>0</v>
      </c>
      <c r="AG75" s="250">
        <f t="shared" si="16"/>
        <v>0</v>
      </c>
      <c r="AH75" s="250">
        <f t="shared" si="16"/>
        <v>0</v>
      </c>
      <c r="AI75" s="250">
        <f t="shared" si="16"/>
        <v>0</v>
      </c>
      <c r="AJ75" s="250">
        <f t="shared" si="16"/>
        <v>0</v>
      </c>
      <c r="AK75" s="250">
        <f t="shared" si="16"/>
        <v>0</v>
      </c>
      <c r="AL75" s="250">
        <f t="shared" si="16"/>
        <v>0</v>
      </c>
      <c r="AM75" s="250">
        <f t="shared" si="16"/>
        <v>0</v>
      </c>
      <c r="AN75" s="250">
        <f t="shared" si="16"/>
        <v>0</v>
      </c>
      <c r="AO75" s="250">
        <f t="shared" si="16"/>
        <v>0</v>
      </c>
      <c r="AP75" s="250">
        <f t="shared" si="16"/>
        <v>0</v>
      </c>
      <c r="AQ75" s="250">
        <f t="shared" si="16"/>
        <v>0</v>
      </c>
      <c r="AR75" s="250">
        <f t="shared" si="16"/>
        <v>0</v>
      </c>
      <c r="AS75" s="250">
        <f t="shared" si="16"/>
        <v>0</v>
      </c>
      <c r="AT75" s="250">
        <f t="shared" si="16"/>
        <v>0</v>
      </c>
      <c r="AU75" s="250">
        <f t="shared" si="16"/>
        <v>0</v>
      </c>
      <c r="AV75" s="250">
        <f t="shared" si="16"/>
        <v>0</v>
      </c>
      <c r="AW75" s="250">
        <f t="shared" si="16"/>
        <v>0</v>
      </c>
      <c r="AX75" s="250">
        <f t="shared" si="16"/>
        <v>0</v>
      </c>
      <c r="AY75" s="250">
        <f t="shared" si="16"/>
        <v>0</v>
      </c>
      <c r="AZ75" s="250">
        <f t="shared" si="16"/>
        <v>0</v>
      </c>
      <c r="BA75" s="250">
        <f t="shared" si="16"/>
        <v>0</v>
      </c>
      <c r="BB75" s="250">
        <f t="shared" si="16"/>
        <v>0</v>
      </c>
      <c r="BC75" s="823"/>
      <c r="BF75" s="669" t="s">
        <v>727</v>
      </c>
    </row>
    <row r="76" spans="1:58" ht="14.65" hidden="1" customHeight="1">
      <c r="E76" s="459">
        <v>15</v>
      </c>
      <c r="F76" s="3" cm="1">
        <f t="array" aca="1" ref="F76" ca="1">OFFSET(E76,-1,1)</f>
        <v>0</v>
      </c>
      <c r="H76" s="17" t="s">
        <v>728</v>
      </c>
      <c r="T76" s="351" t="b" cm="1">
        <f t="array" ref="T76">T75</f>
        <v>0</v>
      </c>
      <c r="X76" s="1024"/>
      <c r="Y76" s="1007"/>
      <c r="AB76" s="153" t="s">
        <v>729</v>
      </c>
      <c r="AC76" s="240" t="s">
        <v>661</v>
      </c>
      <c r="AD76" s="12" t="s">
        <v>585</v>
      </c>
      <c r="AE76" s="822"/>
      <c r="AF76" s="822"/>
      <c r="AG76" s="822"/>
      <c r="AH76" s="822"/>
      <c r="AI76" s="187"/>
      <c r="AJ76" s="187"/>
      <c r="AK76" s="187"/>
      <c r="AL76" s="822"/>
      <c r="AM76" s="822"/>
      <c r="AN76" s="822"/>
      <c r="AO76" s="822"/>
      <c r="AP76" s="822"/>
      <c r="AQ76" s="822"/>
      <c r="AR76" s="822"/>
      <c r="AS76" s="187"/>
      <c r="AT76" s="187"/>
      <c r="AU76" s="187"/>
      <c r="AV76" s="822"/>
      <c r="AW76" s="822"/>
      <c r="AX76" s="822"/>
      <c r="AY76" s="822"/>
      <c r="AZ76" s="822"/>
      <c r="BA76" s="822"/>
      <c r="BB76" s="822"/>
      <c r="BC76" s="823"/>
      <c r="BF76" s="669" t="s">
        <v>730</v>
      </c>
    </row>
    <row r="77" spans="1:58" ht="14.65" hidden="1" customHeight="1">
      <c r="E77" s="459">
        <v>15</v>
      </c>
      <c r="F77" s="3" cm="1">
        <f t="array" aca="1" ref="F77" ca="1">OFFSET(E77,-1,1)</f>
        <v>0</v>
      </c>
      <c r="H77" s="17" t="s">
        <v>731</v>
      </c>
      <c r="T77" s="351" t="b" cm="1">
        <f t="array" ref="T77">T76</f>
        <v>0</v>
      </c>
      <c r="X77" s="1024"/>
      <c r="Y77" s="1007"/>
      <c r="AB77" s="153" t="s">
        <v>732</v>
      </c>
      <c r="AC77" s="240" t="s">
        <v>665</v>
      </c>
      <c r="AD77" s="12" t="s">
        <v>585</v>
      </c>
      <c r="AE77" s="822"/>
      <c r="AF77" s="822"/>
      <c r="AG77" s="822"/>
      <c r="AH77" s="822"/>
      <c r="AI77" s="187"/>
      <c r="AJ77" s="187"/>
      <c r="AK77" s="187"/>
      <c r="AL77" s="822"/>
      <c r="AM77" s="822"/>
      <c r="AN77" s="822"/>
      <c r="AO77" s="822"/>
      <c r="AP77" s="822"/>
      <c r="AQ77" s="822"/>
      <c r="AR77" s="822"/>
      <c r="AS77" s="187"/>
      <c r="AT77" s="187"/>
      <c r="AU77" s="187"/>
      <c r="AV77" s="822"/>
      <c r="AW77" s="822"/>
      <c r="AX77" s="822"/>
      <c r="AY77" s="822"/>
      <c r="AZ77" s="822"/>
      <c r="BA77" s="822"/>
      <c r="BB77" s="822"/>
      <c r="BC77" s="823"/>
      <c r="BF77" s="669" t="s">
        <v>733</v>
      </c>
    </row>
    <row r="78" spans="1:58" ht="21.95" hidden="1" customHeight="1">
      <c r="E78" s="459">
        <v>22.5</v>
      </c>
      <c r="F78" s="3" cm="1">
        <f t="array" aca="1" ref="F78" ca="1">OFFSET(E78,-1,1)</f>
        <v>0</v>
      </c>
      <c r="H78" s="17" t="s">
        <v>613</v>
      </c>
      <c r="I78" s="314"/>
      <c r="J78" s="314"/>
      <c r="T78" s="351" t="b" cm="1">
        <f t="array" ref="T78">T77</f>
        <v>0</v>
      </c>
      <c r="X78" s="1024"/>
      <c r="Y78" s="1007"/>
      <c r="AB78" s="153" t="s">
        <v>442</v>
      </c>
      <c r="AC78" s="241" t="s">
        <v>704</v>
      </c>
      <c r="AD78" s="12" t="s">
        <v>585</v>
      </c>
      <c r="AE78" s="822"/>
      <c r="AF78" s="822"/>
      <c r="AG78" s="822"/>
      <c r="AH78" s="822"/>
      <c r="AI78" s="187"/>
      <c r="AJ78" s="187"/>
      <c r="AK78" s="187"/>
      <c r="AL78" s="822"/>
      <c r="AM78" s="822"/>
      <c r="AN78" s="822"/>
      <c r="AO78" s="822"/>
      <c r="AP78" s="822"/>
      <c r="AQ78" s="822"/>
      <c r="AR78" s="822"/>
      <c r="AS78" s="187"/>
      <c r="AT78" s="187"/>
      <c r="AU78" s="187"/>
      <c r="AV78" s="822"/>
      <c r="AW78" s="822"/>
      <c r="AX78" s="822"/>
      <c r="AY78" s="822"/>
      <c r="AZ78" s="822"/>
      <c r="BA78" s="822"/>
      <c r="BB78" s="822"/>
      <c r="BC78" s="823"/>
      <c r="BF78" s="669" t="s">
        <v>734</v>
      </c>
    </row>
    <row r="79" spans="1:58" ht="14.65" hidden="1" customHeight="1">
      <c r="E79" s="459">
        <v>15</v>
      </c>
      <c r="F79" s="252" cm="1">
        <f t="array" aca="1" ref="F79" ca="1">OFFSET(E79,-1,1)</f>
        <v>0</v>
      </c>
      <c r="T79" s="351" t="b" cm="1">
        <f t="array" ref="T79">T78</f>
        <v>0</v>
      </c>
      <c r="X79" s="1024"/>
      <c r="Y79" s="1007"/>
      <c r="AB79" s="153" t="s">
        <v>706</v>
      </c>
      <c r="AC79" s="238" t="s">
        <v>707</v>
      </c>
      <c r="AD79" s="12" t="s">
        <v>585</v>
      </c>
      <c r="AE79" s="822"/>
      <c r="AF79" s="822"/>
      <c r="AG79" s="822"/>
      <c r="AH79" s="822"/>
      <c r="AI79" s="187"/>
      <c r="AJ79" s="187"/>
      <c r="AK79" s="187"/>
      <c r="AL79" s="822"/>
      <c r="AM79" s="822"/>
      <c r="AN79" s="822"/>
      <c r="AO79" s="822"/>
      <c r="AP79" s="822"/>
      <c r="AQ79" s="822"/>
      <c r="AR79" s="822"/>
      <c r="AS79" s="187"/>
      <c r="AT79" s="187"/>
      <c r="AU79" s="187"/>
      <c r="AV79" s="822"/>
      <c r="AW79" s="822"/>
      <c r="AX79" s="822"/>
      <c r="AY79" s="822"/>
      <c r="AZ79" s="822"/>
      <c r="BA79" s="822"/>
      <c r="BB79" s="822"/>
      <c r="BC79" s="823"/>
      <c r="BF79" s="669" t="s">
        <v>735</v>
      </c>
    </row>
    <row r="80" spans="1:58" ht="11.25" hidden="1" customHeight="1">
      <c r="A80" s="314"/>
      <c r="B80" s="477"/>
      <c r="C80" s="314"/>
      <c r="D80" s="314"/>
      <c r="E80" s="478" t="s">
        <v>362</v>
      </c>
      <c r="F80" s="764" cm="1">
        <f t="array" aca="1" ref="F80" ca="1">OFFSET(E80,-1,1)</f>
        <v>0</v>
      </c>
      <c r="G80" s="314"/>
      <c r="H80" s="314"/>
      <c r="I80"/>
      <c r="J80"/>
      <c r="L80" s="314"/>
      <c r="M80" s="314"/>
      <c r="N80" s="314"/>
      <c r="O80" s="314"/>
      <c r="T80" s="351" t="b">
        <v>0</v>
      </c>
      <c r="V80" s="314"/>
      <c r="X80" s="1024"/>
      <c r="Y80" s="1007"/>
      <c r="Z80" s="314"/>
      <c r="AA80" s="314"/>
      <c r="AB80"/>
      <c r="AC80" s="18"/>
      <c r="AD80" s="18"/>
      <c r="AE80" s="248"/>
      <c r="AF80" s="248"/>
      <c r="AG80" s="248"/>
      <c r="AH80" s="248"/>
      <c r="AI80" s="248"/>
      <c r="AJ80" s="249"/>
      <c r="AK80" s="248"/>
      <c r="AL80" s="248"/>
      <c r="AM80" s="248"/>
      <c r="AN80" s="248"/>
      <c r="AO80" s="248"/>
      <c r="AP80" s="248"/>
      <c r="AQ80" s="248"/>
      <c r="AR80" s="248"/>
      <c r="AS80" s="248"/>
      <c r="AT80" s="248"/>
      <c r="AU80" s="248"/>
      <c r="AV80" s="248"/>
      <c r="AW80" s="248"/>
      <c r="AX80" s="248"/>
      <c r="AY80" s="248"/>
      <c r="AZ80" s="248"/>
      <c r="BA80" s="248"/>
      <c r="BB80" s="248"/>
      <c r="BC80"/>
      <c r="BD80"/>
      <c r="BE80"/>
      <c r="BF80" s="659"/>
    </row>
    <row r="81" spans="5:58" ht="14.65" hidden="1" customHeight="1">
      <c r="E81" s="459">
        <v>15</v>
      </c>
      <c r="F81" s="3" cm="1">
        <f t="array" aca="1" ref="F81" ca="1">OFFSET(E81,-1,1)</f>
        <v>0</v>
      </c>
      <c r="R81" s="314" t="b" cm="1">
        <f t="array" ref="R81">INDEX('Общие сведения'!$AN$179:$AN$208,MATCH($X27,'Общие сведения'!$Z$179:$Z$208,0))</f>
        <v>0</v>
      </c>
      <c r="S81" s="314" t="b">
        <f>IF(ISERROR(SEARCH("Водоотведение",AB27)),FALSE,TRUE)</f>
        <v>0</v>
      </c>
      <c r="T81" s="351" t="b">
        <f>AND(X27&gt;0,S81,NOT(R81))</f>
        <v>0</v>
      </c>
      <c r="X81" s="1024"/>
      <c r="Y81" s="1007"/>
      <c r="AB81" s="153" t="s">
        <v>277</v>
      </c>
      <c r="AC81" s="53" t="s">
        <v>736</v>
      </c>
      <c r="AD81" s="110"/>
      <c r="AE81" s="413" cm="1">
        <f t="array" ref="AE81">INDEX('Общие сведения'!$AH$179:$AH$208,MATCH($X27,'Общие сведения'!$Z$179:$Z$208,0))</f>
        <v>0</v>
      </c>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4"/>
      <c r="BC81" s="823"/>
      <c r="BF81" s="669" t="s">
        <v>737</v>
      </c>
    </row>
    <row r="82" spans="5:58" ht="14.65" hidden="1" customHeight="1">
      <c r="E82" s="459">
        <v>15</v>
      </c>
      <c r="F82" s="3" cm="1">
        <f t="array" aca="1" ref="F82" ca="1">OFFSET(E82,-1,1)</f>
        <v>0</v>
      </c>
      <c r="H82" s="17" t="s">
        <v>325</v>
      </c>
      <c r="T82" s="351" t="b" cm="1">
        <f t="array" ref="T82">T81</f>
        <v>0</v>
      </c>
      <c r="X82" s="1024"/>
      <c r="Y82" s="1007"/>
      <c r="AB82" s="153" t="s">
        <v>435</v>
      </c>
      <c r="AC82" s="53" t="s">
        <v>738</v>
      </c>
      <c r="AD82" s="12" t="s">
        <v>585</v>
      </c>
      <c r="AE82" s="250">
        <f t="shared" ref="AE82:BB82" si="17">AE83+AE84+AE97</f>
        <v>0</v>
      </c>
      <c r="AF82" s="250">
        <f t="shared" si="17"/>
        <v>0</v>
      </c>
      <c r="AG82" s="250">
        <f t="shared" si="17"/>
        <v>0</v>
      </c>
      <c r="AH82" s="250">
        <f t="shared" si="17"/>
        <v>0</v>
      </c>
      <c r="AI82" s="250">
        <f t="shared" si="17"/>
        <v>0</v>
      </c>
      <c r="AJ82" s="250">
        <f t="shared" si="17"/>
        <v>0</v>
      </c>
      <c r="AK82" s="250">
        <f t="shared" si="17"/>
        <v>0</v>
      </c>
      <c r="AL82" s="250">
        <f t="shared" si="17"/>
        <v>0</v>
      </c>
      <c r="AM82" s="250">
        <f t="shared" si="17"/>
        <v>0</v>
      </c>
      <c r="AN82" s="250">
        <f t="shared" si="17"/>
        <v>0</v>
      </c>
      <c r="AO82" s="250">
        <f t="shared" si="17"/>
        <v>0</v>
      </c>
      <c r="AP82" s="250">
        <f t="shared" si="17"/>
        <v>0</v>
      </c>
      <c r="AQ82" s="250">
        <f t="shared" si="17"/>
        <v>0</v>
      </c>
      <c r="AR82" s="250">
        <f t="shared" si="17"/>
        <v>0</v>
      </c>
      <c r="AS82" s="250">
        <f t="shared" si="17"/>
        <v>0</v>
      </c>
      <c r="AT82" s="250">
        <f t="shared" si="17"/>
        <v>0</v>
      </c>
      <c r="AU82" s="250">
        <f t="shared" si="17"/>
        <v>0</v>
      </c>
      <c r="AV82" s="250">
        <f t="shared" si="17"/>
        <v>0</v>
      </c>
      <c r="AW82" s="250">
        <f t="shared" si="17"/>
        <v>0</v>
      </c>
      <c r="AX82" s="250">
        <f t="shared" si="17"/>
        <v>0</v>
      </c>
      <c r="AY82" s="250">
        <f t="shared" si="17"/>
        <v>0</v>
      </c>
      <c r="AZ82" s="250">
        <f t="shared" si="17"/>
        <v>0</v>
      </c>
      <c r="BA82" s="250">
        <f t="shared" si="17"/>
        <v>0</v>
      </c>
      <c r="BB82" s="250">
        <f t="shared" si="17"/>
        <v>0</v>
      </c>
      <c r="BC82" s="823"/>
      <c r="BF82" s="669" t="s">
        <v>739</v>
      </c>
    </row>
    <row r="83" spans="5:58" ht="14.65" hidden="1" customHeight="1">
      <c r="E83" s="459">
        <v>15</v>
      </c>
      <c r="F83" s="3" cm="1">
        <f t="array" aca="1" ref="F83" ca="1">OFFSET(E83,-1,1)</f>
        <v>0</v>
      </c>
      <c r="G83" s="17" t="str">
        <f>IF(OwnNeedsInPO="да","ПО","")</f>
        <v/>
      </c>
      <c r="H83" s="17" t="s">
        <v>324</v>
      </c>
      <c r="T83" s="351" t="b" cm="1">
        <f t="array" ref="T83">T82</f>
        <v>0</v>
      </c>
      <c r="X83" s="1024"/>
      <c r="Y83" s="1007"/>
      <c r="AB83" s="153" t="s">
        <v>319</v>
      </c>
      <c r="AC83" s="53" t="s">
        <v>740</v>
      </c>
      <c r="AD83" s="12" t="s">
        <v>585</v>
      </c>
      <c r="AE83" s="822"/>
      <c r="AF83" s="822"/>
      <c r="AG83" s="822"/>
      <c r="AH83" s="822"/>
      <c r="AI83" s="187"/>
      <c r="AJ83" s="187"/>
      <c r="AK83" s="187"/>
      <c r="AL83" s="822"/>
      <c r="AM83" s="822"/>
      <c r="AN83" s="822"/>
      <c r="AO83" s="822"/>
      <c r="AP83" s="822"/>
      <c r="AQ83" s="822"/>
      <c r="AR83" s="822"/>
      <c r="AS83" s="187"/>
      <c r="AT83" s="187"/>
      <c r="AU83" s="187"/>
      <c r="AV83" s="822"/>
      <c r="AW83" s="822"/>
      <c r="AX83" s="822"/>
      <c r="AY83" s="822"/>
      <c r="AZ83" s="822"/>
      <c r="BA83" s="822"/>
      <c r="BB83" s="822"/>
      <c r="BC83" s="823"/>
      <c r="BF83" s="669" t="s">
        <v>741</v>
      </c>
    </row>
    <row r="84" spans="5:58" ht="14.65" hidden="1" customHeight="1">
      <c r="E84" s="459">
        <v>15</v>
      </c>
      <c r="F84" s="3" cm="1">
        <f t="array" aca="1" ref="F84" ca="1">OFFSET(E84,-1,1)</f>
        <v>0</v>
      </c>
      <c r="G84" s="17" t="s">
        <v>654</v>
      </c>
      <c r="H84" s="17" t="s">
        <v>557</v>
      </c>
      <c r="T84" s="351" t="b" cm="1">
        <f t="array" ref="T84">T83</f>
        <v>0</v>
      </c>
      <c r="X84" s="1024"/>
      <c r="Y84" s="1007"/>
      <c r="AB84" s="153" t="s">
        <v>438</v>
      </c>
      <c r="AC84" s="54" t="s">
        <v>742</v>
      </c>
      <c r="AD84" s="12" t="s">
        <v>585</v>
      </c>
      <c r="AE84" s="250">
        <f t="shared" ref="AE84:BB84" si="18">AE85+AE88+AE91+AE94</f>
        <v>0</v>
      </c>
      <c r="AF84" s="250">
        <f t="shared" si="18"/>
        <v>0</v>
      </c>
      <c r="AG84" s="250">
        <f t="shared" si="18"/>
        <v>0</v>
      </c>
      <c r="AH84" s="250">
        <f t="shared" si="18"/>
        <v>0</v>
      </c>
      <c r="AI84" s="250">
        <f t="shared" si="18"/>
        <v>0</v>
      </c>
      <c r="AJ84" s="250">
        <f t="shared" si="18"/>
        <v>0</v>
      </c>
      <c r="AK84" s="250">
        <f t="shared" si="18"/>
        <v>0</v>
      </c>
      <c r="AL84" s="250">
        <f t="shared" si="18"/>
        <v>0</v>
      </c>
      <c r="AM84" s="250">
        <f t="shared" si="18"/>
        <v>0</v>
      </c>
      <c r="AN84" s="250">
        <f t="shared" si="18"/>
        <v>0</v>
      </c>
      <c r="AO84" s="250">
        <f t="shared" si="18"/>
        <v>0</v>
      </c>
      <c r="AP84" s="250">
        <f t="shared" si="18"/>
        <v>0</v>
      </c>
      <c r="AQ84" s="250">
        <f t="shared" si="18"/>
        <v>0</v>
      </c>
      <c r="AR84" s="250">
        <f t="shared" si="18"/>
        <v>0</v>
      </c>
      <c r="AS84" s="250">
        <f t="shared" si="18"/>
        <v>0</v>
      </c>
      <c r="AT84" s="250">
        <f t="shared" si="18"/>
        <v>0</v>
      </c>
      <c r="AU84" s="250">
        <f t="shared" si="18"/>
        <v>0</v>
      </c>
      <c r="AV84" s="250">
        <f t="shared" si="18"/>
        <v>0</v>
      </c>
      <c r="AW84" s="250">
        <f t="shared" si="18"/>
        <v>0</v>
      </c>
      <c r="AX84" s="250">
        <f t="shared" si="18"/>
        <v>0</v>
      </c>
      <c r="AY84" s="250">
        <f t="shared" si="18"/>
        <v>0</v>
      </c>
      <c r="AZ84" s="250">
        <f t="shared" si="18"/>
        <v>0</v>
      </c>
      <c r="BA84" s="250">
        <f t="shared" si="18"/>
        <v>0</v>
      </c>
      <c r="BB84" s="250">
        <f t="shared" si="18"/>
        <v>0</v>
      </c>
      <c r="BC84" s="823"/>
      <c r="BF84" s="669" t="s">
        <v>743</v>
      </c>
    </row>
    <row r="85" spans="5:58" ht="14.65" hidden="1" customHeight="1">
      <c r="E85" s="459">
        <v>15</v>
      </c>
      <c r="F85" s="3" cm="1">
        <f t="array" aca="1" ref="F85" ca="1">OFFSET(E85,-1,1)</f>
        <v>0</v>
      </c>
      <c r="H85" s="17" t="s">
        <v>721</v>
      </c>
      <c r="T85" s="351" t="b" cm="1">
        <f t="array" ref="T85">T84</f>
        <v>0</v>
      </c>
      <c r="X85" s="1024"/>
      <c r="Y85" s="1007"/>
      <c r="AB85" s="153" t="s">
        <v>722</v>
      </c>
      <c r="AC85" s="105" t="s">
        <v>673</v>
      </c>
      <c r="AD85" s="12" t="s">
        <v>585</v>
      </c>
      <c r="AE85" s="250">
        <f t="shared" ref="AE85:BB85" si="19">AE86+AE87</f>
        <v>0</v>
      </c>
      <c r="AF85" s="250">
        <f t="shared" si="19"/>
        <v>0</v>
      </c>
      <c r="AG85" s="250">
        <f t="shared" si="19"/>
        <v>0</v>
      </c>
      <c r="AH85" s="250">
        <f t="shared" si="19"/>
        <v>0</v>
      </c>
      <c r="AI85" s="250">
        <f t="shared" si="19"/>
        <v>0</v>
      </c>
      <c r="AJ85" s="250">
        <f t="shared" si="19"/>
        <v>0</v>
      </c>
      <c r="AK85" s="250">
        <f t="shared" si="19"/>
        <v>0</v>
      </c>
      <c r="AL85" s="250">
        <f t="shared" si="19"/>
        <v>0</v>
      </c>
      <c r="AM85" s="250">
        <f t="shared" si="19"/>
        <v>0</v>
      </c>
      <c r="AN85" s="250">
        <f t="shared" si="19"/>
        <v>0</v>
      </c>
      <c r="AO85" s="250">
        <f t="shared" si="19"/>
        <v>0</v>
      </c>
      <c r="AP85" s="250">
        <f t="shared" si="19"/>
        <v>0</v>
      </c>
      <c r="AQ85" s="250">
        <f t="shared" si="19"/>
        <v>0</v>
      </c>
      <c r="AR85" s="250">
        <f t="shared" si="19"/>
        <v>0</v>
      </c>
      <c r="AS85" s="250">
        <f t="shared" si="19"/>
        <v>0</v>
      </c>
      <c r="AT85" s="250">
        <f t="shared" si="19"/>
        <v>0</v>
      </c>
      <c r="AU85" s="250">
        <f t="shared" si="19"/>
        <v>0</v>
      </c>
      <c r="AV85" s="250">
        <f t="shared" si="19"/>
        <v>0</v>
      </c>
      <c r="AW85" s="250">
        <f t="shared" si="19"/>
        <v>0</v>
      </c>
      <c r="AX85" s="250">
        <f t="shared" si="19"/>
        <v>0</v>
      </c>
      <c r="AY85" s="250">
        <f t="shared" si="19"/>
        <v>0</v>
      </c>
      <c r="AZ85" s="250">
        <f t="shared" si="19"/>
        <v>0</v>
      </c>
      <c r="BA85" s="250">
        <f t="shared" si="19"/>
        <v>0</v>
      </c>
      <c r="BB85" s="250">
        <f t="shared" si="19"/>
        <v>0</v>
      </c>
      <c r="BC85" s="823"/>
      <c r="BF85" s="669" t="s">
        <v>744</v>
      </c>
    </row>
    <row r="86" spans="5:58" ht="14.65" hidden="1" customHeight="1">
      <c r="E86" s="459">
        <v>15</v>
      </c>
      <c r="F86" s="3" cm="1">
        <f t="array" aca="1" ref="F86" ca="1">OFFSET(E86,-1,1)</f>
        <v>0</v>
      </c>
      <c r="H86" s="17" t="s">
        <v>745</v>
      </c>
      <c r="T86" s="351" t="b" cm="1">
        <f t="array" ref="T86">T85</f>
        <v>0</v>
      </c>
      <c r="X86" s="1024"/>
      <c r="Y86" s="1007"/>
      <c r="AB86" s="153" t="s">
        <v>746</v>
      </c>
      <c r="AC86" s="242" t="s">
        <v>661</v>
      </c>
      <c r="AD86" s="12" t="s">
        <v>585</v>
      </c>
      <c r="AE86" s="822"/>
      <c r="AF86" s="822"/>
      <c r="AG86" s="822"/>
      <c r="AH86" s="822"/>
      <c r="AI86" s="187"/>
      <c r="AJ86" s="187"/>
      <c r="AK86" s="187"/>
      <c r="AL86" s="822"/>
      <c r="AM86" s="822"/>
      <c r="AN86" s="822"/>
      <c r="AO86" s="822"/>
      <c r="AP86" s="822"/>
      <c r="AQ86" s="822"/>
      <c r="AR86" s="822"/>
      <c r="AS86" s="187"/>
      <c r="AT86" s="187"/>
      <c r="AU86" s="187"/>
      <c r="AV86" s="822"/>
      <c r="AW86" s="822"/>
      <c r="AX86" s="822"/>
      <c r="AY86" s="822"/>
      <c r="AZ86" s="822"/>
      <c r="BA86" s="822"/>
      <c r="BB86" s="822"/>
      <c r="BC86" s="823"/>
      <c r="BF86" s="669" t="s">
        <v>747</v>
      </c>
    </row>
    <row r="87" spans="5:58" ht="14.65" hidden="1" customHeight="1">
      <c r="E87" s="459">
        <v>15</v>
      </c>
      <c r="F87" s="3" cm="1">
        <f t="array" aca="1" ref="F87" ca="1">OFFSET(E87,-1,1)</f>
        <v>0</v>
      </c>
      <c r="H87" s="17" t="s">
        <v>748</v>
      </c>
      <c r="T87" s="351" t="b" cm="1">
        <f t="array" ref="T87">T86</f>
        <v>0</v>
      </c>
      <c r="X87" s="1024"/>
      <c r="Y87" s="1007"/>
      <c r="AB87" s="153" t="s">
        <v>749</v>
      </c>
      <c r="AC87" s="242" t="s">
        <v>665</v>
      </c>
      <c r="AD87" s="12" t="s">
        <v>585</v>
      </c>
      <c r="AE87" s="822"/>
      <c r="AF87" s="822"/>
      <c r="AG87" s="822"/>
      <c r="AH87" s="822"/>
      <c r="AI87" s="187"/>
      <c r="AJ87" s="187"/>
      <c r="AK87" s="187"/>
      <c r="AL87" s="822"/>
      <c r="AM87" s="822"/>
      <c r="AN87" s="822"/>
      <c r="AO87" s="822"/>
      <c r="AP87" s="822"/>
      <c r="AQ87" s="822"/>
      <c r="AR87" s="822"/>
      <c r="AS87" s="187"/>
      <c r="AT87" s="187"/>
      <c r="AU87" s="187"/>
      <c r="AV87" s="822"/>
      <c r="AW87" s="822"/>
      <c r="AX87" s="822"/>
      <c r="AY87" s="822"/>
      <c r="AZ87" s="822"/>
      <c r="BA87" s="822"/>
      <c r="BB87" s="822"/>
      <c r="BC87" s="823"/>
      <c r="BF87" s="669" t="s">
        <v>750</v>
      </c>
    </row>
    <row r="88" spans="5:58" ht="14.65" hidden="1" customHeight="1">
      <c r="E88" s="459">
        <v>15</v>
      </c>
      <c r="F88" s="3" cm="1">
        <f t="array" aca="1" ref="F88" ca="1">OFFSET(E88,-1,1)</f>
        <v>0</v>
      </c>
      <c r="G88" s="17" t="s">
        <v>681</v>
      </c>
      <c r="H88" s="17" t="s">
        <v>724</v>
      </c>
      <c r="T88" s="351" t="b" cm="1">
        <f t="array" ref="T88">T87</f>
        <v>0</v>
      </c>
      <c r="X88" s="1024"/>
      <c r="Y88" s="1007"/>
      <c r="AB88" s="153" t="s">
        <v>725</v>
      </c>
      <c r="AC88" s="105" t="s">
        <v>684</v>
      </c>
      <c r="AD88" s="12" t="s">
        <v>585</v>
      </c>
      <c r="AE88" s="250">
        <f t="shared" ref="AE88:BB88" si="20">AE89+AE90</f>
        <v>0</v>
      </c>
      <c r="AF88" s="250">
        <f t="shared" si="20"/>
        <v>0</v>
      </c>
      <c r="AG88" s="250">
        <f t="shared" si="20"/>
        <v>0</v>
      </c>
      <c r="AH88" s="250">
        <f t="shared" si="20"/>
        <v>0</v>
      </c>
      <c r="AI88" s="250">
        <f t="shared" si="20"/>
        <v>0</v>
      </c>
      <c r="AJ88" s="250">
        <f t="shared" si="20"/>
        <v>0</v>
      </c>
      <c r="AK88" s="250">
        <f t="shared" si="20"/>
        <v>0</v>
      </c>
      <c r="AL88" s="250">
        <f t="shared" si="20"/>
        <v>0</v>
      </c>
      <c r="AM88" s="250">
        <f t="shared" si="20"/>
        <v>0</v>
      </c>
      <c r="AN88" s="250">
        <f t="shared" si="20"/>
        <v>0</v>
      </c>
      <c r="AO88" s="250">
        <f t="shared" si="20"/>
        <v>0</v>
      </c>
      <c r="AP88" s="250">
        <f t="shared" si="20"/>
        <v>0</v>
      </c>
      <c r="AQ88" s="250">
        <f t="shared" si="20"/>
        <v>0</v>
      </c>
      <c r="AR88" s="250">
        <f t="shared" si="20"/>
        <v>0</v>
      </c>
      <c r="AS88" s="250">
        <f t="shared" si="20"/>
        <v>0</v>
      </c>
      <c r="AT88" s="250">
        <f t="shared" si="20"/>
        <v>0</v>
      </c>
      <c r="AU88" s="250">
        <f t="shared" si="20"/>
        <v>0</v>
      </c>
      <c r="AV88" s="250">
        <f t="shared" si="20"/>
        <v>0</v>
      </c>
      <c r="AW88" s="250">
        <f t="shared" si="20"/>
        <v>0</v>
      </c>
      <c r="AX88" s="250">
        <f t="shared" si="20"/>
        <v>0</v>
      </c>
      <c r="AY88" s="250">
        <f t="shared" si="20"/>
        <v>0</v>
      </c>
      <c r="AZ88" s="250">
        <f t="shared" si="20"/>
        <v>0</v>
      </c>
      <c r="BA88" s="250">
        <f t="shared" si="20"/>
        <v>0</v>
      </c>
      <c r="BB88" s="250">
        <f t="shared" si="20"/>
        <v>0</v>
      </c>
      <c r="BC88" s="823"/>
      <c r="BF88" s="669" t="s">
        <v>751</v>
      </c>
    </row>
    <row r="89" spans="5:58" ht="14.65" hidden="1" customHeight="1">
      <c r="E89" s="459">
        <v>15</v>
      </c>
      <c r="F89" s="3" cm="1">
        <f t="array" aca="1" ref="F89" ca="1">OFFSET(E89,-1,1)</f>
        <v>0</v>
      </c>
      <c r="H89" s="17" t="s">
        <v>752</v>
      </c>
      <c r="T89" s="351" t="b" cm="1">
        <f t="array" ref="T89">T88</f>
        <v>0</v>
      </c>
      <c r="X89" s="1024"/>
      <c r="Y89" s="1007"/>
      <c r="AB89" s="153" t="s">
        <v>753</v>
      </c>
      <c r="AC89" s="242" t="s">
        <v>661</v>
      </c>
      <c r="AD89" s="12" t="s">
        <v>585</v>
      </c>
      <c r="AE89" s="822"/>
      <c r="AF89" s="822"/>
      <c r="AG89" s="822"/>
      <c r="AH89" s="822"/>
      <c r="AI89" s="187"/>
      <c r="AJ89" s="187"/>
      <c r="AK89" s="187"/>
      <c r="AL89" s="822"/>
      <c r="AM89" s="822"/>
      <c r="AN89" s="822"/>
      <c r="AO89" s="822"/>
      <c r="AP89" s="822"/>
      <c r="AQ89" s="822"/>
      <c r="AR89" s="822"/>
      <c r="AS89" s="187"/>
      <c r="AT89" s="187"/>
      <c r="AU89" s="187"/>
      <c r="AV89" s="822"/>
      <c r="AW89" s="822"/>
      <c r="AX89" s="822"/>
      <c r="AY89" s="822"/>
      <c r="AZ89" s="822"/>
      <c r="BA89" s="822"/>
      <c r="BB89" s="822"/>
      <c r="BC89" s="823"/>
      <c r="BF89" s="669" t="s">
        <v>754</v>
      </c>
    </row>
    <row r="90" spans="5:58" ht="14.65" hidden="1" customHeight="1">
      <c r="E90" s="459">
        <v>15</v>
      </c>
      <c r="F90" s="3" cm="1">
        <f t="array" aca="1" ref="F90" ca="1">OFFSET(E90,-1,1)</f>
        <v>0</v>
      </c>
      <c r="H90" s="17" t="s">
        <v>755</v>
      </c>
      <c r="T90" s="351" t="b" cm="1">
        <f t="array" ref="T90">T89</f>
        <v>0</v>
      </c>
      <c r="X90" s="1024"/>
      <c r="Y90" s="1007"/>
      <c r="AB90" s="153" t="s">
        <v>756</v>
      </c>
      <c r="AC90" s="242" t="s">
        <v>665</v>
      </c>
      <c r="AD90" s="12" t="s">
        <v>585</v>
      </c>
      <c r="AE90" s="822"/>
      <c r="AF90" s="822"/>
      <c r="AG90" s="822"/>
      <c r="AH90" s="822"/>
      <c r="AI90" s="187"/>
      <c r="AJ90" s="187"/>
      <c r="AK90" s="187"/>
      <c r="AL90" s="822"/>
      <c r="AM90" s="822"/>
      <c r="AN90" s="822"/>
      <c r="AO90" s="822"/>
      <c r="AP90" s="822"/>
      <c r="AQ90" s="822"/>
      <c r="AR90" s="822"/>
      <c r="AS90" s="187"/>
      <c r="AT90" s="187"/>
      <c r="AU90" s="187"/>
      <c r="AV90" s="822"/>
      <c r="AW90" s="822"/>
      <c r="AX90" s="822"/>
      <c r="AY90" s="822"/>
      <c r="AZ90" s="822"/>
      <c r="BA90" s="822"/>
      <c r="BB90" s="822"/>
      <c r="BC90" s="823"/>
      <c r="BF90" s="669" t="s">
        <v>757</v>
      </c>
    </row>
    <row r="91" spans="5:58" ht="14.65" hidden="1" customHeight="1">
      <c r="E91" s="459">
        <v>15</v>
      </c>
      <c r="F91" s="3" cm="1">
        <f t="array" aca="1" ref="F91" ca="1">OFFSET(E91,-1,1)</f>
        <v>0</v>
      </c>
      <c r="H91" s="17" t="s">
        <v>758</v>
      </c>
      <c r="T91" s="351" t="b" cm="1">
        <f t="array" ref="T91">T90</f>
        <v>0</v>
      </c>
      <c r="X91" s="1024"/>
      <c r="Y91" s="1007"/>
      <c r="AB91" s="153" t="s">
        <v>759</v>
      </c>
      <c r="AC91" s="105" t="s">
        <v>694</v>
      </c>
      <c r="AD91" s="12" t="s">
        <v>585</v>
      </c>
      <c r="AE91" s="250">
        <f t="shared" ref="AE91:BB91" si="21">AE92+AE93</f>
        <v>0</v>
      </c>
      <c r="AF91" s="250">
        <f t="shared" si="21"/>
        <v>0</v>
      </c>
      <c r="AG91" s="250">
        <f t="shared" si="21"/>
        <v>0</v>
      </c>
      <c r="AH91" s="250">
        <f t="shared" si="21"/>
        <v>0</v>
      </c>
      <c r="AI91" s="250">
        <f t="shared" si="21"/>
        <v>0</v>
      </c>
      <c r="AJ91" s="250">
        <f t="shared" si="21"/>
        <v>0</v>
      </c>
      <c r="AK91" s="250">
        <f t="shared" si="21"/>
        <v>0</v>
      </c>
      <c r="AL91" s="250">
        <f t="shared" si="21"/>
        <v>0</v>
      </c>
      <c r="AM91" s="250">
        <f t="shared" si="21"/>
        <v>0</v>
      </c>
      <c r="AN91" s="250">
        <f t="shared" si="21"/>
        <v>0</v>
      </c>
      <c r="AO91" s="250">
        <f t="shared" si="21"/>
        <v>0</v>
      </c>
      <c r="AP91" s="250">
        <f t="shared" si="21"/>
        <v>0</v>
      </c>
      <c r="AQ91" s="250">
        <f t="shared" si="21"/>
        <v>0</v>
      </c>
      <c r="AR91" s="250">
        <f t="shared" si="21"/>
        <v>0</v>
      </c>
      <c r="AS91" s="250">
        <f t="shared" si="21"/>
        <v>0</v>
      </c>
      <c r="AT91" s="250">
        <f t="shared" si="21"/>
        <v>0</v>
      </c>
      <c r="AU91" s="250">
        <f t="shared" si="21"/>
        <v>0</v>
      </c>
      <c r="AV91" s="250">
        <f t="shared" si="21"/>
        <v>0</v>
      </c>
      <c r="AW91" s="250">
        <f t="shared" si="21"/>
        <v>0</v>
      </c>
      <c r="AX91" s="250">
        <f t="shared" si="21"/>
        <v>0</v>
      </c>
      <c r="AY91" s="250">
        <f t="shared" si="21"/>
        <v>0</v>
      </c>
      <c r="AZ91" s="250">
        <f t="shared" si="21"/>
        <v>0</v>
      </c>
      <c r="BA91" s="250">
        <f t="shared" si="21"/>
        <v>0</v>
      </c>
      <c r="BB91" s="250">
        <f t="shared" si="21"/>
        <v>0</v>
      </c>
      <c r="BC91" s="823"/>
      <c r="BF91" s="669" t="s">
        <v>760</v>
      </c>
    </row>
    <row r="92" spans="5:58" ht="14.65" hidden="1" customHeight="1">
      <c r="E92" s="459">
        <v>15</v>
      </c>
      <c r="F92" s="3" cm="1">
        <f t="array" aca="1" ref="F92" ca="1">OFFSET(E92,-1,1)</f>
        <v>0</v>
      </c>
      <c r="H92" s="17" t="s">
        <v>761</v>
      </c>
      <c r="T92" s="351" t="b" cm="1">
        <f t="array" ref="T92">T91</f>
        <v>0</v>
      </c>
      <c r="X92" s="1024"/>
      <c r="Y92" s="1007"/>
      <c r="AB92" s="153" t="s">
        <v>762</v>
      </c>
      <c r="AC92" s="242" t="s">
        <v>661</v>
      </c>
      <c r="AD92" s="12" t="s">
        <v>585</v>
      </c>
      <c r="AE92" s="822"/>
      <c r="AF92" s="822"/>
      <c r="AG92" s="822"/>
      <c r="AH92" s="822"/>
      <c r="AI92" s="187"/>
      <c r="AJ92" s="187"/>
      <c r="AK92" s="187"/>
      <c r="AL92" s="822"/>
      <c r="AM92" s="822"/>
      <c r="AN92" s="822"/>
      <c r="AO92" s="822"/>
      <c r="AP92" s="822"/>
      <c r="AQ92" s="822"/>
      <c r="AR92" s="822"/>
      <c r="AS92" s="187"/>
      <c r="AT92" s="187"/>
      <c r="AU92" s="187"/>
      <c r="AV92" s="822"/>
      <c r="AW92" s="822"/>
      <c r="AX92" s="822"/>
      <c r="AY92" s="822"/>
      <c r="AZ92" s="822"/>
      <c r="BA92" s="822"/>
      <c r="BB92" s="822"/>
      <c r="BC92" s="823"/>
      <c r="BF92" s="669" t="s">
        <v>763</v>
      </c>
    </row>
    <row r="93" spans="5:58" ht="14.65" hidden="1" customHeight="1">
      <c r="E93" s="459">
        <v>15</v>
      </c>
      <c r="F93" s="3" cm="1">
        <f t="array" aca="1" ref="F93" ca="1">OFFSET(E93,-1,1)</f>
        <v>0</v>
      </c>
      <c r="H93" s="17" t="s">
        <v>764</v>
      </c>
      <c r="T93" s="351" t="b" cm="1">
        <f t="array" ref="T93">T92</f>
        <v>0</v>
      </c>
      <c r="X93" s="1024"/>
      <c r="Y93" s="1007"/>
      <c r="AB93" s="153" t="s">
        <v>765</v>
      </c>
      <c r="AC93" s="242" t="s">
        <v>665</v>
      </c>
      <c r="AD93" s="12" t="s">
        <v>585</v>
      </c>
      <c r="AE93" s="822"/>
      <c r="AF93" s="822"/>
      <c r="AG93" s="822"/>
      <c r="AH93" s="822"/>
      <c r="AI93" s="187"/>
      <c r="AJ93" s="187"/>
      <c r="AK93" s="187"/>
      <c r="AL93" s="822"/>
      <c r="AM93" s="822"/>
      <c r="AN93" s="822"/>
      <c r="AO93" s="822"/>
      <c r="AP93" s="822"/>
      <c r="AQ93" s="822"/>
      <c r="AR93" s="822"/>
      <c r="AS93" s="187"/>
      <c r="AT93" s="187"/>
      <c r="AU93" s="187"/>
      <c r="AV93" s="822"/>
      <c r="AW93" s="822"/>
      <c r="AX93" s="822"/>
      <c r="AY93" s="822"/>
      <c r="AZ93" s="822"/>
      <c r="BA93" s="822"/>
      <c r="BB93" s="822"/>
      <c r="BC93" s="823"/>
      <c r="BF93" s="669" t="s">
        <v>766</v>
      </c>
    </row>
    <row r="94" spans="5:58" ht="14.65" hidden="1" customHeight="1">
      <c r="E94" s="459">
        <v>15</v>
      </c>
      <c r="F94" s="3" cm="1">
        <f t="array" aca="1" ref="F94" ca="1">OFFSET(E94,-1,1)</f>
        <v>0</v>
      </c>
      <c r="H94" s="17" t="s">
        <v>767</v>
      </c>
      <c r="T94" s="351" t="b" cm="1">
        <f t="array" ref="T94">T93</f>
        <v>0</v>
      </c>
      <c r="X94" s="1024"/>
      <c r="Y94" s="1007"/>
      <c r="AB94" s="153" t="s">
        <v>768</v>
      </c>
      <c r="AC94" s="105" t="s">
        <v>769</v>
      </c>
      <c r="AD94" s="12" t="s">
        <v>585</v>
      </c>
      <c r="AE94" s="250">
        <f t="shared" ref="AE94:BB94" si="22">AE95+AE96</f>
        <v>0</v>
      </c>
      <c r="AF94" s="250">
        <f t="shared" si="22"/>
        <v>0</v>
      </c>
      <c r="AG94" s="250">
        <f t="shared" si="22"/>
        <v>0</v>
      </c>
      <c r="AH94" s="250">
        <f t="shared" si="22"/>
        <v>0</v>
      </c>
      <c r="AI94" s="250">
        <f t="shared" si="22"/>
        <v>0</v>
      </c>
      <c r="AJ94" s="250">
        <f t="shared" si="22"/>
        <v>0</v>
      </c>
      <c r="AK94" s="250">
        <f t="shared" si="22"/>
        <v>0</v>
      </c>
      <c r="AL94" s="250">
        <f t="shared" si="22"/>
        <v>0</v>
      </c>
      <c r="AM94" s="250">
        <f t="shared" si="22"/>
        <v>0</v>
      </c>
      <c r="AN94" s="250">
        <f t="shared" si="22"/>
        <v>0</v>
      </c>
      <c r="AO94" s="250">
        <f t="shared" si="22"/>
        <v>0</v>
      </c>
      <c r="AP94" s="250">
        <f t="shared" si="22"/>
        <v>0</v>
      </c>
      <c r="AQ94" s="250">
        <f t="shared" si="22"/>
        <v>0</v>
      </c>
      <c r="AR94" s="250">
        <f t="shared" si="22"/>
        <v>0</v>
      </c>
      <c r="AS94" s="250">
        <f t="shared" si="22"/>
        <v>0</v>
      </c>
      <c r="AT94" s="250">
        <f t="shared" si="22"/>
        <v>0</v>
      </c>
      <c r="AU94" s="250">
        <f t="shared" si="22"/>
        <v>0</v>
      </c>
      <c r="AV94" s="250">
        <f t="shared" si="22"/>
        <v>0</v>
      </c>
      <c r="AW94" s="250">
        <f t="shared" si="22"/>
        <v>0</v>
      </c>
      <c r="AX94" s="250">
        <f t="shared" si="22"/>
        <v>0</v>
      </c>
      <c r="AY94" s="250">
        <f t="shared" si="22"/>
        <v>0</v>
      </c>
      <c r="AZ94" s="250">
        <f t="shared" si="22"/>
        <v>0</v>
      </c>
      <c r="BA94" s="250">
        <f t="shared" si="22"/>
        <v>0</v>
      </c>
      <c r="BB94" s="250">
        <f t="shared" si="22"/>
        <v>0</v>
      </c>
      <c r="BC94" s="823"/>
      <c r="BF94" s="669" t="s">
        <v>770</v>
      </c>
    </row>
    <row r="95" spans="5:58" ht="14.65" hidden="1" customHeight="1">
      <c r="E95" s="459">
        <v>15</v>
      </c>
      <c r="F95" s="3" cm="1">
        <f t="array" aca="1" ref="F95" ca="1">OFFSET(E95,-1,1)</f>
        <v>0</v>
      </c>
      <c r="H95" s="17" t="s">
        <v>771</v>
      </c>
      <c r="T95" s="351" t="b" cm="1">
        <f t="array" ref="T95">T94</f>
        <v>0</v>
      </c>
      <c r="X95" s="1024"/>
      <c r="Y95" s="1007"/>
      <c r="AB95" s="153" t="s">
        <v>772</v>
      </c>
      <c r="AC95" s="236" t="s">
        <v>661</v>
      </c>
      <c r="AD95" s="12" t="s">
        <v>585</v>
      </c>
      <c r="AE95" s="822"/>
      <c r="AF95" s="822"/>
      <c r="AG95" s="822"/>
      <c r="AH95" s="822"/>
      <c r="AI95" s="187"/>
      <c r="AJ95" s="187"/>
      <c r="AK95" s="187"/>
      <c r="AL95" s="822"/>
      <c r="AM95" s="822"/>
      <c r="AN95" s="822"/>
      <c r="AO95" s="822"/>
      <c r="AP95" s="822"/>
      <c r="AQ95" s="822"/>
      <c r="AR95" s="822"/>
      <c r="AS95" s="187"/>
      <c r="AT95" s="187"/>
      <c r="AU95" s="187"/>
      <c r="AV95" s="822"/>
      <c r="AW95" s="822"/>
      <c r="AX95" s="822"/>
      <c r="AY95" s="822"/>
      <c r="AZ95" s="822"/>
      <c r="BA95" s="822"/>
      <c r="BB95" s="822"/>
      <c r="BC95" s="823"/>
      <c r="BF95" s="669" t="s">
        <v>773</v>
      </c>
    </row>
    <row r="96" spans="5:58" ht="14.65" hidden="1" customHeight="1">
      <c r="E96" s="459">
        <v>15</v>
      </c>
      <c r="F96" s="3" cm="1">
        <f t="array" aca="1" ref="F96" ca="1">OFFSET(E96,-1,1)</f>
        <v>0</v>
      </c>
      <c r="H96" s="17" t="s">
        <v>774</v>
      </c>
      <c r="T96" s="351" t="b" cm="1">
        <f t="array" ref="T96">T95</f>
        <v>0</v>
      </c>
      <c r="X96" s="1024"/>
      <c r="Y96" s="1007"/>
      <c r="AB96" s="153" t="s">
        <v>775</v>
      </c>
      <c r="AC96" s="236" t="s">
        <v>665</v>
      </c>
      <c r="AD96" s="12" t="s">
        <v>585</v>
      </c>
      <c r="AE96" s="822"/>
      <c r="AF96" s="822"/>
      <c r="AG96" s="822"/>
      <c r="AH96" s="822"/>
      <c r="AI96" s="187"/>
      <c r="AJ96" s="187"/>
      <c r="AK96" s="187"/>
      <c r="AL96" s="822"/>
      <c r="AM96" s="822"/>
      <c r="AN96" s="822"/>
      <c r="AO96" s="822"/>
      <c r="AP96" s="822"/>
      <c r="AQ96" s="822"/>
      <c r="AR96" s="822"/>
      <c r="AS96" s="187"/>
      <c r="AT96" s="187"/>
      <c r="AU96" s="187"/>
      <c r="AV96" s="822"/>
      <c r="AW96" s="822"/>
      <c r="AX96" s="822"/>
      <c r="AY96" s="822"/>
      <c r="AZ96" s="822"/>
      <c r="BA96" s="822"/>
      <c r="BB96" s="822"/>
      <c r="BC96" s="823"/>
      <c r="BF96" s="669" t="s">
        <v>776</v>
      </c>
    </row>
    <row r="97" spans="1:58" ht="21.95" hidden="1" customHeight="1">
      <c r="E97" s="459">
        <v>22.5</v>
      </c>
      <c r="F97" s="3" cm="1">
        <f t="array" aca="1" ref="F97" ca="1">OFFSET(E97,-1,1)</f>
        <v>0</v>
      </c>
      <c r="H97" s="17" t="s">
        <v>777</v>
      </c>
      <c r="T97" s="351" t="b" cm="1">
        <f t="array" ref="T97">T96</f>
        <v>0</v>
      </c>
      <c r="X97" s="1024"/>
      <c r="Y97" s="1007"/>
      <c r="AB97" s="153" t="s">
        <v>778</v>
      </c>
      <c r="AC97" s="243" t="s">
        <v>626</v>
      </c>
      <c r="AD97" s="12" t="s">
        <v>585</v>
      </c>
      <c r="AE97" s="822"/>
      <c r="AF97" s="822"/>
      <c r="AG97" s="822"/>
      <c r="AH97" s="822"/>
      <c r="AI97" s="187"/>
      <c r="AJ97" s="187"/>
      <c r="AK97" s="187"/>
      <c r="AL97" s="822"/>
      <c r="AM97" s="822"/>
      <c r="AN97" s="822"/>
      <c r="AO97" s="822"/>
      <c r="AP97" s="822"/>
      <c r="AQ97" s="822"/>
      <c r="AR97" s="822"/>
      <c r="AS97" s="187"/>
      <c r="AT97" s="187"/>
      <c r="AU97" s="187"/>
      <c r="AV97" s="822"/>
      <c r="AW97" s="822"/>
      <c r="AX97" s="822"/>
      <c r="AY97" s="822"/>
      <c r="AZ97" s="822"/>
      <c r="BA97" s="822"/>
      <c r="BB97" s="822"/>
      <c r="BC97" s="823"/>
      <c r="BF97" s="669" t="s">
        <v>779</v>
      </c>
    </row>
    <row r="98" spans="1:58" ht="14.65" hidden="1" customHeight="1">
      <c r="E98" s="459">
        <v>15</v>
      </c>
      <c r="F98" s="3" cm="1">
        <f t="array" aca="1" ref="F98" ca="1">OFFSET(E98,-1,1)</f>
        <v>0</v>
      </c>
      <c r="H98" s="17" t="s">
        <v>560</v>
      </c>
      <c r="T98" s="351" t="b" cm="1">
        <f t="array" ref="T98">T97</f>
        <v>0</v>
      </c>
      <c r="X98" s="1024"/>
      <c r="Y98" s="1007"/>
      <c r="AB98" s="153" t="s">
        <v>440</v>
      </c>
      <c r="AC98" s="53" t="s">
        <v>780</v>
      </c>
      <c r="AD98" s="12" t="s">
        <v>585</v>
      </c>
      <c r="AE98" s="822"/>
      <c r="AF98" s="822"/>
      <c r="AG98" s="822"/>
      <c r="AH98" s="822"/>
      <c r="AI98" s="187"/>
      <c r="AJ98" s="187"/>
      <c r="AK98" s="187"/>
      <c r="AL98" s="822"/>
      <c r="AM98" s="822"/>
      <c r="AN98" s="822"/>
      <c r="AO98" s="822"/>
      <c r="AP98" s="822"/>
      <c r="AQ98" s="822"/>
      <c r="AR98" s="822"/>
      <c r="AS98" s="187"/>
      <c r="AT98" s="187"/>
      <c r="AU98" s="187"/>
      <c r="AV98" s="822"/>
      <c r="AW98" s="822"/>
      <c r="AX98" s="822"/>
      <c r="AY98" s="822"/>
      <c r="AZ98" s="822"/>
      <c r="BA98" s="822"/>
      <c r="BB98" s="822"/>
      <c r="BC98" s="823"/>
      <c r="BF98" s="669" t="s">
        <v>781</v>
      </c>
    </row>
    <row r="99" spans="1:58" ht="14.65" hidden="1" customHeight="1">
      <c r="E99" s="459">
        <v>15</v>
      </c>
      <c r="F99" s="3" cm="1">
        <f t="array" aca="1" ref="F99" ca="1">OFFSET(E99,-1,1)</f>
        <v>0</v>
      </c>
      <c r="H99" s="17" t="s">
        <v>613</v>
      </c>
      <c r="T99" s="351" t="b" cm="1">
        <f t="array" ref="T99">T98</f>
        <v>0</v>
      </c>
      <c r="X99" s="1024"/>
      <c r="Y99" s="1007"/>
      <c r="AB99" s="153" t="s">
        <v>442</v>
      </c>
      <c r="AC99" s="53" t="s">
        <v>782</v>
      </c>
      <c r="AD99" s="12" t="s">
        <v>585</v>
      </c>
      <c r="AE99" s="822"/>
      <c r="AF99" s="822"/>
      <c r="AG99" s="822"/>
      <c r="AH99" s="822"/>
      <c r="AI99" s="187"/>
      <c r="AJ99" s="187"/>
      <c r="AK99" s="187"/>
      <c r="AL99" s="822"/>
      <c r="AM99" s="822"/>
      <c r="AN99" s="822"/>
      <c r="AO99" s="822"/>
      <c r="AP99" s="822"/>
      <c r="AQ99" s="822"/>
      <c r="AR99" s="822"/>
      <c r="AS99" s="187"/>
      <c r="AT99" s="187"/>
      <c r="AU99" s="187"/>
      <c r="AV99" s="822"/>
      <c r="AW99" s="822"/>
      <c r="AX99" s="822"/>
      <c r="AY99" s="822"/>
      <c r="AZ99" s="822"/>
      <c r="BA99" s="822"/>
      <c r="BB99" s="822"/>
      <c r="BC99" s="823"/>
      <c r="BF99" s="669" t="s">
        <v>783</v>
      </c>
    </row>
    <row r="100" spans="1:58" ht="14.65" hidden="1" customHeight="1">
      <c r="E100" s="459">
        <v>15</v>
      </c>
      <c r="F100" s="3" cm="1">
        <f t="array" aca="1" ref="F100" ca="1">OFFSET(E100,-1,1)</f>
        <v>0</v>
      </c>
      <c r="H100" s="17" t="s">
        <v>628</v>
      </c>
      <c r="T100" s="351" t="b" cm="1">
        <f t="array" ref="T100">T99</f>
        <v>0</v>
      </c>
      <c r="X100" s="1024"/>
      <c r="Y100" s="1007"/>
      <c r="AB100" s="153" t="s">
        <v>444</v>
      </c>
      <c r="AC100" s="53" t="s">
        <v>784</v>
      </c>
      <c r="AD100" s="12" t="s">
        <v>585</v>
      </c>
      <c r="AE100" s="822"/>
      <c r="AF100" s="822"/>
      <c r="AG100" s="822"/>
      <c r="AH100" s="822"/>
      <c r="AI100" s="187"/>
      <c r="AJ100" s="187"/>
      <c r="AK100" s="187"/>
      <c r="AL100" s="822"/>
      <c r="AM100" s="822"/>
      <c r="AN100" s="822"/>
      <c r="AO100" s="822"/>
      <c r="AP100" s="822"/>
      <c r="AQ100" s="822"/>
      <c r="AR100" s="822"/>
      <c r="AS100" s="187"/>
      <c r="AT100" s="187"/>
      <c r="AU100" s="187"/>
      <c r="AV100" s="822"/>
      <c r="AW100" s="822"/>
      <c r="AX100" s="822"/>
      <c r="AY100" s="822"/>
      <c r="AZ100" s="822"/>
      <c r="BA100" s="822"/>
      <c r="BB100" s="822"/>
      <c r="BC100" s="823"/>
      <c r="BF100" s="669" t="s">
        <v>785</v>
      </c>
    </row>
    <row r="101" spans="1:58" ht="14.65" hidden="1" customHeight="1">
      <c r="E101" s="459">
        <v>15</v>
      </c>
      <c r="F101" s="3" cm="1">
        <f t="array" aca="1" ref="F101" ca="1">OFFSET(E101,-1,1)</f>
        <v>0</v>
      </c>
      <c r="H101" s="17" t="s">
        <v>635</v>
      </c>
      <c r="T101" s="351" t="b" cm="1">
        <f t="array" ref="T101">T100</f>
        <v>0</v>
      </c>
      <c r="X101" s="1024"/>
      <c r="Y101" s="1007"/>
      <c r="AB101" s="153" t="s">
        <v>446</v>
      </c>
      <c r="AC101" s="54" t="s">
        <v>786</v>
      </c>
      <c r="AD101" s="12" t="s">
        <v>585</v>
      </c>
      <c r="AE101" s="250">
        <f t="shared" ref="AE101:BB101" si="23">AE102+AE103</f>
        <v>0</v>
      </c>
      <c r="AF101" s="250">
        <f t="shared" si="23"/>
        <v>0</v>
      </c>
      <c r="AG101" s="250">
        <f t="shared" si="23"/>
        <v>0</v>
      </c>
      <c r="AH101" s="250">
        <f t="shared" si="23"/>
        <v>0</v>
      </c>
      <c r="AI101" s="250">
        <f t="shared" si="23"/>
        <v>0</v>
      </c>
      <c r="AJ101" s="250">
        <f t="shared" si="23"/>
        <v>0</v>
      </c>
      <c r="AK101" s="250">
        <f t="shared" si="23"/>
        <v>0</v>
      </c>
      <c r="AL101" s="250">
        <f t="shared" si="23"/>
        <v>0</v>
      </c>
      <c r="AM101" s="250">
        <f t="shared" si="23"/>
        <v>0</v>
      </c>
      <c r="AN101" s="250">
        <f t="shared" si="23"/>
        <v>0</v>
      </c>
      <c r="AO101" s="250">
        <f t="shared" si="23"/>
        <v>0</v>
      </c>
      <c r="AP101" s="250">
        <f t="shared" si="23"/>
        <v>0</v>
      </c>
      <c r="AQ101" s="250">
        <f t="shared" si="23"/>
        <v>0</v>
      </c>
      <c r="AR101" s="250">
        <f t="shared" si="23"/>
        <v>0</v>
      </c>
      <c r="AS101" s="250">
        <f t="shared" si="23"/>
        <v>0</v>
      </c>
      <c r="AT101" s="250">
        <f t="shared" si="23"/>
        <v>0</v>
      </c>
      <c r="AU101" s="250">
        <f t="shared" si="23"/>
        <v>0</v>
      </c>
      <c r="AV101" s="250">
        <f t="shared" si="23"/>
        <v>0</v>
      </c>
      <c r="AW101" s="250">
        <f t="shared" si="23"/>
        <v>0</v>
      </c>
      <c r="AX101" s="250">
        <f t="shared" si="23"/>
        <v>0</v>
      </c>
      <c r="AY101" s="250">
        <f t="shared" si="23"/>
        <v>0</v>
      </c>
      <c r="AZ101" s="250">
        <f t="shared" si="23"/>
        <v>0</v>
      </c>
      <c r="BA101" s="250">
        <f t="shared" si="23"/>
        <v>0</v>
      </c>
      <c r="BB101" s="250">
        <f t="shared" si="23"/>
        <v>0</v>
      </c>
      <c r="BC101" s="823"/>
      <c r="BF101" s="669" t="s">
        <v>787</v>
      </c>
    </row>
    <row r="102" spans="1:58" ht="14.65" hidden="1" customHeight="1">
      <c r="E102" s="459">
        <v>15</v>
      </c>
      <c r="F102" s="3" cm="1">
        <f t="array" aca="1" ref="F102" ca="1">OFFSET(E102,-1,1)</f>
        <v>0</v>
      </c>
      <c r="H102" s="17" t="s">
        <v>638</v>
      </c>
      <c r="T102" s="351" t="b" cm="1">
        <f t="array" ref="T102">T101</f>
        <v>0</v>
      </c>
      <c r="X102" s="1024"/>
      <c r="Y102" s="1007"/>
      <c r="AB102" s="153" t="s">
        <v>639</v>
      </c>
      <c r="AC102" s="105" t="s">
        <v>788</v>
      </c>
      <c r="AD102" s="12" t="s">
        <v>585</v>
      </c>
      <c r="AE102" s="822"/>
      <c r="AF102" s="822"/>
      <c r="AG102" s="822"/>
      <c r="AH102" s="822"/>
      <c r="AI102" s="187"/>
      <c r="AJ102" s="187"/>
      <c r="AK102" s="187"/>
      <c r="AL102" s="822"/>
      <c r="AM102" s="822"/>
      <c r="AN102" s="822"/>
      <c r="AO102" s="822"/>
      <c r="AP102" s="822"/>
      <c r="AQ102" s="822"/>
      <c r="AR102" s="822"/>
      <c r="AS102" s="187"/>
      <c r="AT102" s="187"/>
      <c r="AU102" s="187"/>
      <c r="AV102" s="822"/>
      <c r="AW102" s="822"/>
      <c r="AX102" s="822"/>
      <c r="AY102" s="822"/>
      <c r="AZ102" s="822"/>
      <c r="BA102" s="822"/>
      <c r="BB102" s="822"/>
      <c r="BC102" s="823"/>
      <c r="BF102" s="669" t="s">
        <v>789</v>
      </c>
    </row>
    <row r="103" spans="1:58" ht="14.65" hidden="1" customHeight="1">
      <c r="E103" s="459">
        <v>15</v>
      </c>
      <c r="F103" s="3" cm="1">
        <f t="array" aca="1" ref="F103" ca="1">OFFSET(E103,-1,1)</f>
        <v>0</v>
      </c>
      <c r="H103" s="17" t="s">
        <v>655</v>
      </c>
      <c r="T103" s="351" t="b" cm="1">
        <f t="array" ref="T103">T102</f>
        <v>0</v>
      </c>
      <c r="X103" s="1024"/>
      <c r="Y103" s="1007"/>
      <c r="AB103" s="153" t="s">
        <v>656</v>
      </c>
      <c r="AC103" s="105" t="s">
        <v>790</v>
      </c>
      <c r="AD103" s="12" t="s">
        <v>585</v>
      </c>
      <c r="AE103" s="822"/>
      <c r="AF103" s="822"/>
      <c r="AG103" s="822"/>
      <c r="AH103" s="822"/>
      <c r="AI103" s="187"/>
      <c r="AJ103" s="187"/>
      <c r="AK103" s="187"/>
      <c r="AL103" s="822"/>
      <c r="AM103" s="822"/>
      <c r="AN103" s="822"/>
      <c r="AO103" s="822"/>
      <c r="AP103" s="822"/>
      <c r="AQ103" s="822"/>
      <c r="AR103" s="822"/>
      <c r="AS103" s="187"/>
      <c r="AT103" s="187"/>
      <c r="AU103" s="187"/>
      <c r="AV103" s="822"/>
      <c r="AW103" s="822"/>
      <c r="AX103" s="822"/>
      <c r="AY103" s="822"/>
      <c r="AZ103" s="822"/>
      <c r="BA103" s="822"/>
      <c r="BB103" s="822"/>
      <c r="BC103" s="823"/>
      <c r="BF103" s="669" t="s">
        <v>791</v>
      </c>
    </row>
    <row r="104" spans="1:58" ht="21.95" hidden="1" customHeight="1">
      <c r="E104" s="459">
        <v>22.5</v>
      </c>
      <c r="F104" s="3" cm="1">
        <f t="array" aca="1" ref="F104" ca="1">OFFSET(E104,-1,1)</f>
        <v>0</v>
      </c>
      <c r="H104" s="17" t="s">
        <v>792</v>
      </c>
      <c r="T104" s="351" t="b" cm="1">
        <f t="array" ref="T104">T103</f>
        <v>0</v>
      </c>
      <c r="X104" s="1024"/>
      <c r="Y104" s="1007"/>
      <c r="AB104" s="153" t="s">
        <v>448</v>
      </c>
      <c r="AC104" s="244" t="s">
        <v>704</v>
      </c>
      <c r="AD104" s="12" t="s">
        <v>585</v>
      </c>
      <c r="AE104" s="822"/>
      <c r="AF104" s="822"/>
      <c r="AG104" s="822"/>
      <c r="AH104" s="822"/>
      <c r="AI104" s="187"/>
      <c r="AJ104" s="187"/>
      <c r="AK104" s="187"/>
      <c r="AL104" s="822"/>
      <c r="AM104" s="822"/>
      <c r="AN104" s="822"/>
      <c r="AO104" s="822"/>
      <c r="AP104" s="822"/>
      <c r="AQ104" s="822"/>
      <c r="AR104" s="822"/>
      <c r="AS104" s="187"/>
      <c r="AT104" s="187"/>
      <c r="AU104" s="187"/>
      <c r="AV104" s="822"/>
      <c r="AW104" s="822"/>
      <c r="AX104" s="822"/>
      <c r="AY104" s="822"/>
      <c r="AZ104" s="822"/>
      <c r="BA104" s="822"/>
      <c r="BB104" s="822"/>
      <c r="BC104" s="823"/>
      <c r="BF104" s="669" t="s">
        <v>793</v>
      </c>
    </row>
    <row r="105" spans="1:58" ht="14.65" hidden="1" customHeight="1">
      <c r="E105" s="459">
        <v>15</v>
      </c>
      <c r="F105" s="3" cm="1">
        <f t="array" aca="1" ref="F105" ca="1">OFFSET(E105,-1,1)</f>
        <v>0</v>
      </c>
      <c r="H105" s="17" t="s">
        <v>794</v>
      </c>
      <c r="T105" s="351" t="b" cm="1">
        <f t="array" ref="T105">T104</f>
        <v>0</v>
      </c>
      <c r="X105" s="1024"/>
      <c r="Y105" s="1007"/>
      <c r="AB105" s="153" t="s">
        <v>450</v>
      </c>
      <c r="AC105" s="53" t="s">
        <v>795</v>
      </c>
      <c r="AD105" s="12" t="s">
        <v>585</v>
      </c>
      <c r="AE105" s="822"/>
      <c r="AF105" s="822"/>
      <c r="AG105" s="822"/>
      <c r="AH105" s="822"/>
      <c r="AI105" s="187"/>
      <c r="AJ105" s="187"/>
      <c r="AK105" s="187"/>
      <c r="AL105" s="822"/>
      <c r="AM105" s="822"/>
      <c r="AN105" s="822"/>
      <c r="AO105" s="822"/>
      <c r="AP105" s="822"/>
      <c r="AQ105" s="822"/>
      <c r="AR105" s="822"/>
      <c r="AS105" s="187"/>
      <c r="AT105" s="187"/>
      <c r="AU105" s="187"/>
      <c r="AV105" s="822"/>
      <c r="AW105" s="822"/>
      <c r="AX105" s="822"/>
      <c r="AY105" s="822"/>
      <c r="AZ105" s="822"/>
      <c r="BA105" s="822"/>
      <c r="BB105" s="822"/>
      <c r="BC105" s="823"/>
      <c r="BF105" s="669" t="s">
        <v>796</v>
      </c>
    </row>
    <row r="106" spans="1:58" ht="11.25" hidden="1" customHeight="1">
      <c r="A106" s="314"/>
      <c r="B106" s="477"/>
      <c r="C106" s="314"/>
      <c r="D106" s="314"/>
      <c r="E106" s="478" t="s">
        <v>362</v>
      </c>
      <c r="F106" s="764" cm="1">
        <f t="array" aca="1" ref="F106" ca="1">OFFSET(E106,-1,1)</f>
        <v>0</v>
      </c>
      <c r="G106" s="314"/>
      <c r="H106" s="314"/>
      <c r="I106" s="314"/>
      <c r="J106" s="314"/>
      <c r="L106" s="314"/>
      <c r="M106" s="314"/>
      <c r="N106" s="314"/>
      <c r="O106" s="314"/>
      <c r="T106" s="351" t="b">
        <v>0</v>
      </c>
      <c r="V106" s="314"/>
      <c r="X106" s="1024"/>
      <c r="Y106" s="1007"/>
      <c r="Z106" s="314"/>
      <c r="AA106" s="314"/>
      <c r="AB106"/>
      <c r="AC106" s="18"/>
      <c r="AD106" s="18"/>
      <c r="AE106" s="248"/>
      <c r="AF106" s="248"/>
      <c r="AG106" s="248"/>
      <c r="AH106" s="248"/>
      <c r="AI106" s="248"/>
      <c r="AJ106" s="249"/>
      <c r="AK106" s="248"/>
      <c r="AL106" s="248"/>
      <c r="AM106" s="248"/>
      <c r="AN106" s="248"/>
      <c r="AO106" s="248"/>
      <c r="AP106" s="248"/>
      <c r="AQ106" s="248"/>
      <c r="AR106" s="248"/>
      <c r="AS106" s="248"/>
      <c r="AT106" s="248"/>
      <c r="AU106" s="248"/>
      <c r="AV106" s="248"/>
      <c r="AW106" s="248"/>
      <c r="AX106" s="248"/>
      <c r="AY106" s="248"/>
      <c r="AZ106" s="248"/>
      <c r="BA106" s="248"/>
      <c r="BB106" s="248"/>
      <c r="BC106"/>
      <c r="BD106"/>
      <c r="BE106"/>
      <c r="BF106" s="659"/>
    </row>
    <row r="107" spans="1:58" ht="14.65" hidden="1" customHeight="1">
      <c r="E107" s="459">
        <v>15</v>
      </c>
      <c r="F107" s="3" cm="1">
        <f t="array" aca="1" ref="F107" ca="1">OFFSET(E107,-1,1)</f>
        <v>0</v>
      </c>
      <c r="R107" s="314" t="b" cm="1">
        <f t="array" ref="R107">INDEX('Общие сведения'!$AN$179:$AN$208,MATCH($X27,'Общие сведения'!$Z$179:$Z$208,0))</f>
        <v>0</v>
      </c>
      <c r="S107" s="314" t="b">
        <f>IF(ISERROR(SEARCH("Водоотведение",AB27)),FALSE,TRUE)</f>
        <v>0</v>
      </c>
      <c r="T107" s="351" t="b">
        <f>AND(X27&gt;0,S107,R107)</f>
        <v>0</v>
      </c>
      <c r="X107" s="1024"/>
      <c r="Y107" s="1007"/>
      <c r="AB107" s="153" t="s">
        <v>277</v>
      </c>
      <c r="AC107" s="6" t="s">
        <v>736</v>
      </c>
      <c r="AD107" s="110"/>
      <c r="AE107" s="413" cm="1">
        <f t="array" ref="AE107">INDEX('Общие сведения'!$AH$179:$AH$208,MATCH($X27,'Общие сведения'!$Z$179:$Z$208,0))</f>
        <v>0</v>
      </c>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4"/>
      <c r="BC107" s="823"/>
      <c r="BF107" s="669" t="s">
        <v>797</v>
      </c>
    </row>
    <row r="108" spans="1:58" ht="14.65" hidden="1" customHeight="1">
      <c r="E108" s="459">
        <v>15</v>
      </c>
      <c r="F108" s="3" cm="1">
        <f t="array" aca="1" ref="F108" ca="1">OFFSET(E108,-1,1)</f>
        <v>0</v>
      </c>
      <c r="H108" s="17" t="s">
        <v>325</v>
      </c>
      <c r="T108" s="351" t="b" cm="1">
        <f t="array" ref="T108">T107</f>
        <v>0</v>
      </c>
      <c r="X108" s="1024"/>
      <c r="Y108" s="1007"/>
      <c r="AB108" s="153" t="s">
        <v>435</v>
      </c>
      <c r="AC108" s="245" t="s">
        <v>798</v>
      </c>
      <c r="AD108" s="12" t="s">
        <v>585</v>
      </c>
      <c r="AE108" s="250">
        <f t="shared" ref="AE108:BB108" si="24">AE109+AE111+AE110</f>
        <v>0</v>
      </c>
      <c r="AF108" s="250">
        <f t="shared" si="24"/>
        <v>0</v>
      </c>
      <c r="AG108" s="250">
        <f t="shared" si="24"/>
        <v>0</v>
      </c>
      <c r="AH108" s="250">
        <f t="shared" si="24"/>
        <v>0</v>
      </c>
      <c r="AI108" s="250">
        <f t="shared" si="24"/>
        <v>0</v>
      </c>
      <c r="AJ108" s="250">
        <f t="shared" si="24"/>
        <v>0</v>
      </c>
      <c r="AK108" s="250">
        <f t="shared" si="24"/>
        <v>0</v>
      </c>
      <c r="AL108" s="250">
        <f t="shared" si="24"/>
        <v>0</v>
      </c>
      <c r="AM108" s="250">
        <f t="shared" si="24"/>
        <v>0</v>
      </c>
      <c r="AN108" s="250">
        <f t="shared" si="24"/>
        <v>0</v>
      </c>
      <c r="AO108" s="250">
        <f t="shared" si="24"/>
        <v>0</v>
      </c>
      <c r="AP108" s="250">
        <f t="shared" si="24"/>
        <v>0</v>
      </c>
      <c r="AQ108" s="250">
        <f t="shared" si="24"/>
        <v>0</v>
      </c>
      <c r="AR108" s="250">
        <f t="shared" si="24"/>
        <v>0</v>
      </c>
      <c r="AS108" s="250">
        <f t="shared" si="24"/>
        <v>0</v>
      </c>
      <c r="AT108" s="250">
        <f t="shared" si="24"/>
        <v>0</v>
      </c>
      <c r="AU108" s="250">
        <f t="shared" si="24"/>
        <v>0</v>
      </c>
      <c r="AV108" s="250">
        <f t="shared" si="24"/>
        <v>0</v>
      </c>
      <c r="AW108" s="250">
        <f t="shared" si="24"/>
        <v>0</v>
      </c>
      <c r="AX108" s="250">
        <f t="shared" si="24"/>
        <v>0</v>
      </c>
      <c r="AY108" s="250">
        <f t="shared" si="24"/>
        <v>0</v>
      </c>
      <c r="AZ108" s="250">
        <f t="shared" si="24"/>
        <v>0</v>
      </c>
      <c r="BA108" s="250">
        <f t="shared" si="24"/>
        <v>0</v>
      </c>
      <c r="BB108" s="250">
        <f t="shared" si="24"/>
        <v>0</v>
      </c>
      <c r="BC108" s="823"/>
      <c r="BF108" s="669" t="s">
        <v>799</v>
      </c>
    </row>
    <row r="109" spans="1:58" ht="14.65" hidden="1" customHeight="1">
      <c r="E109" s="459">
        <v>15</v>
      </c>
      <c r="F109" s="3" cm="1">
        <f t="array" aca="1" ref="F109" ca="1">OFFSET(E109,-1,1)</f>
        <v>0</v>
      </c>
      <c r="H109" s="17" t="s">
        <v>587</v>
      </c>
      <c r="T109" s="351" t="b" cm="1">
        <f t="array" ref="T109">T108</f>
        <v>0</v>
      </c>
      <c r="X109" s="1024"/>
      <c r="Y109" s="1007"/>
      <c r="AB109" s="153" t="s">
        <v>588</v>
      </c>
      <c r="AC109" s="127" t="s">
        <v>800</v>
      </c>
      <c r="AD109" s="12" t="s">
        <v>585</v>
      </c>
      <c r="AE109" s="833"/>
      <c r="AF109" s="833"/>
      <c r="AG109" s="833"/>
      <c r="AH109" s="833"/>
      <c r="AI109" s="190"/>
      <c r="AJ109" s="190"/>
      <c r="AK109" s="190"/>
      <c r="AL109" s="833"/>
      <c r="AM109" s="833"/>
      <c r="AN109" s="833"/>
      <c r="AO109" s="833"/>
      <c r="AP109" s="833"/>
      <c r="AQ109" s="833"/>
      <c r="AR109" s="833"/>
      <c r="AS109" s="190"/>
      <c r="AT109" s="190"/>
      <c r="AU109" s="190"/>
      <c r="AV109" s="833"/>
      <c r="AW109" s="833"/>
      <c r="AX109" s="833"/>
      <c r="AY109" s="833"/>
      <c r="AZ109" s="833"/>
      <c r="BA109" s="833"/>
      <c r="BB109" s="833"/>
      <c r="BC109" s="823"/>
      <c r="BF109" s="669" t="s">
        <v>801</v>
      </c>
    </row>
    <row r="110" spans="1:58" ht="14.65" hidden="1" customHeight="1">
      <c r="E110" s="459">
        <v>15</v>
      </c>
      <c r="F110" s="3" cm="1">
        <f t="array" aca="1" ref="F110" ca="1">OFFSET(E110,-1,1)</f>
        <v>0</v>
      </c>
      <c r="H110" s="17" t="s">
        <v>591</v>
      </c>
      <c r="T110" s="351" t="b" cm="1">
        <f t="array" ref="T110">T109</f>
        <v>0</v>
      </c>
      <c r="X110" s="1024"/>
      <c r="Y110" s="1007"/>
      <c r="AB110" s="153" t="s">
        <v>592</v>
      </c>
      <c r="AC110" s="127" t="s">
        <v>802</v>
      </c>
      <c r="AD110" s="12" t="s">
        <v>585</v>
      </c>
      <c r="AE110" s="833"/>
      <c r="AF110" s="833"/>
      <c r="AG110" s="833"/>
      <c r="AH110" s="833"/>
      <c r="AI110" s="190"/>
      <c r="AJ110" s="190"/>
      <c r="AK110" s="190"/>
      <c r="AL110" s="833"/>
      <c r="AM110" s="833"/>
      <c r="AN110" s="833"/>
      <c r="AO110" s="833"/>
      <c r="AP110" s="833"/>
      <c r="AQ110" s="833"/>
      <c r="AR110" s="833"/>
      <c r="AS110" s="190"/>
      <c r="AT110" s="190"/>
      <c r="AU110" s="190"/>
      <c r="AV110" s="833"/>
      <c r="AW110" s="833"/>
      <c r="AX110" s="833"/>
      <c r="AY110" s="833"/>
      <c r="AZ110" s="833"/>
      <c r="BA110" s="833"/>
      <c r="BB110" s="833"/>
      <c r="BC110" s="823"/>
      <c r="BF110" s="669" t="s">
        <v>803</v>
      </c>
    </row>
    <row r="111" spans="1:58" ht="21.95" hidden="1" customHeight="1">
      <c r="E111" s="459">
        <v>22.5</v>
      </c>
      <c r="F111" s="3" cm="1">
        <f t="array" aca="1" ref="F111" ca="1">OFFSET(E111,-1,1)</f>
        <v>0</v>
      </c>
      <c r="H111" s="17" t="s">
        <v>595</v>
      </c>
      <c r="T111" s="351" t="b" cm="1">
        <f t="array" ref="T111">T110</f>
        <v>0</v>
      </c>
      <c r="X111" s="1024"/>
      <c r="Y111" s="1007"/>
      <c r="AB111" s="153" t="s">
        <v>596</v>
      </c>
      <c r="AC111" s="127" t="s">
        <v>704</v>
      </c>
      <c r="AD111" s="12" t="s">
        <v>585</v>
      </c>
      <c r="AE111" s="833"/>
      <c r="AF111" s="833"/>
      <c r="AG111" s="833"/>
      <c r="AH111" s="833"/>
      <c r="AI111" s="190"/>
      <c r="AJ111" s="190"/>
      <c r="AK111" s="190"/>
      <c r="AL111" s="833"/>
      <c r="AM111" s="833"/>
      <c r="AN111" s="833"/>
      <c r="AO111" s="833"/>
      <c r="AP111" s="833"/>
      <c r="AQ111" s="833"/>
      <c r="AR111" s="833"/>
      <c r="AS111" s="190"/>
      <c r="AT111" s="190"/>
      <c r="AU111" s="190"/>
      <c r="AV111" s="833"/>
      <c r="AW111" s="833"/>
      <c r="AX111" s="833"/>
      <c r="AY111" s="833"/>
      <c r="AZ111" s="833"/>
      <c r="BA111" s="833"/>
      <c r="BB111" s="833"/>
      <c r="BC111" s="823"/>
      <c r="BF111" s="669" t="s">
        <v>804</v>
      </c>
    </row>
    <row r="112" spans="1:58" ht="21.95" hidden="1" customHeight="1">
      <c r="E112" s="459">
        <v>22.5</v>
      </c>
      <c r="F112" s="3" cm="1">
        <f t="array" aca="1" ref="F112" ca="1">OFFSET(E112,-1,1)</f>
        <v>0</v>
      </c>
      <c r="G112" s="17" t="s">
        <v>654</v>
      </c>
      <c r="H112" s="17" t="s">
        <v>324</v>
      </c>
      <c r="T112" s="351" t="b" cm="1">
        <f t="array" ref="T112">T111</f>
        <v>0</v>
      </c>
      <c r="X112" s="1024"/>
      <c r="Y112" s="1007"/>
      <c r="AB112" s="153" t="s">
        <v>319</v>
      </c>
      <c r="AC112" s="245" t="s">
        <v>805</v>
      </c>
      <c r="AD112" s="12" t="s">
        <v>585</v>
      </c>
      <c r="AE112" s="250">
        <f t="shared" ref="AE112:BB112" si="25">AE113+AE114+AE117</f>
        <v>0</v>
      </c>
      <c r="AF112" s="250">
        <f t="shared" si="25"/>
        <v>0</v>
      </c>
      <c r="AG112" s="250">
        <f t="shared" si="25"/>
        <v>0</v>
      </c>
      <c r="AH112" s="250">
        <f t="shared" si="25"/>
        <v>0</v>
      </c>
      <c r="AI112" s="250">
        <f t="shared" si="25"/>
        <v>0</v>
      </c>
      <c r="AJ112" s="250">
        <f t="shared" si="25"/>
        <v>0</v>
      </c>
      <c r="AK112" s="250">
        <f t="shared" si="25"/>
        <v>0</v>
      </c>
      <c r="AL112" s="250">
        <f t="shared" si="25"/>
        <v>0</v>
      </c>
      <c r="AM112" s="250">
        <f t="shared" si="25"/>
        <v>0</v>
      </c>
      <c r="AN112" s="250">
        <f t="shared" si="25"/>
        <v>0</v>
      </c>
      <c r="AO112" s="250">
        <f t="shared" si="25"/>
        <v>0</v>
      </c>
      <c r="AP112" s="250">
        <f t="shared" si="25"/>
        <v>0</v>
      </c>
      <c r="AQ112" s="250">
        <f t="shared" si="25"/>
        <v>0</v>
      </c>
      <c r="AR112" s="250">
        <f t="shared" si="25"/>
        <v>0</v>
      </c>
      <c r="AS112" s="250">
        <f t="shared" si="25"/>
        <v>0</v>
      </c>
      <c r="AT112" s="250">
        <f t="shared" si="25"/>
        <v>0</v>
      </c>
      <c r="AU112" s="250">
        <f t="shared" si="25"/>
        <v>0</v>
      </c>
      <c r="AV112" s="250">
        <f t="shared" si="25"/>
        <v>0</v>
      </c>
      <c r="AW112" s="250">
        <f t="shared" si="25"/>
        <v>0</v>
      </c>
      <c r="AX112" s="250">
        <f t="shared" si="25"/>
        <v>0</v>
      </c>
      <c r="AY112" s="250">
        <f t="shared" si="25"/>
        <v>0</v>
      </c>
      <c r="AZ112" s="250">
        <f t="shared" si="25"/>
        <v>0</v>
      </c>
      <c r="BA112" s="250">
        <f t="shared" si="25"/>
        <v>0</v>
      </c>
      <c r="BB112" s="250">
        <f t="shared" si="25"/>
        <v>0</v>
      </c>
      <c r="BC112" s="823"/>
      <c r="BF112" s="669" t="s">
        <v>806</v>
      </c>
    </row>
    <row r="113" spans="5:58" ht="14.65" hidden="1" customHeight="1">
      <c r="E113" s="459">
        <v>15</v>
      </c>
      <c r="F113" s="3" cm="1">
        <f t="array" aca="1" ref="F113" ca="1">OFFSET(E113,-1,1)</f>
        <v>0</v>
      </c>
      <c r="H113" s="17" t="s">
        <v>601</v>
      </c>
      <c r="T113" s="351" t="b" cm="1">
        <f t="array" ref="T113">T112</f>
        <v>0</v>
      </c>
      <c r="X113" s="1024"/>
      <c r="Y113" s="1007"/>
      <c r="AB113" s="153" t="s">
        <v>602</v>
      </c>
      <c r="AC113" s="127" t="s">
        <v>807</v>
      </c>
      <c r="AD113" s="12" t="s">
        <v>585</v>
      </c>
      <c r="AE113" s="833"/>
      <c r="AF113" s="833"/>
      <c r="AG113" s="833"/>
      <c r="AH113" s="833"/>
      <c r="AI113" s="190"/>
      <c r="AJ113" s="190"/>
      <c r="AK113" s="190"/>
      <c r="AL113" s="833"/>
      <c r="AM113" s="833"/>
      <c r="AN113" s="833"/>
      <c r="AO113" s="833"/>
      <c r="AP113" s="833"/>
      <c r="AQ113" s="833"/>
      <c r="AR113" s="833"/>
      <c r="AS113" s="190"/>
      <c r="AT113" s="190"/>
      <c r="AU113" s="190"/>
      <c r="AV113" s="833"/>
      <c r="AW113" s="833"/>
      <c r="AX113" s="833"/>
      <c r="AY113" s="833"/>
      <c r="AZ113" s="833"/>
      <c r="BA113" s="833"/>
      <c r="BB113" s="833"/>
      <c r="BC113" s="823"/>
      <c r="BF113" s="669" t="s">
        <v>808</v>
      </c>
    </row>
    <row r="114" spans="5:58" ht="14.65" hidden="1" customHeight="1">
      <c r="E114" s="459">
        <v>15</v>
      </c>
      <c r="F114" s="3" cm="1">
        <f t="array" aca="1" ref="F114" ca="1">OFFSET(E114,-1,1)</f>
        <v>0</v>
      </c>
      <c r="H114" s="17" t="s">
        <v>605</v>
      </c>
      <c r="T114" s="351" t="b" cm="1">
        <f t="array" ref="T114">T113</f>
        <v>0</v>
      </c>
      <c r="X114" s="1024"/>
      <c r="Y114" s="1007"/>
      <c r="AB114" s="153" t="s">
        <v>606</v>
      </c>
      <c r="AC114" s="246" t="s">
        <v>809</v>
      </c>
      <c r="AD114" s="12" t="s">
        <v>585</v>
      </c>
      <c r="AE114" s="250">
        <f t="shared" ref="AE114:BB114" si="26">AE115+AE116</f>
        <v>0</v>
      </c>
      <c r="AF114" s="250">
        <f t="shared" si="26"/>
        <v>0</v>
      </c>
      <c r="AG114" s="250">
        <f t="shared" si="26"/>
        <v>0</v>
      </c>
      <c r="AH114" s="250">
        <f t="shared" si="26"/>
        <v>0</v>
      </c>
      <c r="AI114" s="250">
        <f t="shared" si="26"/>
        <v>0</v>
      </c>
      <c r="AJ114" s="250">
        <f t="shared" si="26"/>
        <v>0</v>
      </c>
      <c r="AK114" s="250">
        <f t="shared" si="26"/>
        <v>0</v>
      </c>
      <c r="AL114" s="250">
        <f t="shared" si="26"/>
        <v>0</v>
      </c>
      <c r="AM114" s="250">
        <f t="shared" si="26"/>
        <v>0</v>
      </c>
      <c r="AN114" s="250">
        <f t="shared" si="26"/>
        <v>0</v>
      </c>
      <c r="AO114" s="250">
        <f t="shared" si="26"/>
        <v>0</v>
      </c>
      <c r="AP114" s="250">
        <f t="shared" si="26"/>
        <v>0</v>
      </c>
      <c r="AQ114" s="250">
        <f t="shared" si="26"/>
        <v>0</v>
      </c>
      <c r="AR114" s="250">
        <f t="shared" si="26"/>
        <v>0</v>
      </c>
      <c r="AS114" s="250">
        <f t="shared" si="26"/>
        <v>0</v>
      </c>
      <c r="AT114" s="250">
        <f t="shared" si="26"/>
        <v>0</v>
      </c>
      <c r="AU114" s="250">
        <f t="shared" si="26"/>
        <v>0</v>
      </c>
      <c r="AV114" s="250">
        <f t="shared" si="26"/>
        <v>0</v>
      </c>
      <c r="AW114" s="250">
        <f t="shared" si="26"/>
        <v>0</v>
      </c>
      <c r="AX114" s="250">
        <f t="shared" si="26"/>
        <v>0</v>
      </c>
      <c r="AY114" s="250">
        <f t="shared" si="26"/>
        <v>0</v>
      </c>
      <c r="AZ114" s="250">
        <f t="shared" si="26"/>
        <v>0</v>
      </c>
      <c r="BA114" s="250">
        <f t="shared" si="26"/>
        <v>0</v>
      </c>
      <c r="BB114" s="250">
        <f t="shared" si="26"/>
        <v>0</v>
      </c>
      <c r="BC114" s="823"/>
      <c r="BF114" s="669" t="s">
        <v>810</v>
      </c>
    </row>
    <row r="115" spans="5:58" ht="14.65" hidden="1" customHeight="1">
      <c r="E115" s="459">
        <v>15</v>
      </c>
      <c r="F115" s="3" cm="1">
        <f t="array" aca="1" ref="F115" ca="1">OFFSET(E115,-1,1)</f>
        <v>0</v>
      </c>
      <c r="H115" s="17" t="s">
        <v>811</v>
      </c>
      <c r="T115" s="351" t="b" cm="1">
        <f t="array" ref="T115">T114</f>
        <v>0</v>
      </c>
      <c r="X115" s="1024"/>
      <c r="Y115" s="1007"/>
      <c r="AB115" s="153" t="s">
        <v>812</v>
      </c>
      <c r="AC115" s="247" t="s">
        <v>661</v>
      </c>
      <c r="AD115" s="12" t="s">
        <v>585</v>
      </c>
      <c r="AE115" s="833"/>
      <c r="AF115" s="833"/>
      <c r="AG115" s="833"/>
      <c r="AH115" s="833"/>
      <c r="AI115" s="190"/>
      <c r="AJ115" s="190"/>
      <c r="AK115" s="190"/>
      <c r="AL115" s="833"/>
      <c r="AM115" s="833"/>
      <c r="AN115" s="833"/>
      <c r="AO115" s="833"/>
      <c r="AP115" s="833"/>
      <c r="AQ115" s="833"/>
      <c r="AR115" s="833"/>
      <c r="AS115" s="190"/>
      <c r="AT115" s="190"/>
      <c r="AU115" s="190"/>
      <c r="AV115" s="833"/>
      <c r="AW115" s="833"/>
      <c r="AX115" s="833"/>
      <c r="AY115" s="833"/>
      <c r="AZ115" s="833"/>
      <c r="BA115" s="833"/>
      <c r="BB115" s="833"/>
      <c r="BC115" s="823"/>
      <c r="BF115" s="669" t="s">
        <v>813</v>
      </c>
    </row>
    <row r="116" spans="5:58" ht="14.65" hidden="1" customHeight="1">
      <c r="E116" s="459">
        <v>15</v>
      </c>
      <c r="F116" s="3" cm="1">
        <f t="array" aca="1" ref="F116" ca="1">OFFSET(E116,-1,1)</f>
        <v>0</v>
      </c>
      <c r="H116" s="17" t="s">
        <v>814</v>
      </c>
      <c r="T116" s="351" t="b" cm="1">
        <f t="array" ref="T116">T115</f>
        <v>0</v>
      </c>
      <c r="X116" s="1024"/>
      <c r="Y116" s="1007"/>
      <c r="AB116" s="153" t="s">
        <v>815</v>
      </c>
      <c r="AC116" s="247" t="s">
        <v>665</v>
      </c>
      <c r="AD116" s="12" t="s">
        <v>585</v>
      </c>
      <c r="AE116" s="833"/>
      <c r="AF116" s="833"/>
      <c r="AG116" s="833"/>
      <c r="AH116" s="833"/>
      <c r="AI116" s="190"/>
      <c r="AJ116" s="190"/>
      <c r="AK116" s="190"/>
      <c r="AL116" s="833"/>
      <c r="AM116" s="833"/>
      <c r="AN116" s="833"/>
      <c r="AO116" s="833"/>
      <c r="AP116" s="833"/>
      <c r="AQ116" s="833"/>
      <c r="AR116" s="833"/>
      <c r="AS116" s="190"/>
      <c r="AT116" s="190"/>
      <c r="AU116" s="190"/>
      <c r="AV116" s="833"/>
      <c r="AW116" s="833"/>
      <c r="AX116" s="833"/>
      <c r="AY116" s="833"/>
      <c r="AZ116" s="833"/>
      <c r="BA116" s="833"/>
      <c r="BB116" s="833"/>
      <c r="BC116" s="823"/>
      <c r="BF116" s="669" t="s">
        <v>816</v>
      </c>
    </row>
    <row r="117" spans="5:58" ht="21.95" hidden="1" customHeight="1">
      <c r="E117" s="459">
        <v>22.5</v>
      </c>
      <c r="F117" s="3" cm="1">
        <f t="array" aca="1" ref="F117" ca="1">OFFSET(E117,-1,1)</f>
        <v>0</v>
      </c>
      <c r="H117" s="17" t="s">
        <v>817</v>
      </c>
      <c r="T117" s="351" t="b" cm="1">
        <f t="array" ref="T117">T116</f>
        <v>0</v>
      </c>
      <c r="X117" s="1024"/>
      <c r="Y117" s="1007"/>
      <c r="AB117" s="153" t="s">
        <v>818</v>
      </c>
      <c r="AC117" s="241" t="s">
        <v>626</v>
      </c>
      <c r="AD117" s="12" t="s">
        <v>585</v>
      </c>
      <c r="AE117" s="822"/>
      <c r="AF117" s="822"/>
      <c r="AG117" s="822"/>
      <c r="AH117" s="822"/>
      <c r="AI117" s="187"/>
      <c r="AJ117" s="187"/>
      <c r="AK117" s="187"/>
      <c r="AL117" s="822"/>
      <c r="AM117" s="822"/>
      <c r="AN117" s="822"/>
      <c r="AO117" s="822"/>
      <c r="AP117" s="822"/>
      <c r="AQ117" s="822"/>
      <c r="AR117" s="822"/>
      <c r="AS117" s="187"/>
      <c r="AT117" s="187"/>
      <c r="AU117" s="187"/>
      <c r="AV117" s="822"/>
      <c r="AW117" s="822"/>
      <c r="AX117" s="822"/>
      <c r="AY117" s="822"/>
      <c r="AZ117" s="822"/>
      <c r="BA117" s="822"/>
      <c r="BB117" s="822"/>
      <c r="BC117" s="823"/>
      <c r="BF117" s="669" t="s">
        <v>819</v>
      </c>
    </row>
    <row r="118" spans="5:58" ht="27.95" customHeight="1">
      <c r="E118" s="459">
        <v>15</v>
      </c>
      <c r="F118" s="252" t="str" cm="1">
        <f t="array" ref="F118">X118</f>
        <v>1</v>
      </c>
      <c r="T118" s="351" t="b">
        <f>X118&gt;0</f>
        <v>1</v>
      </c>
      <c r="V118" s="17" t="str" cm="1">
        <f t="array" ref="V118">ИИКА!$AB$32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118" s="1024" t="s">
        <v>277</v>
      </c>
      <c r="Y118" s="1007"/>
      <c r="AB118" s="94" t="str" cm="1">
        <f t="array" ref="AB118">ИИКА!$AB$32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row>
    <row r="119" spans="5:58" ht="24.6" customHeight="1">
      <c r="E119" s="459">
        <v>15</v>
      </c>
      <c r="F119" s="3" t="str" cm="1">
        <f t="array" aca="1" ref="F119" ca="1">OFFSET(E119,-1,1)</f>
        <v>1</v>
      </c>
      <c r="R119" s="314" t="b" cm="1">
        <f t="array" ref="R119">INDEX('Общие сведения'!$AN$179:$AN$208,MATCH($X118,'Общие сведения'!$Z$179:$Z$208,0))</f>
        <v>0</v>
      </c>
      <c r="S119" s="314" t="b">
        <f>IF(ISERROR(SEARCH("Водоснабжение",AB118)),FALSE,TRUE)</f>
        <v>1</v>
      </c>
      <c r="T119" s="351" t="b">
        <f>AND(X118&gt;0,S119,NOT(R119))</f>
        <v>1</v>
      </c>
      <c r="X119" s="1024"/>
      <c r="Y119" s="1007"/>
      <c r="AB119" s="153" t="s">
        <v>277</v>
      </c>
      <c r="AC119" s="234" t="s">
        <v>582</v>
      </c>
      <c r="AD119" s="11"/>
      <c r="AE119" s="413" t="str" cm="1">
        <f t="array" ref="AE119">INDEX('Общие сведения'!$AH$179:$AH$208,MATCH($X118,'Общие сведения'!$Z$179:$Z$208,0))</f>
        <v>питьевая вода</v>
      </c>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c r="BB119" s="264"/>
      <c r="BC119" s="113"/>
      <c r="BF119" s="669" t="s">
        <v>583</v>
      </c>
    </row>
    <row r="120" spans="5:58" ht="26.65" customHeight="1">
      <c r="E120" s="459">
        <v>15</v>
      </c>
      <c r="F120" s="3" t="str" cm="1">
        <f t="array" aca="1" ref="F120" ca="1">OFFSET(E120,-1,1)</f>
        <v>1</v>
      </c>
      <c r="H120" s="17" t="s">
        <v>325</v>
      </c>
      <c r="T120" s="351" t="b" cm="1">
        <f t="array" ref="T120">T119</f>
        <v>1</v>
      </c>
      <c r="X120" s="1024"/>
      <c r="Y120" s="1007"/>
      <c r="AB120" s="153" t="s">
        <v>435</v>
      </c>
      <c r="AC120" s="55" t="s">
        <v>584</v>
      </c>
      <c r="AD120" s="12" t="s">
        <v>585</v>
      </c>
      <c r="AE120" s="222">
        <f t="shared" ref="AE120:BB120" si="27">AE129+AE124-AE127</f>
        <v>261.710194</v>
      </c>
      <c r="AF120" s="222">
        <f t="shared" si="27"/>
        <v>1537.7940000000001</v>
      </c>
      <c r="AG120" s="222">
        <f t="shared" si="27"/>
        <v>1537.7940000000001</v>
      </c>
      <c r="AH120" s="222">
        <f t="shared" si="27"/>
        <v>6752.9270910969999</v>
      </c>
      <c r="AI120" s="222">
        <f t="shared" si="27"/>
        <v>6715.2669999999998</v>
      </c>
      <c r="AJ120" s="222">
        <f t="shared" si="27"/>
        <v>6715.2669999999998</v>
      </c>
      <c r="AK120" s="222">
        <f t="shared" si="27"/>
        <v>6715.2669999999998</v>
      </c>
      <c r="AL120" s="222">
        <f t="shared" si="27"/>
        <v>0</v>
      </c>
      <c r="AM120" s="222">
        <f t="shared" si="27"/>
        <v>0</v>
      </c>
      <c r="AN120" s="222">
        <f t="shared" si="27"/>
        <v>0</v>
      </c>
      <c r="AO120" s="222">
        <f t="shared" si="27"/>
        <v>0</v>
      </c>
      <c r="AP120" s="222">
        <f t="shared" si="27"/>
        <v>0</v>
      </c>
      <c r="AQ120" s="222">
        <f t="shared" si="27"/>
        <v>0</v>
      </c>
      <c r="AR120" s="222">
        <f t="shared" si="27"/>
        <v>0</v>
      </c>
      <c r="AS120" s="222">
        <f t="shared" si="27"/>
        <v>6715.26667</v>
      </c>
      <c r="AT120" s="222">
        <f t="shared" si="27"/>
        <v>6715.26667</v>
      </c>
      <c r="AU120" s="222">
        <f t="shared" si="27"/>
        <v>6715.26667</v>
      </c>
      <c r="AV120" s="222">
        <f t="shared" si="27"/>
        <v>0</v>
      </c>
      <c r="AW120" s="222">
        <f t="shared" si="27"/>
        <v>0</v>
      </c>
      <c r="AX120" s="222">
        <f t="shared" si="27"/>
        <v>0</v>
      </c>
      <c r="AY120" s="222">
        <f t="shared" si="27"/>
        <v>0</v>
      </c>
      <c r="AZ120" s="222">
        <f t="shared" si="27"/>
        <v>0</v>
      </c>
      <c r="BA120" s="222">
        <f t="shared" si="27"/>
        <v>0</v>
      </c>
      <c r="BB120" s="222">
        <f t="shared" si="27"/>
        <v>0</v>
      </c>
      <c r="BC120" s="113"/>
      <c r="BF120" s="669" t="s">
        <v>586</v>
      </c>
    </row>
    <row r="121" spans="5:58" ht="14.25" customHeight="1">
      <c r="E121" s="459">
        <v>15</v>
      </c>
      <c r="F121" s="3" t="str" cm="1">
        <f t="array" aca="1" ref="F121" ca="1">OFFSET(E121,-1,1)</f>
        <v>1</v>
      </c>
      <c r="H121" s="17" t="s">
        <v>587</v>
      </c>
      <c r="T121" s="351" t="b" cm="1">
        <f t="array" ref="T121">T120</f>
        <v>1</v>
      </c>
      <c r="X121" s="1024"/>
      <c r="Y121" s="1007"/>
      <c r="AB121" s="153" t="s">
        <v>588</v>
      </c>
      <c r="AC121" s="105" t="s">
        <v>589</v>
      </c>
      <c r="AD121" s="12" t="s">
        <v>585</v>
      </c>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5"/>
      <c r="BF121" s="669" t="s">
        <v>590</v>
      </c>
    </row>
    <row r="122" spans="5:58" ht="14.65" customHeight="1">
      <c r="E122" s="459">
        <v>15</v>
      </c>
      <c r="F122" s="3" t="str" cm="1">
        <f t="array" aca="1" ref="F122" ca="1">OFFSET(E122,-1,1)</f>
        <v>1</v>
      </c>
      <c r="H122" s="17" t="s">
        <v>591</v>
      </c>
      <c r="T122" s="351" t="b" cm="1">
        <f t="array" ref="T122">T121</f>
        <v>1</v>
      </c>
      <c r="X122" s="1024"/>
      <c r="Y122" s="1007"/>
      <c r="AB122" s="153" t="s">
        <v>592</v>
      </c>
      <c r="AC122" s="105" t="s">
        <v>593</v>
      </c>
      <c r="AD122" s="12" t="s">
        <v>585</v>
      </c>
      <c r="AE122" s="190"/>
      <c r="AF122" s="190"/>
      <c r="AG122" s="190"/>
      <c r="AH122" s="190">
        <v>6752.9270910969999</v>
      </c>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5"/>
      <c r="BF122" s="669" t="s">
        <v>594</v>
      </c>
    </row>
    <row r="123" spans="5:58" ht="27.4" customHeight="1">
      <c r="E123" s="459">
        <v>22.5</v>
      </c>
      <c r="F123" s="3" t="str" cm="1">
        <f t="array" aca="1" ref="F123" ca="1">OFFSET(E123,-1,1)</f>
        <v>1</v>
      </c>
      <c r="H123" s="17" t="s">
        <v>595</v>
      </c>
      <c r="T123" s="351" t="b" cm="1">
        <f t="array" ref="T123">T122</f>
        <v>1</v>
      </c>
      <c r="X123" s="1024"/>
      <c r="Y123" s="1007"/>
      <c r="AB123" s="153" t="s">
        <v>596</v>
      </c>
      <c r="AC123" s="55" t="s">
        <v>597</v>
      </c>
      <c r="AD123" s="12" t="s">
        <v>585</v>
      </c>
      <c r="AE123" s="190"/>
      <c r="AF123" s="190"/>
      <c r="AG123" s="190"/>
      <c r="AH123" s="190"/>
      <c r="AI123" s="190"/>
      <c r="AJ123" s="190"/>
      <c r="AK123" s="190"/>
      <c r="AL123" s="190"/>
      <c r="AM123" s="190"/>
      <c r="AN123" s="190"/>
      <c r="AO123" s="190"/>
      <c r="AP123" s="190"/>
      <c r="AQ123" s="190"/>
      <c r="AR123" s="190"/>
      <c r="AS123" s="190"/>
      <c r="AT123" s="190"/>
      <c r="AU123" s="190"/>
      <c r="AV123" s="190"/>
      <c r="AW123" s="190"/>
      <c r="AX123" s="190"/>
      <c r="AY123" s="190"/>
      <c r="AZ123" s="190"/>
      <c r="BA123" s="190"/>
      <c r="BB123" s="190"/>
      <c r="BC123" s="195"/>
      <c r="BF123" s="669" t="s">
        <v>598</v>
      </c>
    </row>
    <row r="124" spans="5:58" ht="33.6" customHeight="1">
      <c r="E124" s="459">
        <v>15</v>
      </c>
      <c r="F124" s="3" t="str" cm="1">
        <f t="array" aca="1" ref="F124" ca="1">OFFSET(E124,-1,1)</f>
        <v>1</v>
      </c>
      <c r="H124" s="17" t="s">
        <v>324</v>
      </c>
      <c r="T124" s="351" t="b" cm="1">
        <f t="array" ref="T124">T123</f>
        <v>1</v>
      </c>
      <c r="X124" s="1024"/>
      <c r="Y124" s="1007"/>
      <c r="AB124" s="153" t="s">
        <v>319</v>
      </c>
      <c r="AC124" s="55" t="s">
        <v>599</v>
      </c>
      <c r="AD124" s="12" t="s">
        <v>585</v>
      </c>
      <c r="AE124" s="222">
        <f t="shared" ref="AE124:BB124" si="28">SUM(AE125:AE126)</f>
        <v>14.191803999999999</v>
      </c>
      <c r="AF124" s="222">
        <f t="shared" si="28"/>
        <v>0</v>
      </c>
      <c r="AG124" s="222">
        <f t="shared" si="28"/>
        <v>0</v>
      </c>
      <c r="AH124" s="222">
        <f t="shared" si="28"/>
        <v>370</v>
      </c>
      <c r="AI124" s="222">
        <f t="shared" si="28"/>
        <v>0</v>
      </c>
      <c r="AJ124" s="222">
        <f t="shared" si="28"/>
        <v>0</v>
      </c>
      <c r="AK124" s="222">
        <f t="shared" si="28"/>
        <v>0</v>
      </c>
      <c r="AL124" s="222">
        <f t="shared" si="28"/>
        <v>0</v>
      </c>
      <c r="AM124" s="222">
        <f t="shared" si="28"/>
        <v>0</v>
      </c>
      <c r="AN124" s="222">
        <f t="shared" si="28"/>
        <v>0</v>
      </c>
      <c r="AO124" s="222">
        <f t="shared" si="28"/>
        <v>0</v>
      </c>
      <c r="AP124" s="222">
        <f t="shared" si="28"/>
        <v>0</v>
      </c>
      <c r="AQ124" s="222">
        <f t="shared" si="28"/>
        <v>0</v>
      </c>
      <c r="AR124" s="222">
        <f t="shared" si="28"/>
        <v>0</v>
      </c>
      <c r="AS124" s="222">
        <f t="shared" si="28"/>
        <v>106.89695</v>
      </c>
      <c r="AT124" s="222">
        <f t="shared" si="28"/>
        <v>106.89695</v>
      </c>
      <c r="AU124" s="222">
        <f t="shared" si="28"/>
        <v>106.89695</v>
      </c>
      <c r="AV124" s="222">
        <f t="shared" si="28"/>
        <v>0</v>
      </c>
      <c r="AW124" s="222">
        <f t="shared" si="28"/>
        <v>0</v>
      </c>
      <c r="AX124" s="222">
        <f t="shared" si="28"/>
        <v>0</v>
      </c>
      <c r="AY124" s="222">
        <f t="shared" si="28"/>
        <v>0</v>
      </c>
      <c r="AZ124" s="222">
        <f t="shared" si="28"/>
        <v>0</v>
      </c>
      <c r="BA124" s="222">
        <f t="shared" si="28"/>
        <v>0</v>
      </c>
      <c r="BB124" s="222">
        <f t="shared" si="28"/>
        <v>0</v>
      </c>
      <c r="BC124" s="195" t="s">
        <v>820</v>
      </c>
      <c r="BF124" s="669" t="s">
        <v>600</v>
      </c>
    </row>
    <row r="125" spans="5:58" ht="25.35" customHeight="1">
      <c r="E125" s="459">
        <v>15</v>
      </c>
      <c r="F125" s="3" t="str" cm="1">
        <f t="array" aca="1" ref="F125" ca="1">OFFSET(E125,-1,1)</f>
        <v>1</v>
      </c>
      <c r="H125" s="17" t="s">
        <v>601</v>
      </c>
      <c r="T125" s="351" t="b" cm="1">
        <f t="array" ref="T125">T124</f>
        <v>1</v>
      </c>
      <c r="X125" s="1024"/>
      <c r="Y125" s="1007"/>
      <c r="AB125" s="153" t="s">
        <v>602</v>
      </c>
      <c r="AC125" s="105" t="s">
        <v>603</v>
      </c>
      <c r="AD125" s="12" t="s">
        <v>585</v>
      </c>
      <c r="AE125" s="190">
        <f>5.90946+4.775554+0.73849</f>
        <v>11.423503999999999</v>
      </c>
      <c r="AF125" s="190"/>
      <c r="AG125" s="190"/>
      <c r="AH125" s="190">
        <v>297.82643000000002</v>
      </c>
      <c r="AI125" s="190"/>
      <c r="AJ125" s="190"/>
      <c r="AK125" s="190"/>
      <c r="AL125" s="190"/>
      <c r="AM125" s="190"/>
      <c r="AN125" s="190"/>
      <c r="AO125" s="190"/>
      <c r="AP125" s="190"/>
      <c r="AQ125" s="190"/>
      <c r="AR125" s="190"/>
      <c r="AS125" s="190">
        <v>106.89695</v>
      </c>
      <c r="AT125" s="190">
        <v>106.89695</v>
      </c>
      <c r="AU125" s="190">
        <v>106.89695</v>
      </c>
      <c r="AV125" s="190"/>
      <c r="AW125" s="190"/>
      <c r="AX125" s="190"/>
      <c r="AY125" s="190"/>
      <c r="AZ125" s="190"/>
      <c r="BA125" s="190"/>
      <c r="BB125" s="190"/>
      <c r="BC125" s="195"/>
      <c r="BF125" s="669" t="s">
        <v>604</v>
      </c>
    </row>
    <row r="126" spans="5:58" ht="24.6" customHeight="1">
      <c r="E126" s="459">
        <v>15</v>
      </c>
      <c r="F126" s="3" t="str" cm="1">
        <f t="array" aca="1" ref="F126" ca="1">OFFSET(E126,-1,1)</f>
        <v>1</v>
      </c>
      <c r="H126" s="17" t="s">
        <v>605</v>
      </c>
      <c r="T126" s="351" t="b" cm="1">
        <f t="array" ref="T126">T125</f>
        <v>1</v>
      </c>
      <c r="X126" s="1024"/>
      <c r="Y126" s="1007"/>
      <c r="AB126" s="153" t="s">
        <v>606</v>
      </c>
      <c r="AC126" s="105" t="s">
        <v>607</v>
      </c>
      <c r="AD126" s="12" t="s">
        <v>585</v>
      </c>
      <c r="AE126" s="190">
        <f>2.7683</f>
        <v>2.7683</v>
      </c>
      <c r="AF126" s="190"/>
      <c r="AG126" s="190"/>
      <c r="AH126" s="190">
        <v>72.173569999999998</v>
      </c>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5"/>
      <c r="BF126" s="669" t="s">
        <v>608</v>
      </c>
    </row>
    <row r="127" spans="5:58" ht="25.35" customHeight="1">
      <c r="E127" s="459">
        <v>15</v>
      </c>
      <c r="F127" s="3" t="str" cm="1">
        <f t="array" aca="1" ref="F127" ca="1">OFFSET(E127,-1,1)</f>
        <v>1</v>
      </c>
      <c r="H127" s="17" t="s">
        <v>557</v>
      </c>
      <c r="T127" s="351" t="b" cm="1">
        <f t="array" ref="T127">T126</f>
        <v>1</v>
      </c>
      <c r="X127" s="1024"/>
      <c r="Y127" s="1007"/>
      <c r="AB127" s="153" t="s">
        <v>438</v>
      </c>
      <c r="AC127" s="234" t="s">
        <v>609</v>
      </c>
      <c r="AD127" s="12" t="s">
        <v>585</v>
      </c>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95"/>
      <c r="BF127" s="669" t="s">
        <v>610</v>
      </c>
    </row>
    <row r="128" spans="5:58" ht="29.45" customHeight="1">
      <c r="E128" s="459">
        <v>15</v>
      </c>
      <c r="F128" s="3" t="str" cm="1">
        <f t="array" aca="1" ref="F128" ca="1">OFFSET(E128,-1,1)</f>
        <v>1</v>
      </c>
      <c r="H128" s="17" t="s">
        <v>560</v>
      </c>
      <c r="T128" s="351" t="b" cm="1">
        <f t="array" ref="T128">T127</f>
        <v>1</v>
      </c>
      <c r="X128" s="1024"/>
      <c r="Y128" s="1007"/>
      <c r="AB128" s="153" t="s">
        <v>440</v>
      </c>
      <c r="AC128" s="234" t="s">
        <v>611</v>
      </c>
      <c r="AD128" s="12" t="s">
        <v>585</v>
      </c>
      <c r="AE128" s="190"/>
      <c r="AF128" s="190"/>
      <c r="AG128" s="190"/>
      <c r="AH128" s="190"/>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5"/>
      <c r="BF128" s="669" t="s">
        <v>612</v>
      </c>
    </row>
    <row r="129" spans="5:58" ht="28.7" customHeight="1">
      <c r="E129" s="459">
        <v>15</v>
      </c>
      <c r="F129" s="3" t="str" cm="1">
        <f t="array" aca="1" ref="F129" ca="1">OFFSET(E129,-1,1)</f>
        <v>1</v>
      </c>
      <c r="H129" s="17" t="s">
        <v>613</v>
      </c>
      <c r="T129" s="351" t="b" cm="1">
        <f t="array" ref="T129">T128</f>
        <v>1</v>
      </c>
      <c r="X129" s="1024"/>
      <c r="Y129" s="1007"/>
      <c r="AB129" s="153" t="s">
        <v>442</v>
      </c>
      <c r="AC129" s="55" t="s">
        <v>614</v>
      </c>
      <c r="AD129" s="12" t="s">
        <v>585</v>
      </c>
      <c r="AE129" s="222">
        <f t="shared" ref="AE129:BB129" si="29">AE135+AE133</f>
        <v>247.51839000000001</v>
      </c>
      <c r="AF129" s="222">
        <f t="shared" si="29"/>
        <v>1537.7940000000001</v>
      </c>
      <c r="AG129" s="222">
        <f t="shared" si="29"/>
        <v>1537.7940000000001</v>
      </c>
      <c r="AH129" s="222">
        <f t="shared" si="29"/>
        <v>6382.9270910969999</v>
      </c>
      <c r="AI129" s="222">
        <f t="shared" si="29"/>
        <v>6715.2669999999998</v>
      </c>
      <c r="AJ129" s="222">
        <f t="shared" si="29"/>
        <v>6715.2669999999998</v>
      </c>
      <c r="AK129" s="222">
        <f t="shared" si="29"/>
        <v>6715.2669999999998</v>
      </c>
      <c r="AL129" s="222">
        <f t="shared" si="29"/>
        <v>0</v>
      </c>
      <c r="AM129" s="222">
        <f t="shared" si="29"/>
        <v>0</v>
      </c>
      <c r="AN129" s="222">
        <f t="shared" si="29"/>
        <v>0</v>
      </c>
      <c r="AO129" s="222">
        <f t="shared" si="29"/>
        <v>0</v>
      </c>
      <c r="AP129" s="222">
        <f t="shared" si="29"/>
        <v>0</v>
      </c>
      <c r="AQ129" s="222">
        <f t="shared" si="29"/>
        <v>0</v>
      </c>
      <c r="AR129" s="222">
        <f t="shared" si="29"/>
        <v>0</v>
      </c>
      <c r="AS129" s="222">
        <f t="shared" si="29"/>
        <v>6608.3697199999997</v>
      </c>
      <c r="AT129" s="222">
        <f t="shared" si="29"/>
        <v>6608.3697199999997</v>
      </c>
      <c r="AU129" s="222">
        <f t="shared" si="29"/>
        <v>6608.3697199999997</v>
      </c>
      <c r="AV129" s="222">
        <f t="shared" si="29"/>
        <v>0</v>
      </c>
      <c r="AW129" s="222">
        <f t="shared" si="29"/>
        <v>0</v>
      </c>
      <c r="AX129" s="222">
        <f t="shared" si="29"/>
        <v>0</v>
      </c>
      <c r="AY129" s="222">
        <f t="shared" si="29"/>
        <v>0</v>
      </c>
      <c r="AZ129" s="222">
        <f t="shared" si="29"/>
        <v>0</v>
      </c>
      <c r="BA129" s="222">
        <f t="shared" si="29"/>
        <v>0</v>
      </c>
      <c r="BB129" s="222">
        <f t="shared" si="29"/>
        <v>0</v>
      </c>
      <c r="BC129" s="195"/>
      <c r="BF129" s="669" t="s">
        <v>615</v>
      </c>
    </row>
    <row r="130" spans="5:58" ht="31.5" customHeight="1">
      <c r="E130" s="459">
        <v>22.5</v>
      </c>
      <c r="F130" s="3" t="str" cm="1">
        <f t="array" aca="1" ref="F130" ca="1">OFFSET(E130,-1,1)</f>
        <v>1</v>
      </c>
      <c r="H130" s="17" t="s">
        <v>616</v>
      </c>
      <c r="T130" s="351" t="b" cm="1">
        <f t="array" ref="T130">T129</f>
        <v>1</v>
      </c>
      <c r="X130" s="1024"/>
      <c r="Y130" s="1007"/>
      <c r="AB130" s="153" t="s">
        <v>617</v>
      </c>
      <c r="AC130" s="105" t="s">
        <v>618</v>
      </c>
      <c r="AD130" s="12" t="s">
        <v>585</v>
      </c>
      <c r="AE130" s="190" cm="1">
        <f t="array" ref="AE130">AE129</f>
        <v>247.51839000000001</v>
      </c>
      <c r="AF130" s="190" cm="1">
        <f t="array" ref="AF130">AF129</f>
        <v>1537.7940000000001</v>
      </c>
      <c r="AG130" s="190" cm="1">
        <f t="array" ref="AG130">AG129</f>
        <v>1537.7940000000001</v>
      </c>
      <c r="AH130" s="190">
        <v>6382.9270910969999</v>
      </c>
      <c r="AI130" s="190" cm="1">
        <f t="array" ref="AI130">AI129</f>
        <v>6715.2669999999998</v>
      </c>
      <c r="AJ130" s="190" cm="1">
        <f t="array" ref="AJ130">AJ129</f>
        <v>6715.2669999999998</v>
      </c>
      <c r="AK130" s="190" cm="1">
        <f t="array" ref="AK130">AK129</f>
        <v>6715.2669999999998</v>
      </c>
      <c r="AL130" s="190"/>
      <c r="AM130" s="190"/>
      <c r="AN130" s="190"/>
      <c r="AO130" s="190"/>
      <c r="AP130" s="190"/>
      <c r="AQ130" s="190"/>
      <c r="AR130" s="190"/>
      <c r="AS130" s="190" cm="1">
        <f t="array" ref="AS130">AS129</f>
        <v>6608.3697199999997</v>
      </c>
      <c r="AT130" s="190" cm="1">
        <f t="array" ref="AT130">AT129</f>
        <v>6608.3697199999997</v>
      </c>
      <c r="AU130" s="190" cm="1">
        <f t="array" ref="AU130">AU129</f>
        <v>6608.3697199999997</v>
      </c>
      <c r="AV130" s="190"/>
      <c r="AW130" s="190"/>
      <c r="AX130" s="190"/>
      <c r="AY130" s="190"/>
      <c r="AZ130" s="190"/>
      <c r="BA130" s="190"/>
      <c r="BB130" s="190"/>
      <c r="BC130" s="195"/>
      <c r="BF130" s="669" t="s">
        <v>619</v>
      </c>
    </row>
    <row r="131" spans="5:58" ht="14.25" customHeight="1">
      <c r="E131" s="459">
        <v>15</v>
      </c>
      <c r="F131" s="3" t="str" cm="1">
        <f t="array" aca="1" ref="F131" ca="1">OFFSET(E131,-1,1)</f>
        <v>1</v>
      </c>
      <c r="H131" s="17" t="s">
        <v>620</v>
      </c>
      <c r="T131" s="351" t="b" cm="1">
        <f t="array" ref="T131">T130</f>
        <v>1</v>
      </c>
      <c r="X131" s="1024"/>
      <c r="Y131" s="1007"/>
      <c r="AB131" s="153" t="s">
        <v>621</v>
      </c>
      <c r="AC131" s="105" t="s">
        <v>622</v>
      </c>
      <c r="AD131" s="12" t="s">
        <v>585</v>
      </c>
      <c r="AE131" s="190"/>
      <c r="AF131" s="190"/>
      <c r="AG131" s="190"/>
      <c r="AH131" s="190"/>
      <c r="AI131" s="190"/>
      <c r="AJ131" s="190"/>
      <c r="AK131" s="190"/>
      <c r="AL131" s="190"/>
      <c r="AM131" s="190"/>
      <c r="AN131" s="190"/>
      <c r="AO131" s="190"/>
      <c r="AP131" s="190"/>
      <c r="AQ131" s="190"/>
      <c r="AR131" s="190"/>
      <c r="AS131" s="190"/>
      <c r="AT131" s="190"/>
      <c r="AU131" s="190"/>
      <c r="AV131" s="190"/>
      <c r="AW131" s="190"/>
      <c r="AX131" s="190"/>
      <c r="AY131" s="190"/>
      <c r="AZ131" s="190"/>
      <c r="BA131" s="190"/>
      <c r="BB131" s="190"/>
      <c r="BC131" s="195"/>
      <c r="BF131" s="669" t="s">
        <v>623</v>
      </c>
    </row>
    <row r="132" spans="5:58" ht="21.75" customHeight="1">
      <c r="E132" s="459">
        <v>22.5</v>
      </c>
      <c r="F132" s="3" t="str" cm="1">
        <f t="array" aca="1" ref="F132" ca="1">OFFSET(E132,-1,1)</f>
        <v>1</v>
      </c>
      <c r="H132" s="17" t="s">
        <v>624</v>
      </c>
      <c r="T132" s="351" t="b" cm="1">
        <f t="array" ref="T132">T131</f>
        <v>1</v>
      </c>
      <c r="X132" s="1024"/>
      <c r="Y132" s="1007"/>
      <c r="AB132" s="153" t="s">
        <v>625</v>
      </c>
      <c r="AC132" s="105" t="s">
        <v>626</v>
      </c>
      <c r="AD132" s="12" t="s">
        <v>585</v>
      </c>
      <c r="AE132" s="190"/>
      <c r="AF132" s="190"/>
      <c r="AG132" s="190"/>
      <c r="AH132" s="190"/>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5"/>
      <c r="BF132" s="669" t="s">
        <v>627</v>
      </c>
    </row>
    <row r="133" spans="5:58" ht="34.15" customHeight="1">
      <c r="E133" s="459">
        <v>15</v>
      </c>
      <c r="F133" s="3" t="str" cm="1">
        <f t="array" aca="1" ref="F133" ca="1">OFFSET(E133,-1,1)</f>
        <v>1</v>
      </c>
      <c r="H133" s="17" t="s">
        <v>628</v>
      </c>
      <c r="T133" s="351" t="b" cm="1">
        <f t="array" ref="T133">T132</f>
        <v>1</v>
      </c>
      <c r="X133" s="1024"/>
      <c r="Y133" s="1007"/>
      <c r="AB133" s="153" t="s">
        <v>444</v>
      </c>
      <c r="AC133" s="234" t="s">
        <v>629</v>
      </c>
      <c r="AD133" s="12" t="s">
        <v>585</v>
      </c>
      <c r="AE133" s="190">
        <v>51.805599999999998</v>
      </c>
      <c r="AF133" s="190">
        <v>336.93200000000002</v>
      </c>
      <c r="AG133" s="190" cm="1">
        <f t="array" ref="AG133">AF133</f>
        <v>336.93200000000002</v>
      </c>
      <c r="AH133" s="190">
        <v>1335.9466373606001</v>
      </c>
      <c r="AI133" s="190">
        <v>1720</v>
      </c>
      <c r="AJ133" s="190">
        <v>1720</v>
      </c>
      <c r="AK133" s="190">
        <v>1720</v>
      </c>
      <c r="AL133" s="190"/>
      <c r="AM133" s="190"/>
      <c r="AN133" s="190"/>
      <c r="AO133" s="190"/>
      <c r="AP133" s="190"/>
      <c r="AQ133" s="190"/>
      <c r="AR133" s="190"/>
      <c r="AS133" s="190">
        <v>1613.1030499999999</v>
      </c>
      <c r="AT133" s="190">
        <v>1613.1030499999999</v>
      </c>
      <c r="AU133" s="190">
        <v>1613.1030499999999</v>
      </c>
      <c r="AV133" s="190"/>
      <c r="AW133" s="190"/>
      <c r="AX133" s="190"/>
      <c r="AY133" s="190"/>
      <c r="AZ133" s="190"/>
      <c r="BA133" s="190"/>
      <c r="BB133" s="190"/>
      <c r="BC133" s="195" t="s">
        <v>821</v>
      </c>
      <c r="BF133" s="669" t="s">
        <v>630</v>
      </c>
    </row>
    <row r="134" spans="5:58" ht="57.95" customHeight="1">
      <c r="E134" s="459">
        <v>15</v>
      </c>
      <c r="F134" s="3" t="str" cm="1">
        <f t="array" aca="1" ref="F134" ca="1">OFFSET(E134,-1,1)</f>
        <v>1</v>
      </c>
      <c r="H134" s="17" t="s">
        <v>631</v>
      </c>
      <c r="T134" s="351" t="b" cm="1">
        <f t="array" ref="T134">T133</f>
        <v>1</v>
      </c>
      <c r="X134" s="1024"/>
      <c r="Y134" s="1007"/>
      <c r="AB134" s="153" t="s">
        <v>632</v>
      </c>
      <c r="AC134" s="235" t="s">
        <v>633</v>
      </c>
      <c r="AD134" s="12" t="s">
        <v>501</v>
      </c>
      <c r="AE134" s="57">
        <f>IF(AE129=0,0,AE133/AE129*100)</f>
        <v>20.930000393102102</v>
      </c>
      <c r="AF134" s="57">
        <f>IF(AF129=0,0,AF133/AF129*100)</f>
        <v>21.910086786656731</v>
      </c>
      <c r="AG134" s="57">
        <f>IF(AG129=0,0,AG133/AG129*100)</f>
        <v>21.910086786656731</v>
      </c>
      <c r="AH134" s="57">
        <v>20.929999956</v>
      </c>
      <c r="AI134" s="57">
        <f t="shared" ref="AI134:BB134" si="30">IF(AI129=0,0,AI133/AI129*100)</f>
        <v>25.61327792327543</v>
      </c>
      <c r="AJ134" s="57">
        <f t="shared" si="30"/>
        <v>25.61327792327543</v>
      </c>
      <c r="AK134" s="57">
        <f t="shared" si="30"/>
        <v>25.61327792327543</v>
      </c>
      <c r="AL134" s="57">
        <f t="shared" si="30"/>
        <v>0</v>
      </c>
      <c r="AM134" s="57">
        <f t="shared" si="30"/>
        <v>0</v>
      </c>
      <c r="AN134" s="57">
        <f t="shared" si="30"/>
        <v>0</v>
      </c>
      <c r="AO134" s="57">
        <f t="shared" si="30"/>
        <v>0</v>
      </c>
      <c r="AP134" s="57">
        <f t="shared" si="30"/>
        <v>0</v>
      </c>
      <c r="AQ134" s="57">
        <f t="shared" si="30"/>
        <v>0</v>
      </c>
      <c r="AR134" s="57">
        <f t="shared" si="30"/>
        <v>0</v>
      </c>
      <c r="AS134" s="57">
        <f t="shared" si="30"/>
        <v>24.410000020398375</v>
      </c>
      <c r="AT134" s="57">
        <f t="shared" si="30"/>
        <v>24.410000020398375</v>
      </c>
      <c r="AU134" s="57">
        <f t="shared" si="30"/>
        <v>24.410000020398375</v>
      </c>
      <c r="AV134" s="57">
        <f t="shared" si="30"/>
        <v>0</v>
      </c>
      <c r="AW134" s="57">
        <f t="shared" si="30"/>
        <v>0</v>
      </c>
      <c r="AX134" s="57">
        <f t="shared" si="30"/>
        <v>0</v>
      </c>
      <c r="AY134" s="57">
        <f t="shared" si="30"/>
        <v>0</v>
      </c>
      <c r="AZ134" s="57">
        <f t="shared" si="30"/>
        <v>0</v>
      </c>
      <c r="BA134" s="57">
        <f t="shared" si="30"/>
        <v>0</v>
      </c>
      <c r="BB134" s="57">
        <f t="shared" si="30"/>
        <v>0</v>
      </c>
      <c r="BC134" s="195" t="s">
        <v>822</v>
      </c>
      <c r="BF134" s="669" t="s">
        <v>634</v>
      </c>
    </row>
    <row r="135" spans="5:58" ht="28.7" customHeight="1">
      <c r="E135" s="459">
        <v>15</v>
      </c>
      <c r="F135" s="3" t="str" cm="1">
        <f t="array" aca="1" ref="F135" ca="1">OFFSET(E135,-1,1)</f>
        <v>1</v>
      </c>
      <c r="H135" s="17" t="s">
        <v>635</v>
      </c>
      <c r="T135" s="351" t="b" cm="1">
        <f t="array" ref="T135">T134</f>
        <v>1</v>
      </c>
      <c r="X135" s="1024"/>
      <c r="Y135" s="1007"/>
      <c r="AB135" s="153" t="s">
        <v>446</v>
      </c>
      <c r="AC135" s="234" t="s">
        <v>636</v>
      </c>
      <c r="AD135" s="12" t="s">
        <v>585</v>
      </c>
      <c r="AE135" s="222">
        <f t="shared" ref="AE135:BB135" si="31">AE136+AE140+AE143+AE153</f>
        <v>195.71279000000001</v>
      </c>
      <c r="AF135" s="222">
        <f t="shared" si="31"/>
        <v>1200.8620000000001</v>
      </c>
      <c r="AG135" s="222">
        <f t="shared" si="31"/>
        <v>1200.8620000000001</v>
      </c>
      <c r="AH135" s="222">
        <f t="shared" si="31"/>
        <v>5046.9804537363998</v>
      </c>
      <c r="AI135" s="222">
        <f t="shared" si="31"/>
        <v>4995.2669999999998</v>
      </c>
      <c r="AJ135" s="222">
        <f t="shared" si="31"/>
        <v>4995.2669999999998</v>
      </c>
      <c r="AK135" s="222">
        <f t="shared" si="31"/>
        <v>4995.2669999999998</v>
      </c>
      <c r="AL135" s="222">
        <f t="shared" si="31"/>
        <v>0</v>
      </c>
      <c r="AM135" s="222">
        <f t="shared" si="31"/>
        <v>0</v>
      </c>
      <c r="AN135" s="222">
        <f t="shared" si="31"/>
        <v>0</v>
      </c>
      <c r="AO135" s="222">
        <f t="shared" si="31"/>
        <v>0</v>
      </c>
      <c r="AP135" s="222">
        <f t="shared" si="31"/>
        <v>0</v>
      </c>
      <c r="AQ135" s="222">
        <f t="shared" si="31"/>
        <v>0</v>
      </c>
      <c r="AR135" s="222">
        <f t="shared" si="31"/>
        <v>0</v>
      </c>
      <c r="AS135" s="222">
        <f t="shared" si="31"/>
        <v>4995.26667</v>
      </c>
      <c r="AT135" s="222">
        <f t="shared" si="31"/>
        <v>4995.26667</v>
      </c>
      <c r="AU135" s="222">
        <f t="shared" si="31"/>
        <v>4995.26667</v>
      </c>
      <c r="AV135" s="222">
        <f t="shared" si="31"/>
        <v>0</v>
      </c>
      <c r="AW135" s="222">
        <f t="shared" si="31"/>
        <v>0</v>
      </c>
      <c r="AX135" s="222">
        <f t="shared" si="31"/>
        <v>0</v>
      </c>
      <c r="AY135" s="222">
        <f t="shared" si="31"/>
        <v>0</v>
      </c>
      <c r="AZ135" s="222">
        <f t="shared" si="31"/>
        <v>0</v>
      </c>
      <c r="BA135" s="222">
        <f t="shared" si="31"/>
        <v>0</v>
      </c>
      <c r="BB135" s="222">
        <f t="shared" si="31"/>
        <v>0</v>
      </c>
      <c r="BC135" s="195"/>
      <c r="BF135" s="669" t="s">
        <v>637</v>
      </c>
    </row>
    <row r="136" spans="5:58" ht="19.149999999999999" customHeight="1">
      <c r="E136" s="459">
        <v>15</v>
      </c>
      <c r="F136" s="3" t="str" cm="1">
        <f t="array" aca="1" ref="F136" ca="1">OFFSET(E136,-1,1)</f>
        <v>1</v>
      </c>
      <c r="G136" s="17" t="str">
        <f>IF(OwnNeedsInPO="да","ПО","")</f>
        <v/>
      </c>
      <c r="H136" s="17" t="s">
        <v>638</v>
      </c>
      <c r="T136" s="351" t="b" cm="1">
        <f t="array" ref="T136">T135</f>
        <v>1</v>
      </c>
      <c r="X136" s="1024"/>
      <c r="Y136" s="1007"/>
      <c r="AB136" s="153" t="s">
        <v>639</v>
      </c>
      <c r="AC136" s="105" t="s">
        <v>640</v>
      </c>
      <c r="AD136" s="12" t="s">
        <v>585</v>
      </c>
      <c r="AE136" s="222">
        <f t="shared" ref="AE136:BB136" si="32">SUM(AE137:AE139)</f>
        <v>0</v>
      </c>
      <c r="AF136" s="222">
        <f t="shared" si="32"/>
        <v>0</v>
      </c>
      <c r="AG136" s="222">
        <f t="shared" si="32"/>
        <v>0</v>
      </c>
      <c r="AH136" s="222">
        <f t="shared" si="32"/>
        <v>0</v>
      </c>
      <c r="AI136" s="222">
        <f t="shared" si="32"/>
        <v>0</v>
      </c>
      <c r="AJ136" s="222">
        <f t="shared" si="32"/>
        <v>0</v>
      </c>
      <c r="AK136" s="222">
        <f t="shared" si="32"/>
        <v>0</v>
      </c>
      <c r="AL136" s="222">
        <f t="shared" si="32"/>
        <v>0</v>
      </c>
      <c r="AM136" s="222">
        <f t="shared" si="32"/>
        <v>0</v>
      </c>
      <c r="AN136" s="222">
        <f t="shared" si="32"/>
        <v>0</v>
      </c>
      <c r="AO136" s="222">
        <f t="shared" si="32"/>
        <v>0</v>
      </c>
      <c r="AP136" s="222">
        <f t="shared" si="32"/>
        <v>0</v>
      </c>
      <c r="AQ136" s="222">
        <f t="shared" si="32"/>
        <v>0</v>
      </c>
      <c r="AR136" s="222">
        <f t="shared" si="32"/>
        <v>0</v>
      </c>
      <c r="AS136" s="222">
        <f t="shared" si="32"/>
        <v>0</v>
      </c>
      <c r="AT136" s="222">
        <f t="shared" si="32"/>
        <v>0</v>
      </c>
      <c r="AU136" s="222">
        <f t="shared" si="32"/>
        <v>0</v>
      </c>
      <c r="AV136" s="222">
        <f t="shared" si="32"/>
        <v>0</v>
      </c>
      <c r="AW136" s="222">
        <f t="shared" si="32"/>
        <v>0</v>
      </c>
      <c r="AX136" s="222">
        <f t="shared" si="32"/>
        <v>0</v>
      </c>
      <c r="AY136" s="222">
        <f t="shared" si="32"/>
        <v>0</v>
      </c>
      <c r="AZ136" s="222">
        <f t="shared" si="32"/>
        <v>0</v>
      </c>
      <c r="BA136" s="222">
        <f t="shared" si="32"/>
        <v>0</v>
      </c>
      <c r="BB136" s="222">
        <f t="shared" si="32"/>
        <v>0</v>
      </c>
      <c r="BC136" s="195"/>
      <c r="BF136" s="669" t="s">
        <v>641</v>
      </c>
    </row>
    <row r="137" spans="5:58" ht="14.25" customHeight="1">
      <c r="E137" s="459">
        <v>15</v>
      </c>
      <c r="F137" s="3" t="str" cm="1">
        <f t="array" aca="1" ref="F137" ca="1">OFFSET(E137,-1,1)</f>
        <v>1</v>
      </c>
      <c r="H137" s="17" t="s">
        <v>642</v>
      </c>
      <c r="T137" s="351" t="b" cm="1">
        <f t="array" ref="T137">T136</f>
        <v>1</v>
      </c>
      <c r="X137" s="1024"/>
      <c r="Y137" s="1007"/>
      <c r="AB137" s="153" t="s">
        <v>643</v>
      </c>
      <c r="AC137" s="236" t="s">
        <v>644</v>
      </c>
      <c r="AD137" s="12" t="s">
        <v>585</v>
      </c>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5"/>
      <c r="BF137" s="669" t="s">
        <v>645</v>
      </c>
    </row>
    <row r="138" spans="5:58" ht="14.25" customHeight="1">
      <c r="E138" s="459">
        <v>15</v>
      </c>
      <c r="F138" s="3" t="str" cm="1">
        <f t="array" aca="1" ref="F138" ca="1">OFFSET(E138,-1,1)</f>
        <v>1</v>
      </c>
      <c r="H138" s="17" t="s">
        <v>646</v>
      </c>
      <c r="T138" s="351" t="b" cm="1">
        <f t="array" ref="T138">T137</f>
        <v>1</v>
      </c>
      <c r="X138" s="1024"/>
      <c r="Y138" s="1007"/>
      <c r="AB138" s="153" t="s">
        <v>647</v>
      </c>
      <c r="AC138" s="236" t="s">
        <v>648</v>
      </c>
      <c r="AD138" s="12" t="s">
        <v>585</v>
      </c>
      <c r="AE138" s="190"/>
      <c r="AF138" s="190"/>
      <c r="AG138" s="190"/>
      <c r="AH138" s="190"/>
      <c r="AI138" s="190"/>
      <c r="AJ138" s="190"/>
      <c r="AK138" s="190"/>
      <c r="AL138" s="190"/>
      <c r="AM138" s="190"/>
      <c r="AN138" s="190"/>
      <c r="AO138" s="190"/>
      <c r="AP138" s="190"/>
      <c r="AQ138" s="190"/>
      <c r="AR138" s="190"/>
      <c r="AS138" s="190"/>
      <c r="AT138" s="190"/>
      <c r="AU138" s="190"/>
      <c r="AV138" s="190"/>
      <c r="AW138" s="190"/>
      <c r="AX138" s="190"/>
      <c r="AY138" s="190"/>
      <c r="AZ138" s="190"/>
      <c r="BA138" s="190"/>
      <c r="BB138" s="190"/>
      <c r="BC138" s="195"/>
      <c r="BF138" s="669" t="s">
        <v>649</v>
      </c>
    </row>
    <row r="139" spans="5:58" ht="14.25" customHeight="1">
      <c r="E139" s="459">
        <v>15</v>
      </c>
      <c r="F139" s="3" t="str" cm="1">
        <f t="array" aca="1" ref="F139" ca="1">OFFSET(E139,-1,1)</f>
        <v>1</v>
      </c>
      <c r="H139" s="17" t="s">
        <v>650</v>
      </c>
      <c r="T139" s="351" t="b" cm="1">
        <f t="array" ref="T139">T138</f>
        <v>1</v>
      </c>
      <c r="X139" s="1024"/>
      <c r="Y139" s="1007"/>
      <c r="AB139" s="153" t="s">
        <v>651</v>
      </c>
      <c r="AC139" s="236" t="s">
        <v>652</v>
      </c>
      <c r="AD139" s="12" t="s">
        <v>585</v>
      </c>
      <c r="AE139" s="190"/>
      <c r="AF139" s="190"/>
      <c r="AG139" s="190"/>
      <c r="AH139" s="190"/>
      <c r="AI139" s="190"/>
      <c r="AJ139" s="190"/>
      <c r="AK139" s="190"/>
      <c r="AL139" s="190"/>
      <c r="AM139" s="190"/>
      <c r="AN139" s="190"/>
      <c r="AO139" s="190"/>
      <c r="AP139" s="190"/>
      <c r="AQ139" s="190"/>
      <c r="AR139" s="190"/>
      <c r="AS139" s="190"/>
      <c r="AT139" s="190"/>
      <c r="AU139" s="190"/>
      <c r="AV139" s="190"/>
      <c r="AW139" s="190"/>
      <c r="AX139" s="190"/>
      <c r="AY139" s="190"/>
      <c r="AZ139" s="190"/>
      <c r="BA139" s="190"/>
      <c r="BB139" s="190"/>
      <c r="BC139" s="195"/>
      <c r="BF139" s="669" t="s">
        <v>653</v>
      </c>
    </row>
    <row r="140" spans="5:58" ht="14.25" customHeight="1">
      <c r="E140" s="459">
        <v>15</v>
      </c>
      <c r="F140" s="3" t="str" cm="1">
        <f t="array" aca="1" ref="F140" ca="1">OFFSET(E140,-1,1)</f>
        <v>1</v>
      </c>
      <c r="G140" s="17" t="s">
        <v>654</v>
      </c>
      <c r="H140" s="17" t="s">
        <v>655</v>
      </c>
      <c r="T140" s="351" t="b" cm="1">
        <f t="array" ref="T140">T139</f>
        <v>1</v>
      </c>
      <c r="X140" s="1024"/>
      <c r="Y140" s="1007"/>
      <c r="AB140" s="153" t="s">
        <v>656</v>
      </c>
      <c r="AC140" s="105" t="s">
        <v>657</v>
      </c>
      <c r="AD140" s="12" t="s">
        <v>585</v>
      </c>
      <c r="AE140" s="222">
        <f t="shared" ref="AE140:BB140" si="33">SUM(AE141:AE142)</f>
        <v>0</v>
      </c>
      <c r="AF140" s="222">
        <f t="shared" si="33"/>
        <v>0</v>
      </c>
      <c r="AG140" s="222">
        <f t="shared" si="33"/>
        <v>0</v>
      </c>
      <c r="AH140" s="222">
        <f t="shared" si="33"/>
        <v>0</v>
      </c>
      <c r="AI140" s="222">
        <f t="shared" si="33"/>
        <v>0</v>
      </c>
      <c r="AJ140" s="222">
        <f t="shared" si="33"/>
        <v>0</v>
      </c>
      <c r="AK140" s="222">
        <f t="shared" si="33"/>
        <v>0</v>
      </c>
      <c r="AL140" s="222">
        <f t="shared" si="33"/>
        <v>0</v>
      </c>
      <c r="AM140" s="222">
        <f t="shared" si="33"/>
        <v>0</v>
      </c>
      <c r="AN140" s="222">
        <f t="shared" si="33"/>
        <v>0</v>
      </c>
      <c r="AO140" s="222">
        <f t="shared" si="33"/>
        <v>0</v>
      </c>
      <c r="AP140" s="222">
        <f t="shared" si="33"/>
        <v>0</v>
      </c>
      <c r="AQ140" s="222">
        <f t="shared" si="33"/>
        <v>0</v>
      </c>
      <c r="AR140" s="222">
        <f t="shared" si="33"/>
        <v>0</v>
      </c>
      <c r="AS140" s="222">
        <f t="shared" si="33"/>
        <v>0</v>
      </c>
      <c r="AT140" s="222">
        <f t="shared" si="33"/>
        <v>0</v>
      </c>
      <c r="AU140" s="222">
        <f t="shared" si="33"/>
        <v>0</v>
      </c>
      <c r="AV140" s="222">
        <f t="shared" si="33"/>
        <v>0</v>
      </c>
      <c r="AW140" s="222">
        <f t="shared" si="33"/>
        <v>0</v>
      </c>
      <c r="AX140" s="222">
        <f t="shared" si="33"/>
        <v>0</v>
      </c>
      <c r="AY140" s="222">
        <f t="shared" si="33"/>
        <v>0</v>
      </c>
      <c r="AZ140" s="222">
        <f t="shared" si="33"/>
        <v>0</v>
      </c>
      <c r="BA140" s="222">
        <f t="shared" si="33"/>
        <v>0</v>
      </c>
      <c r="BB140" s="222">
        <f t="shared" si="33"/>
        <v>0</v>
      </c>
      <c r="BC140" s="195"/>
      <c r="BF140" s="669" t="s">
        <v>658</v>
      </c>
    </row>
    <row r="141" spans="5:58" ht="14.25" customHeight="1">
      <c r="E141" s="459">
        <v>15</v>
      </c>
      <c r="F141" s="3" t="str" cm="1">
        <f t="array" aca="1" ref="F141" ca="1">OFFSET(E141,-1,1)</f>
        <v>1</v>
      </c>
      <c r="H141" s="17" t="s">
        <v>659</v>
      </c>
      <c r="T141" s="351" t="b" cm="1">
        <f t="array" ref="T141">T140</f>
        <v>1</v>
      </c>
      <c r="X141" s="1024"/>
      <c r="Y141" s="1007"/>
      <c r="AB141" s="153" t="s">
        <v>660</v>
      </c>
      <c r="AC141" s="236" t="s">
        <v>661</v>
      </c>
      <c r="AD141" s="12" t="s">
        <v>585</v>
      </c>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5"/>
      <c r="BF141" s="669" t="s">
        <v>662</v>
      </c>
    </row>
    <row r="142" spans="5:58" ht="14.25" customHeight="1">
      <c r="E142" s="459">
        <v>15</v>
      </c>
      <c r="F142" s="3" t="str" cm="1">
        <f t="array" aca="1" ref="F142" ca="1">OFFSET(E142,-1,1)</f>
        <v>1</v>
      </c>
      <c r="H142" s="17" t="s">
        <v>663</v>
      </c>
      <c r="T142" s="351" t="b" cm="1">
        <f t="array" ref="T142">T141</f>
        <v>1</v>
      </c>
      <c r="X142" s="1024"/>
      <c r="Y142" s="1007"/>
      <c r="AB142" s="153" t="s">
        <v>664</v>
      </c>
      <c r="AC142" s="236" t="s">
        <v>665</v>
      </c>
      <c r="AD142" s="12" t="s">
        <v>585</v>
      </c>
      <c r="AE142" s="190"/>
      <c r="AF142" s="190"/>
      <c r="AG142" s="190"/>
      <c r="AH142" s="190"/>
      <c r="AI142" s="190"/>
      <c r="AJ142" s="190"/>
      <c r="AK142" s="190"/>
      <c r="AL142" s="190"/>
      <c r="AM142" s="190"/>
      <c r="AN142" s="190"/>
      <c r="AO142" s="190"/>
      <c r="AP142" s="190"/>
      <c r="AQ142" s="190"/>
      <c r="AR142" s="190"/>
      <c r="AS142" s="190"/>
      <c r="AT142" s="190"/>
      <c r="AU142" s="190"/>
      <c r="AV142" s="190"/>
      <c r="AW142" s="190"/>
      <c r="AX142" s="190"/>
      <c r="AY142" s="190"/>
      <c r="AZ142" s="190"/>
      <c r="BA142" s="190"/>
      <c r="BB142" s="190"/>
      <c r="BC142" s="195"/>
      <c r="BF142" s="669" t="s">
        <v>666</v>
      </c>
    </row>
    <row r="143" spans="5:58" ht="27.4" customHeight="1">
      <c r="E143" s="459">
        <v>15</v>
      </c>
      <c r="F143" s="3" t="str" cm="1">
        <f t="array" aca="1" ref="F143" ca="1">OFFSET(E143,-1,1)</f>
        <v>1</v>
      </c>
      <c r="G143" s="17" t="s">
        <v>654</v>
      </c>
      <c r="H143" s="17" t="s">
        <v>667</v>
      </c>
      <c r="T143" s="351" t="b" cm="1">
        <f t="array" ref="T143">T142</f>
        <v>1</v>
      </c>
      <c r="X143" s="1024"/>
      <c r="Y143" s="1007"/>
      <c r="AB143" s="153" t="s">
        <v>668</v>
      </c>
      <c r="AC143" s="105" t="s">
        <v>669</v>
      </c>
      <c r="AD143" s="12" t="s">
        <v>585</v>
      </c>
      <c r="AE143" s="222">
        <f t="shared" ref="AE143:BB143" si="34">AE144+AE147+AE150</f>
        <v>195.71279000000001</v>
      </c>
      <c r="AF143" s="222">
        <f t="shared" si="34"/>
        <v>1200.8620000000001</v>
      </c>
      <c r="AG143" s="222">
        <f t="shared" si="34"/>
        <v>1200.8620000000001</v>
      </c>
      <c r="AH143" s="222">
        <f t="shared" si="34"/>
        <v>5046.9804537363998</v>
      </c>
      <c r="AI143" s="222">
        <f t="shared" si="34"/>
        <v>4995.2669999999998</v>
      </c>
      <c r="AJ143" s="222">
        <f t="shared" si="34"/>
        <v>4995.2669999999998</v>
      </c>
      <c r="AK143" s="222">
        <f t="shared" si="34"/>
        <v>4995.2669999999998</v>
      </c>
      <c r="AL143" s="222">
        <f t="shared" si="34"/>
        <v>0</v>
      </c>
      <c r="AM143" s="222">
        <f t="shared" si="34"/>
        <v>0</v>
      </c>
      <c r="AN143" s="222">
        <f t="shared" si="34"/>
        <v>0</v>
      </c>
      <c r="AO143" s="222">
        <f t="shared" si="34"/>
        <v>0</v>
      </c>
      <c r="AP143" s="222">
        <f t="shared" si="34"/>
        <v>0</v>
      </c>
      <c r="AQ143" s="222">
        <f t="shared" si="34"/>
        <v>0</v>
      </c>
      <c r="AR143" s="222">
        <f t="shared" si="34"/>
        <v>0</v>
      </c>
      <c r="AS143" s="222">
        <f t="shared" si="34"/>
        <v>4995.26667</v>
      </c>
      <c r="AT143" s="222">
        <f t="shared" si="34"/>
        <v>4995.26667</v>
      </c>
      <c r="AU143" s="222">
        <f t="shared" si="34"/>
        <v>4995.26667</v>
      </c>
      <c r="AV143" s="222">
        <f t="shared" si="34"/>
        <v>0</v>
      </c>
      <c r="AW143" s="222">
        <f t="shared" si="34"/>
        <v>0</v>
      </c>
      <c r="AX143" s="222">
        <f t="shared" si="34"/>
        <v>0</v>
      </c>
      <c r="AY143" s="222">
        <f t="shared" si="34"/>
        <v>0</v>
      </c>
      <c r="AZ143" s="222">
        <f t="shared" si="34"/>
        <v>0</v>
      </c>
      <c r="BA143" s="222">
        <f t="shared" si="34"/>
        <v>0</v>
      </c>
      <c r="BB143" s="222">
        <f t="shared" si="34"/>
        <v>0</v>
      </c>
      <c r="BC143" s="195" t="s">
        <v>823</v>
      </c>
      <c r="BF143" s="669" t="s">
        <v>670</v>
      </c>
    </row>
    <row r="144" spans="5:58" ht="27.95" customHeight="1">
      <c r="E144" s="459">
        <v>15</v>
      </c>
      <c r="F144" s="3" t="str" cm="1">
        <f t="array" aca="1" ref="F144" ca="1">OFFSET(E144,-1,1)</f>
        <v>1</v>
      </c>
      <c r="H144" s="17" t="s">
        <v>671</v>
      </c>
      <c r="T144" s="351" t="b" cm="1">
        <f t="array" ref="T144">T143</f>
        <v>1</v>
      </c>
      <c r="X144" s="1024"/>
      <c r="Y144" s="1007"/>
      <c r="AB144" s="153" t="s">
        <v>672</v>
      </c>
      <c r="AC144" s="236" t="s">
        <v>673</v>
      </c>
      <c r="AD144" s="12" t="s">
        <v>585</v>
      </c>
      <c r="AE144" s="222">
        <f t="shared" ref="AE144:BB144" si="35">SUM(AE145:AE146)</f>
        <v>12.68787</v>
      </c>
      <c r="AF144" s="222">
        <f t="shared" si="35"/>
        <v>35.527999999999999</v>
      </c>
      <c r="AG144" s="222">
        <f t="shared" si="35"/>
        <v>35.527999999999999</v>
      </c>
      <c r="AH144" s="222">
        <f t="shared" si="35"/>
        <v>293.0056102364</v>
      </c>
      <c r="AI144" s="222">
        <f t="shared" si="35"/>
        <v>211.458</v>
      </c>
      <c r="AJ144" s="222">
        <f t="shared" si="35"/>
        <v>211.458</v>
      </c>
      <c r="AK144" s="222">
        <f t="shared" si="35"/>
        <v>211.458</v>
      </c>
      <c r="AL144" s="222">
        <f t="shared" si="35"/>
        <v>0</v>
      </c>
      <c r="AM144" s="222">
        <f t="shared" si="35"/>
        <v>0</v>
      </c>
      <c r="AN144" s="222">
        <f t="shared" si="35"/>
        <v>0</v>
      </c>
      <c r="AO144" s="222">
        <f t="shared" si="35"/>
        <v>0</v>
      </c>
      <c r="AP144" s="222">
        <f t="shared" si="35"/>
        <v>0</v>
      </c>
      <c r="AQ144" s="222">
        <f t="shared" si="35"/>
        <v>0</v>
      </c>
      <c r="AR144" s="222">
        <f t="shared" si="35"/>
        <v>0</v>
      </c>
      <c r="AS144" s="222">
        <f t="shared" si="35"/>
        <v>211.45867000000001</v>
      </c>
      <c r="AT144" s="222">
        <f t="shared" si="35"/>
        <v>211.45867000000001</v>
      </c>
      <c r="AU144" s="222">
        <f t="shared" si="35"/>
        <v>211.45867000000001</v>
      </c>
      <c r="AV144" s="222">
        <f t="shared" si="35"/>
        <v>0</v>
      </c>
      <c r="AW144" s="222">
        <f t="shared" si="35"/>
        <v>0</v>
      </c>
      <c r="AX144" s="222">
        <f t="shared" si="35"/>
        <v>0</v>
      </c>
      <c r="AY144" s="222">
        <f t="shared" si="35"/>
        <v>0</v>
      </c>
      <c r="AZ144" s="222">
        <f t="shared" si="35"/>
        <v>0</v>
      </c>
      <c r="BA144" s="222">
        <f t="shared" si="35"/>
        <v>0</v>
      </c>
      <c r="BB144" s="222">
        <f t="shared" si="35"/>
        <v>0</v>
      </c>
      <c r="BC144" s="195"/>
      <c r="BF144" s="669" t="s">
        <v>674</v>
      </c>
    </row>
    <row r="145" spans="1:58" ht="44.25" customHeight="1">
      <c r="E145" s="459">
        <v>15</v>
      </c>
      <c r="F145" s="3" t="str" cm="1">
        <f t="array" aca="1" ref="F145" ca="1">OFFSET(E145,-1,1)</f>
        <v>1</v>
      </c>
      <c r="H145" s="17" t="s">
        <v>675</v>
      </c>
      <c r="T145" s="351" t="b" cm="1">
        <f t="array" ref="T145">T144</f>
        <v>1</v>
      </c>
      <c r="X145" s="1024"/>
      <c r="Y145" s="1007"/>
      <c r="AB145" s="153" t="s">
        <v>676</v>
      </c>
      <c r="AC145" s="237" t="s">
        <v>661</v>
      </c>
      <c r="AD145" s="12" t="s">
        <v>585</v>
      </c>
      <c r="AE145" s="190">
        <v>12.68787</v>
      </c>
      <c r="AF145" s="190">
        <v>35.527999999999999</v>
      </c>
      <c r="AG145" s="190" cm="1">
        <f t="array" ref="AG145">AF145</f>
        <v>35.527999999999999</v>
      </c>
      <c r="AH145" s="190">
        <v>293.0056102364</v>
      </c>
      <c r="AI145" s="190">
        <v>211.458</v>
      </c>
      <c r="AJ145" s="190">
        <v>211.458</v>
      </c>
      <c r="AK145" s="190">
        <v>211.458</v>
      </c>
      <c r="AL145" s="190"/>
      <c r="AM145" s="190"/>
      <c r="AN145" s="190"/>
      <c r="AO145" s="190"/>
      <c r="AP145" s="190"/>
      <c r="AQ145" s="190"/>
      <c r="AR145" s="190"/>
      <c r="AS145" s="190">
        <v>211.45867000000001</v>
      </c>
      <c r="AT145" s="190">
        <v>211.45867000000001</v>
      </c>
      <c r="AU145" s="190">
        <v>211.45867000000001</v>
      </c>
      <c r="AV145" s="190"/>
      <c r="AW145" s="190"/>
      <c r="AX145" s="190"/>
      <c r="AY145" s="190"/>
      <c r="AZ145" s="190"/>
      <c r="BA145" s="190"/>
      <c r="BB145" s="190"/>
      <c r="BC145" s="195" t="s">
        <v>824</v>
      </c>
      <c r="BF145" s="669" t="s">
        <v>677</v>
      </c>
    </row>
    <row r="146" spans="1:58" ht="14.25" customHeight="1">
      <c r="E146" s="459">
        <v>15</v>
      </c>
      <c r="F146" s="3" t="str" cm="1">
        <f t="array" aca="1" ref="F146" ca="1">OFFSET(E146,-1,1)</f>
        <v>1</v>
      </c>
      <c r="H146" s="17" t="s">
        <v>678</v>
      </c>
      <c r="T146" s="351" t="b" cm="1">
        <f t="array" ref="T146">T145</f>
        <v>1</v>
      </c>
      <c r="X146" s="1024"/>
      <c r="Y146" s="1007"/>
      <c r="AB146" s="153" t="s">
        <v>679</v>
      </c>
      <c r="AC146" s="237" t="s">
        <v>665</v>
      </c>
      <c r="AD146" s="12" t="s">
        <v>585</v>
      </c>
      <c r="AE146" s="190"/>
      <c r="AF146" s="190"/>
      <c r="AG146" s="190"/>
      <c r="AH146" s="190"/>
      <c r="AI146" s="190"/>
      <c r="AJ146" s="190"/>
      <c r="AK146" s="190"/>
      <c r="AL146" s="190"/>
      <c r="AM146" s="190"/>
      <c r="AN146" s="190"/>
      <c r="AO146" s="190"/>
      <c r="AP146" s="190"/>
      <c r="AQ146" s="190"/>
      <c r="AR146" s="190"/>
      <c r="AS146" s="190"/>
      <c r="AT146" s="190"/>
      <c r="AU146" s="190"/>
      <c r="AV146" s="190"/>
      <c r="AW146" s="190"/>
      <c r="AX146" s="190"/>
      <c r="AY146" s="190"/>
      <c r="AZ146" s="190"/>
      <c r="BA146" s="190"/>
      <c r="BB146" s="190"/>
      <c r="BC146" s="195"/>
      <c r="BF146" s="669" t="s">
        <v>680</v>
      </c>
    </row>
    <row r="147" spans="1:58" ht="24" customHeight="1">
      <c r="E147" s="459">
        <v>15</v>
      </c>
      <c r="F147" s="3" t="str" cm="1">
        <f t="array" aca="1" ref="F147" ca="1">OFFSET(E147,-1,1)</f>
        <v>1</v>
      </c>
      <c r="G147" s="17" t="s">
        <v>681</v>
      </c>
      <c r="H147" s="17" t="s">
        <v>682</v>
      </c>
      <c r="T147" s="351" t="b" cm="1">
        <f t="array" ref="T147">T146</f>
        <v>1</v>
      </c>
      <c r="X147" s="1024"/>
      <c r="Y147" s="1007"/>
      <c r="AB147" s="153" t="s">
        <v>683</v>
      </c>
      <c r="AC147" s="236" t="s">
        <v>684</v>
      </c>
      <c r="AD147" s="12" t="s">
        <v>585</v>
      </c>
      <c r="AE147" s="222">
        <f t="shared" ref="AE147:BB147" si="36">SUM(AE148:AE149)</f>
        <v>130.51237</v>
      </c>
      <c r="AF147" s="222">
        <f t="shared" si="36"/>
        <v>976.44399999999996</v>
      </c>
      <c r="AG147" s="222">
        <f t="shared" si="36"/>
        <v>976.44399999999996</v>
      </c>
      <c r="AH147" s="222">
        <f t="shared" si="36"/>
        <v>3721.1742399999998</v>
      </c>
      <c r="AI147" s="222">
        <f t="shared" si="36"/>
        <v>3499.105</v>
      </c>
      <c r="AJ147" s="222">
        <f t="shared" si="36"/>
        <v>3499.105</v>
      </c>
      <c r="AK147" s="222">
        <f t="shared" si="36"/>
        <v>3499.105</v>
      </c>
      <c r="AL147" s="222">
        <f t="shared" si="36"/>
        <v>0</v>
      </c>
      <c r="AM147" s="222">
        <f t="shared" si="36"/>
        <v>0</v>
      </c>
      <c r="AN147" s="222">
        <f t="shared" si="36"/>
        <v>0</v>
      </c>
      <c r="AO147" s="222">
        <f t="shared" si="36"/>
        <v>0</v>
      </c>
      <c r="AP147" s="222">
        <f t="shared" si="36"/>
        <v>0</v>
      </c>
      <c r="AQ147" s="222">
        <f t="shared" si="36"/>
        <v>0</v>
      </c>
      <c r="AR147" s="222">
        <f t="shared" si="36"/>
        <v>0</v>
      </c>
      <c r="AS147" s="222">
        <f t="shared" si="36"/>
        <v>3499.1053299999999</v>
      </c>
      <c r="AT147" s="222">
        <f t="shared" si="36"/>
        <v>3499.1053299999999</v>
      </c>
      <c r="AU147" s="222">
        <f t="shared" si="36"/>
        <v>3499.1053299999999</v>
      </c>
      <c r="AV147" s="222">
        <f t="shared" si="36"/>
        <v>0</v>
      </c>
      <c r="AW147" s="222">
        <f t="shared" si="36"/>
        <v>0</v>
      </c>
      <c r="AX147" s="222">
        <f t="shared" si="36"/>
        <v>0</v>
      </c>
      <c r="AY147" s="222">
        <f t="shared" si="36"/>
        <v>0</v>
      </c>
      <c r="AZ147" s="222">
        <f t="shared" si="36"/>
        <v>0</v>
      </c>
      <c r="BA147" s="222">
        <f t="shared" si="36"/>
        <v>0</v>
      </c>
      <c r="BB147" s="222">
        <f t="shared" si="36"/>
        <v>0</v>
      </c>
      <c r="BC147" s="195"/>
      <c r="BF147" s="669" t="s">
        <v>685</v>
      </c>
    </row>
    <row r="148" spans="1:58" ht="44.25" customHeight="1">
      <c r="E148" s="459">
        <v>15</v>
      </c>
      <c r="F148" s="3" t="str" cm="1">
        <f t="array" aca="1" ref="F148" ca="1">OFFSET(E148,-1,1)</f>
        <v>1</v>
      </c>
      <c r="H148" s="17" t="s">
        <v>686</v>
      </c>
      <c r="T148" s="351" t="b" cm="1">
        <f t="array" ref="T148">T147</f>
        <v>1</v>
      </c>
      <c r="X148" s="1024"/>
      <c r="Y148" s="1007"/>
      <c r="AB148" s="153" t="s">
        <v>687</v>
      </c>
      <c r="AC148" s="237" t="s">
        <v>661</v>
      </c>
      <c r="AD148" s="12" t="s">
        <v>585</v>
      </c>
      <c r="AE148" s="190">
        <v>130.51237</v>
      </c>
      <c r="AF148" s="190">
        <v>976.44399999999996</v>
      </c>
      <c r="AG148" s="190" cm="1">
        <f t="array" ref="AG148">AF148</f>
        <v>976.44399999999996</v>
      </c>
      <c r="AH148" s="190">
        <v>3721.1742399999998</v>
      </c>
      <c r="AI148" s="190">
        <v>3499.105</v>
      </c>
      <c r="AJ148" s="190">
        <v>3499.105</v>
      </c>
      <c r="AK148" s="190">
        <v>3499.105</v>
      </c>
      <c r="AL148" s="190"/>
      <c r="AM148" s="190"/>
      <c r="AN148" s="190"/>
      <c r="AO148" s="190"/>
      <c r="AP148" s="190"/>
      <c r="AQ148" s="190"/>
      <c r="AR148" s="190"/>
      <c r="AS148" s="190">
        <v>3499.1053299999999</v>
      </c>
      <c r="AT148" s="190">
        <v>3499.1053299999999</v>
      </c>
      <c r="AU148" s="190">
        <v>3499.1053299999999</v>
      </c>
      <c r="AV148" s="190"/>
      <c r="AW148" s="190"/>
      <c r="AX148" s="190"/>
      <c r="AY148" s="190"/>
      <c r="AZ148" s="190"/>
      <c r="BA148" s="190"/>
      <c r="BB148" s="190"/>
      <c r="BC148" s="195"/>
      <c r="BF148" s="669" t="s">
        <v>688</v>
      </c>
    </row>
    <row r="149" spans="1:58" ht="14.25" customHeight="1">
      <c r="E149" s="459">
        <v>15</v>
      </c>
      <c r="F149" s="3" t="str" cm="1">
        <f t="array" aca="1" ref="F149" ca="1">OFFSET(E149,-1,1)</f>
        <v>1</v>
      </c>
      <c r="H149" s="17" t="s">
        <v>689</v>
      </c>
      <c r="T149" s="351" t="b" cm="1">
        <f t="array" ref="T149">T148</f>
        <v>1</v>
      </c>
      <c r="X149" s="1024"/>
      <c r="Y149" s="1007"/>
      <c r="AB149" s="153" t="s">
        <v>690</v>
      </c>
      <c r="AC149" s="237" t="s">
        <v>665</v>
      </c>
      <c r="AD149" s="12" t="s">
        <v>585</v>
      </c>
      <c r="AE149" s="190"/>
      <c r="AF149" s="190"/>
      <c r="AG149" s="190"/>
      <c r="AH149" s="190"/>
      <c r="AI149" s="190"/>
      <c r="AJ149" s="190"/>
      <c r="AK149" s="190"/>
      <c r="AL149" s="190"/>
      <c r="AM149" s="190"/>
      <c r="AN149" s="190"/>
      <c r="AO149" s="190"/>
      <c r="AP149" s="190"/>
      <c r="AQ149" s="190"/>
      <c r="AR149" s="190"/>
      <c r="AS149" s="190"/>
      <c r="AT149" s="190"/>
      <c r="AU149" s="190"/>
      <c r="AV149" s="190"/>
      <c r="AW149" s="190"/>
      <c r="AX149" s="190"/>
      <c r="AY149" s="190"/>
      <c r="AZ149" s="190"/>
      <c r="BA149" s="190"/>
      <c r="BB149" s="190"/>
      <c r="BC149" s="195"/>
      <c r="BF149" s="669" t="s">
        <v>691</v>
      </c>
    </row>
    <row r="150" spans="1:58" ht="25.35" customHeight="1">
      <c r="E150" s="459">
        <v>15</v>
      </c>
      <c r="F150" s="3" t="str" cm="1">
        <f t="array" aca="1" ref="F150" ca="1">OFFSET(E150,-1,1)</f>
        <v>1</v>
      </c>
      <c r="H150" s="17" t="s">
        <v>692</v>
      </c>
      <c r="T150" s="351" t="b" cm="1">
        <f t="array" ref="T150">T149</f>
        <v>1</v>
      </c>
      <c r="X150" s="1024"/>
      <c r="Y150" s="1007"/>
      <c r="AB150" s="153" t="s">
        <v>693</v>
      </c>
      <c r="AC150" s="236" t="s">
        <v>694</v>
      </c>
      <c r="AD150" s="12" t="s">
        <v>585</v>
      </c>
      <c r="AE150" s="222">
        <f t="shared" ref="AE150:BB150" si="37">SUM(AE151:AE152)</f>
        <v>52.512549999999997</v>
      </c>
      <c r="AF150" s="222">
        <f t="shared" si="37"/>
        <v>188.89</v>
      </c>
      <c r="AG150" s="222">
        <f t="shared" si="37"/>
        <v>188.89</v>
      </c>
      <c r="AH150" s="222">
        <f t="shared" si="37"/>
        <v>1032.8006035000001</v>
      </c>
      <c r="AI150" s="222">
        <f t="shared" si="37"/>
        <v>1284.704</v>
      </c>
      <c r="AJ150" s="222">
        <f t="shared" si="37"/>
        <v>1284.704</v>
      </c>
      <c r="AK150" s="222">
        <f t="shared" si="37"/>
        <v>1284.704</v>
      </c>
      <c r="AL150" s="222">
        <f t="shared" si="37"/>
        <v>0</v>
      </c>
      <c r="AM150" s="222">
        <f t="shared" si="37"/>
        <v>0</v>
      </c>
      <c r="AN150" s="222">
        <f t="shared" si="37"/>
        <v>0</v>
      </c>
      <c r="AO150" s="222">
        <f t="shared" si="37"/>
        <v>0</v>
      </c>
      <c r="AP150" s="222">
        <f t="shared" si="37"/>
        <v>0</v>
      </c>
      <c r="AQ150" s="222">
        <f t="shared" si="37"/>
        <v>0</v>
      </c>
      <c r="AR150" s="222">
        <f t="shared" si="37"/>
        <v>0</v>
      </c>
      <c r="AS150" s="222">
        <f t="shared" si="37"/>
        <v>1284.7026699999999</v>
      </c>
      <c r="AT150" s="222">
        <f t="shared" si="37"/>
        <v>1284.7026699999999</v>
      </c>
      <c r="AU150" s="222">
        <f t="shared" si="37"/>
        <v>1284.7026699999999</v>
      </c>
      <c r="AV150" s="222">
        <f t="shared" si="37"/>
        <v>0</v>
      </c>
      <c r="AW150" s="222">
        <f t="shared" si="37"/>
        <v>0</v>
      </c>
      <c r="AX150" s="222">
        <f t="shared" si="37"/>
        <v>0</v>
      </c>
      <c r="AY150" s="222">
        <f t="shared" si="37"/>
        <v>0</v>
      </c>
      <c r="AZ150" s="222">
        <f t="shared" si="37"/>
        <v>0</v>
      </c>
      <c r="BA150" s="222">
        <f t="shared" si="37"/>
        <v>0</v>
      </c>
      <c r="BB150" s="222">
        <f t="shared" si="37"/>
        <v>0</v>
      </c>
      <c r="BC150" s="195"/>
      <c r="BF150" s="669" t="s">
        <v>695</v>
      </c>
    </row>
    <row r="151" spans="1:58" ht="44.25" customHeight="1">
      <c r="E151" s="459">
        <v>15</v>
      </c>
      <c r="F151" s="3" t="str" cm="1">
        <f t="array" aca="1" ref="F151" ca="1">OFFSET(E151,-1,1)</f>
        <v>1</v>
      </c>
      <c r="H151" s="17" t="s">
        <v>696</v>
      </c>
      <c r="T151" s="351" t="b" cm="1">
        <f t="array" ref="T151">T150</f>
        <v>1</v>
      </c>
      <c r="X151" s="1024"/>
      <c r="Y151" s="1007"/>
      <c r="AB151" s="153" t="s">
        <v>697</v>
      </c>
      <c r="AC151" s="237" t="s">
        <v>661</v>
      </c>
      <c r="AD151" s="12" t="s">
        <v>585</v>
      </c>
      <c r="AE151" s="190">
        <v>52.512549999999997</v>
      </c>
      <c r="AF151" s="190">
        <v>188.89</v>
      </c>
      <c r="AG151" s="190" cm="1">
        <f t="array" ref="AG151">AF151</f>
        <v>188.89</v>
      </c>
      <c r="AH151" s="190">
        <v>1032.8006035000001</v>
      </c>
      <c r="AI151" s="190">
        <v>1284.704</v>
      </c>
      <c r="AJ151" s="190">
        <v>1284.704</v>
      </c>
      <c r="AK151" s="190">
        <v>1284.704</v>
      </c>
      <c r="AL151" s="190"/>
      <c r="AM151" s="190"/>
      <c r="AN151" s="190"/>
      <c r="AO151" s="190"/>
      <c r="AP151" s="190"/>
      <c r="AQ151" s="190"/>
      <c r="AR151" s="190"/>
      <c r="AS151" s="190">
        <v>1284.7026699999999</v>
      </c>
      <c r="AT151" s="190">
        <v>1284.7026699999999</v>
      </c>
      <c r="AU151" s="190">
        <v>1284.7026699999999</v>
      </c>
      <c r="AV151" s="190"/>
      <c r="AW151" s="190"/>
      <c r="AX151" s="190"/>
      <c r="AY151" s="190"/>
      <c r="AZ151" s="190"/>
      <c r="BA151" s="190"/>
      <c r="BB151" s="190"/>
      <c r="BC151" s="195"/>
      <c r="BF151" s="669" t="s">
        <v>698</v>
      </c>
    </row>
    <row r="152" spans="1:58" ht="14.25" customHeight="1">
      <c r="E152" s="459">
        <v>15</v>
      </c>
      <c r="F152" s="3" t="str" cm="1">
        <f t="array" aca="1" ref="F152" ca="1">OFFSET(E152,-1,1)</f>
        <v>1</v>
      </c>
      <c r="H152" s="17" t="s">
        <v>699</v>
      </c>
      <c r="T152" s="351" t="b" cm="1">
        <f t="array" ref="T152">T151</f>
        <v>1</v>
      </c>
      <c r="X152" s="1024"/>
      <c r="Y152" s="1007"/>
      <c r="AB152" s="153" t="s">
        <v>700</v>
      </c>
      <c r="AC152" s="237" t="s">
        <v>665</v>
      </c>
      <c r="AD152" s="12" t="s">
        <v>585</v>
      </c>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13"/>
      <c r="BF152" s="669" t="s">
        <v>701</v>
      </c>
    </row>
    <row r="153" spans="1:58" ht="21.75" customHeight="1">
      <c r="E153" s="459">
        <v>22.5</v>
      </c>
      <c r="F153" s="3" t="str" cm="1">
        <f t="array" aca="1" ref="F153" ca="1">OFFSET(E153,-1,1)</f>
        <v>1</v>
      </c>
      <c r="H153" s="17" t="s">
        <v>702</v>
      </c>
      <c r="I153" s="314"/>
      <c r="J153" s="314"/>
      <c r="T153" s="351" t="b" cm="1">
        <f t="array" ref="T153">T152</f>
        <v>1</v>
      </c>
      <c r="X153" s="1024"/>
      <c r="Y153" s="1007"/>
      <c r="AB153" s="153" t="s">
        <v>703</v>
      </c>
      <c r="AC153" s="238" t="s">
        <v>704</v>
      </c>
      <c r="AD153" s="12" t="s">
        <v>585</v>
      </c>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13"/>
      <c r="BF153" s="669" t="s">
        <v>705</v>
      </c>
    </row>
    <row r="154" spans="1:58" ht="14.25" customHeight="1">
      <c r="E154" s="459">
        <v>15</v>
      </c>
      <c r="F154" s="252" t="str" cm="1">
        <f t="array" aca="1" ref="F154" ca="1">OFFSET(E154,-1,1)</f>
        <v>1</v>
      </c>
      <c r="T154" s="351" t="b" cm="1">
        <f t="array" ref="T154">T153</f>
        <v>1</v>
      </c>
      <c r="X154" s="1024"/>
      <c r="Y154" s="1007"/>
      <c r="AB154" s="153" t="s">
        <v>706</v>
      </c>
      <c r="AC154" s="238" t="s">
        <v>707</v>
      </c>
      <c r="AD154" s="12" t="s">
        <v>585</v>
      </c>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13"/>
      <c r="BF154" s="669" t="s">
        <v>708</v>
      </c>
    </row>
    <row r="155" spans="1:58" ht="11.25" hidden="1" customHeight="1">
      <c r="A155" s="314"/>
      <c r="B155" s="477"/>
      <c r="C155" s="314"/>
      <c r="D155" s="314"/>
      <c r="E155" s="478" t="s">
        <v>362</v>
      </c>
      <c r="F155" s="764" t="str" cm="1">
        <f t="array" aca="1" ref="F155" ca="1">OFFSET(E155,-1,1)</f>
        <v>1</v>
      </c>
      <c r="G155" s="314"/>
      <c r="H155" s="314"/>
      <c r="I155"/>
      <c r="J155"/>
      <c r="L155" s="314"/>
      <c r="M155" s="314"/>
      <c r="N155" s="314"/>
      <c r="O155" s="314"/>
      <c r="T155" s="351" t="b">
        <v>0</v>
      </c>
      <c r="V155" s="314"/>
      <c r="X155" s="1024"/>
      <c r="Y155" s="1007"/>
      <c r="Z155" s="314"/>
      <c r="AA155" s="314"/>
      <c r="AB155"/>
      <c r="AC155" s="18"/>
      <c r="AD155" s="18"/>
      <c r="AE155" s="248"/>
      <c r="AF155" s="248"/>
      <c r="AG155" s="248"/>
      <c r="AH155" s="248"/>
      <c r="AI155" s="248"/>
      <c r="AJ155" s="249"/>
      <c r="AK155" s="248"/>
      <c r="AL155" s="248"/>
      <c r="AM155" s="248"/>
      <c r="AN155" s="248"/>
      <c r="AO155" s="248"/>
      <c r="AP155" s="248"/>
      <c r="AQ155" s="248"/>
      <c r="AR155" s="248"/>
      <c r="AS155" s="248"/>
      <c r="AT155" s="248"/>
      <c r="AU155" s="248"/>
      <c r="AV155" s="248"/>
      <c r="AW155" s="248"/>
      <c r="AX155" s="248"/>
      <c r="AY155" s="248"/>
      <c r="AZ155" s="248"/>
      <c r="BA155" s="248"/>
      <c r="BB155" s="248"/>
      <c r="BC155"/>
      <c r="BD155"/>
      <c r="BE155"/>
      <c r="BF155" s="659"/>
    </row>
    <row r="156" spans="1:58" ht="14.25" hidden="1" customHeight="1">
      <c r="E156" s="459">
        <v>15</v>
      </c>
      <c r="F156" s="3" t="str" cm="1">
        <f t="array" aca="1" ref="F156" ca="1">OFFSET(E156,-1,1)</f>
        <v>1</v>
      </c>
      <c r="R156" s="314" t="b" cm="1">
        <f t="array" ref="R156">INDEX('Общие сведения'!$AN$179:$AN$208,MATCH($X118,'Общие сведения'!$Z$179:$Z$208,0))</f>
        <v>0</v>
      </c>
      <c r="S156" s="314" t="b">
        <f>IF(ISERROR(SEARCH("Водоснабжение",AB118)),FALSE,TRUE)</f>
        <v>1</v>
      </c>
      <c r="T156" s="351" t="b">
        <f>AND(X118&gt;0,S156,R156)</f>
        <v>0</v>
      </c>
      <c r="X156" s="1024"/>
      <c r="Y156" s="1007"/>
      <c r="AB156" s="153" t="s">
        <v>277</v>
      </c>
      <c r="AC156" s="233" t="s">
        <v>582</v>
      </c>
      <c r="AD156" s="111"/>
      <c r="AE156" s="413" t="str" cm="1">
        <f t="array" ref="AE156">INDEX('Общие сведения'!$AH$179:$AH$208,MATCH($X118,'Общие сведения'!$Z$179:$Z$208,0))</f>
        <v>питьевая вода</v>
      </c>
      <c r="AF156" s="263"/>
      <c r="AG156" s="263"/>
      <c r="AH156" s="263"/>
      <c r="AI156" s="263"/>
      <c r="AJ156" s="263"/>
      <c r="AK156" s="263"/>
      <c r="AL156" s="263"/>
      <c r="AM156" s="263"/>
      <c r="AN156" s="263"/>
      <c r="AO156" s="263"/>
      <c r="AP156" s="263"/>
      <c r="AQ156" s="263"/>
      <c r="AR156" s="263"/>
      <c r="AS156" s="263"/>
      <c r="AT156" s="263"/>
      <c r="AU156" s="263"/>
      <c r="AV156" s="263"/>
      <c r="AW156" s="263"/>
      <c r="AX156" s="263"/>
      <c r="AY156" s="263"/>
      <c r="AZ156" s="263"/>
      <c r="BA156" s="263"/>
      <c r="BB156" s="264"/>
      <c r="BC156" s="823"/>
      <c r="BF156" s="669" t="s">
        <v>709</v>
      </c>
    </row>
    <row r="157" spans="1:58" ht="14.25" hidden="1" customHeight="1">
      <c r="E157" s="459">
        <v>15</v>
      </c>
      <c r="F157" s="3" t="str" cm="1">
        <f t="array" aca="1" ref="F157" ca="1">OFFSET(E157,-1,1)</f>
        <v>1</v>
      </c>
      <c r="H157" s="17" t="s">
        <v>325</v>
      </c>
      <c r="T157" s="351" t="b" cm="1">
        <f t="array" ref="T157">T156</f>
        <v>0</v>
      </c>
      <c r="X157" s="1024"/>
      <c r="Y157" s="1007"/>
      <c r="AB157" s="153" t="s">
        <v>435</v>
      </c>
      <c r="AC157" s="239" t="s">
        <v>710</v>
      </c>
      <c r="AD157" s="12" t="s">
        <v>585</v>
      </c>
      <c r="AE157" s="250">
        <f t="shared" ref="AE157:BB157" si="38">AE161+AE163+AE166+AE169</f>
        <v>0</v>
      </c>
      <c r="AF157" s="250">
        <f t="shared" si="38"/>
        <v>0</v>
      </c>
      <c r="AG157" s="250">
        <f t="shared" si="38"/>
        <v>0</v>
      </c>
      <c r="AH157" s="250">
        <f t="shared" si="38"/>
        <v>0</v>
      </c>
      <c r="AI157" s="250">
        <f t="shared" si="38"/>
        <v>0</v>
      </c>
      <c r="AJ157" s="250">
        <f t="shared" si="38"/>
        <v>0</v>
      </c>
      <c r="AK157" s="250">
        <f t="shared" si="38"/>
        <v>0</v>
      </c>
      <c r="AL157" s="250">
        <f t="shared" si="38"/>
        <v>0</v>
      </c>
      <c r="AM157" s="250">
        <f t="shared" si="38"/>
        <v>0</v>
      </c>
      <c r="AN157" s="250">
        <f t="shared" si="38"/>
        <v>0</v>
      </c>
      <c r="AO157" s="250">
        <f t="shared" si="38"/>
        <v>0</v>
      </c>
      <c r="AP157" s="250">
        <f t="shared" si="38"/>
        <v>0</v>
      </c>
      <c r="AQ157" s="250">
        <f t="shared" si="38"/>
        <v>0</v>
      </c>
      <c r="AR157" s="250">
        <f t="shared" si="38"/>
        <v>0</v>
      </c>
      <c r="AS157" s="250">
        <f t="shared" si="38"/>
        <v>0</v>
      </c>
      <c r="AT157" s="250">
        <f t="shared" si="38"/>
        <v>0</v>
      </c>
      <c r="AU157" s="250">
        <f t="shared" si="38"/>
        <v>0</v>
      </c>
      <c r="AV157" s="250">
        <f t="shared" si="38"/>
        <v>0</v>
      </c>
      <c r="AW157" s="250">
        <f t="shared" si="38"/>
        <v>0</v>
      </c>
      <c r="AX157" s="250">
        <f t="shared" si="38"/>
        <v>0</v>
      </c>
      <c r="AY157" s="250">
        <f t="shared" si="38"/>
        <v>0</v>
      </c>
      <c r="AZ157" s="250">
        <f t="shared" si="38"/>
        <v>0</v>
      </c>
      <c r="BA157" s="250">
        <f t="shared" si="38"/>
        <v>0</v>
      </c>
      <c r="BB157" s="250">
        <f t="shared" si="38"/>
        <v>0</v>
      </c>
      <c r="BC157" s="823"/>
      <c r="BF157" s="669" t="s">
        <v>711</v>
      </c>
    </row>
    <row r="158" spans="1:58" ht="14.25" hidden="1" customHeight="1">
      <c r="E158" s="459">
        <v>15</v>
      </c>
      <c r="F158" s="3" t="str" cm="1">
        <f t="array" aca="1" ref="F158" ca="1">OFFSET(E158,-1,1)</f>
        <v>1</v>
      </c>
      <c r="H158" s="17" t="s">
        <v>587</v>
      </c>
      <c r="T158" s="351" t="b" cm="1">
        <f t="array" ref="T158">T157</f>
        <v>0</v>
      </c>
      <c r="X158" s="1024"/>
      <c r="Y158" s="1007"/>
      <c r="AB158" s="153" t="s">
        <v>588</v>
      </c>
      <c r="AC158" s="240" t="s">
        <v>712</v>
      </c>
      <c r="AD158" s="12" t="s">
        <v>585</v>
      </c>
      <c r="AE158" s="822"/>
      <c r="AF158" s="822"/>
      <c r="AG158" s="822"/>
      <c r="AH158" s="822"/>
      <c r="AI158" s="187"/>
      <c r="AJ158" s="187"/>
      <c r="AK158" s="187"/>
      <c r="AL158" s="822"/>
      <c r="AM158" s="822"/>
      <c r="AN158" s="822"/>
      <c r="AO158" s="822"/>
      <c r="AP158" s="822"/>
      <c r="AQ158" s="822"/>
      <c r="AR158" s="822"/>
      <c r="AS158" s="187"/>
      <c r="AT158" s="187"/>
      <c r="AU158" s="187"/>
      <c r="AV158" s="822"/>
      <c r="AW158" s="822"/>
      <c r="AX158" s="822"/>
      <c r="AY158" s="822"/>
      <c r="AZ158" s="822"/>
      <c r="BA158" s="822"/>
      <c r="BB158" s="822"/>
      <c r="BC158" s="823"/>
      <c r="BF158" s="669" t="s">
        <v>713</v>
      </c>
    </row>
    <row r="159" spans="1:58" ht="14.25" hidden="1" customHeight="1">
      <c r="E159" s="459">
        <v>15</v>
      </c>
      <c r="F159" s="3" t="str" cm="1">
        <f t="array" aca="1" ref="F159" ca="1">OFFSET(E159,-1,1)</f>
        <v>1</v>
      </c>
      <c r="H159" s="17" t="s">
        <v>591</v>
      </c>
      <c r="T159" s="351" t="b" cm="1">
        <f t="array" ref="T159">T158</f>
        <v>0</v>
      </c>
      <c r="X159" s="1024"/>
      <c r="Y159" s="1007"/>
      <c r="AB159" s="153" t="s">
        <v>592</v>
      </c>
      <c r="AC159" s="240" t="s">
        <v>714</v>
      </c>
      <c r="AD159" s="12" t="s">
        <v>585</v>
      </c>
      <c r="AE159" s="822"/>
      <c r="AF159" s="822"/>
      <c r="AG159" s="822"/>
      <c r="AH159" s="822"/>
      <c r="AI159" s="187"/>
      <c r="AJ159" s="187"/>
      <c r="AK159" s="187"/>
      <c r="AL159" s="822"/>
      <c r="AM159" s="822"/>
      <c r="AN159" s="822"/>
      <c r="AO159" s="822"/>
      <c r="AP159" s="822"/>
      <c r="AQ159" s="822"/>
      <c r="AR159" s="822"/>
      <c r="AS159" s="187"/>
      <c r="AT159" s="187"/>
      <c r="AU159" s="187"/>
      <c r="AV159" s="822"/>
      <c r="AW159" s="822"/>
      <c r="AX159" s="822"/>
      <c r="AY159" s="822"/>
      <c r="AZ159" s="822"/>
      <c r="BA159" s="822"/>
      <c r="BB159" s="822"/>
      <c r="BC159" s="823"/>
      <c r="BF159" s="669" t="s">
        <v>715</v>
      </c>
    </row>
    <row r="160" spans="1:58" ht="21.75" hidden="1" customHeight="1">
      <c r="E160" s="459">
        <v>22.5</v>
      </c>
      <c r="F160" s="3" t="str" cm="1">
        <f t="array" aca="1" ref="F160" ca="1">OFFSET(E160,-1,1)</f>
        <v>1</v>
      </c>
      <c r="H160" s="17" t="s">
        <v>595</v>
      </c>
      <c r="T160" s="351" t="b" cm="1">
        <f t="array" ref="T160">T159</f>
        <v>0</v>
      </c>
      <c r="X160" s="1024"/>
      <c r="Y160" s="1007"/>
      <c r="AB160" s="153" t="s">
        <v>596</v>
      </c>
      <c r="AC160" s="240" t="s">
        <v>716</v>
      </c>
      <c r="AD160" s="12" t="s">
        <v>585</v>
      </c>
      <c r="AE160" s="822"/>
      <c r="AF160" s="822"/>
      <c r="AG160" s="822"/>
      <c r="AH160" s="822"/>
      <c r="AI160" s="187"/>
      <c r="AJ160" s="187"/>
      <c r="AK160" s="187"/>
      <c r="AL160" s="822"/>
      <c r="AM160" s="822"/>
      <c r="AN160" s="822"/>
      <c r="AO160" s="822"/>
      <c r="AP160" s="822"/>
      <c r="AQ160" s="822"/>
      <c r="AR160" s="822"/>
      <c r="AS160" s="187"/>
      <c r="AT160" s="187"/>
      <c r="AU160" s="187"/>
      <c r="AV160" s="822"/>
      <c r="AW160" s="822"/>
      <c r="AX160" s="822"/>
      <c r="AY160" s="822"/>
      <c r="AZ160" s="822"/>
      <c r="BA160" s="822"/>
      <c r="BB160" s="822"/>
      <c r="BC160" s="823"/>
      <c r="BF160" s="669" t="s">
        <v>717</v>
      </c>
    </row>
    <row r="161" spans="1:58" ht="14.25" hidden="1" customHeight="1">
      <c r="E161" s="459">
        <v>15</v>
      </c>
      <c r="F161" s="3" t="str" cm="1">
        <f t="array" aca="1" ref="F161" ca="1">OFFSET(E161,-1,1)</f>
        <v>1</v>
      </c>
      <c r="H161" s="17" t="s">
        <v>324</v>
      </c>
      <c r="T161" s="351" t="b" cm="1">
        <f t="array" ref="T161">T160</f>
        <v>0</v>
      </c>
      <c r="X161" s="1024"/>
      <c r="Y161" s="1007"/>
      <c r="AB161" s="153" t="s">
        <v>319</v>
      </c>
      <c r="AC161" s="233" t="s">
        <v>629</v>
      </c>
      <c r="AD161" s="12" t="s">
        <v>585</v>
      </c>
      <c r="AE161" s="822"/>
      <c r="AF161" s="822"/>
      <c r="AG161" s="822"/>
      <c r="AH161" s="822"/>
      <c r="AI161" s="187"/>
      <c r="AJ161" s="187"/>
      <c r="AK161" s="187"/>
      <c r="AL161" s="822"/>
      <c r="AM161" s="822"/>
      <c r="AN161" s="822"/>
      <c r="AO161" s="822"/>
      <c r="AP161" s="822"/>
      <c r="AQ161" s="822"/>
      <c r="AR161" s="822"/>
      <c r="AS161" s="187"/>
      <c r="AT161" s="187"/>
      <c r="AU161" s="187"/>
      <c r="AV161" s="822"/>
      <c r="AW161" s="822"/>
      <c r="AX161" s="822"/>
      <c r="AY161" s="822"/>
      <c r="AZ161" s="822"/>
      <c r="BA161" s="822"/>
      <c r="BB161" s="822"/>
      <c r="BC161" s="823"/>
      <c r="BF161" s="669" t="s">
        <v>718</v>
      </c>
    </row>
    <row r="162" spans="1:58" ht="14.25" hidden="1" customHeight="1">
      <c r="E162" s="459">
        <v>15</v>
      </c>
      <c r="F162" s="3" t="str" cm="1">
        <f t="array" aca="1" ref="F162" ca="1">OFFSET(E162,-1,1)</f>
        <v>1</v>
      </c>
      <c r="H162" s="17" t="s">
        <v>601</v>
      </c>
      <c r="T162" s="351" t="b" cm="1">
        <f t="array" ref="T162">T161</f>
        <v>0</v>
      </c>
      <c r="X162" s="1024"/>
      <c r="Y162" s="1007"/>
      <c r="AB162" s="153" t="s">
        <v>602</v>
      </c>
      <c r="AC162" s="235" t="s">
        <v>633</v>
      </c>
      <c r="AD162" s="12" t="s">
        <v>501</v>
      </c>
      <c r="AE162" s="817">
        <f t="shared" ref="AE162:BB162" si="39">IF(AE157=0,0,AE161/AE157*100)</f>
        <v>0</v>
      </c>
      <c r="AF162" s="817">
        <f t="shared" si="39"/>
        <v>0</v>
      </c>
      <c r="AG162" s="817">
        <f t="shared" si="39"/>
        <v>0</v>
      </c>
      <c r="AH162" s="817">
        <f t="shared" si="39"/>
        <v>0</v>
      </c>
      <c r="AI162" s="57">
        <f t="shared" si="39"/>
        <v>0</v>
      </c>
      <c r="AJ162" s="57">
        <f t="shared" si="39"/>
        <v>0</v>
      </c>
      <c r="AK162" s="57">
        <f t="shared" si="39"/>
        <v>0</v>
      </c>
      <c r="AL162" s="817">
        <f t="shared" si="39"/>
        <v>0</v>
      </c>
      <c r="AM162" s="817">
        <f t="shared" si="39"/>
        <v>0</v>
      </c>
      <c r="AN162" s="817">
        <f t="shared" si="39"/>
        <v>0</v>
      </c>
      <c r="AO162" s="817">
        <f t="shared" si="39"/>
        <v>0</v>
      </c>
      <c r="AP162" s="817">
        <f t="shared" si="39"/>
        <v>0</v>
      </c>
      <c r="AQ162" s="817">
        <f t="shared" si="39"/>
        <v>0</v>
      </c>
      <c r="AR162" s="817">
        <f t="shared" si="39"/>
        <v>0</v>
      </c>
      <c r="AS162" s="57">
        <f t="shared" si="39"/>
        <v>0</v>
      </c>
      <c r="AT162" s="57">
        <f t="shared" si="39"/>
        <v>0</v>
      </c>
      <c r="AU162" s="57">
        <f t="shared" si="39"/>
        <v>0</v>
      </c>
      <c r="AV162" s="817">
        <f t="shared" si="39"/>
        <v>0</v>
      </c>
      <c r="AW162" s="817">
        <f t="shared" si="39"/>
        <v>0</v>
      </c>
      <c r="AX162" s="817">
        <f t="shared" si="39"/>
        <v>0</v>
      </c>
      <c r="AY162" s="817">
        <f t="shared" si="39"/>
        <v>0</v>
      </c>
      <c r="AZ162" s="817">
        <f t="shared" si="39"/>
        <v>0</v>
      </c>
      <c r="BA162" s="817">
        <f t="shared" si="39"/>
        <v>0</v>
      </c>
      <c r="BB162" s="817">
        <f t="shared" si="39"/>
        <v>0</v>
      </c>
      <c r="BC162" s="774"/>
      <c r="BF162" s="669" t="s">
        <v>719</v>
      </c>
    </row>
    <row r="163" spans="1:58" ht="14.25" hidden="1" customHeight="1">
      <c r="E163" s="459">
        <v>15</v>
      </c>
      <c r="F163" s="3" t="str" cm="1">
        <f t="array" aca="1" ref="F163" ca="1">OFFSET(E163,-1,1)</f>
        <v>1</v>
      </c>
      <c r="G163" s="17" t="str">
        <f>IF(OwnNeedsInPO="да","ПО","")</f>
        <v/>
      </c>
      <c r="H163" s="17" t="s">
        <v>557</v>
      </c>
      <c r="T163" s="351" t="b" cm="1">
        <f t="array" ref="T163">T162</f>
        <v>0</v>
      </c>
      <c r="X163" s="1024"/>
      <c r="Y163" s="1007"/>
      <c r="AB163" s="153" t="s">
        <v>438</v>
      </c>
      <c r="AC163" s="239" t="s">
        <v>640</v>
      </c>
      <c r="AD163" s="12" t="s">
        <v>585</v>
      </c>
      <c r="AE163" s="250">
        <f t="shared" ref="AE163:BB163" si="40">AE164+AE165</f>
        <v>0</v>
      </c>
      <c r="AF163" s="250">
        <f t="shared" si="40"/>
        <v>0</v>
      </c>
      <c r="AG163" s="250">
        <f t="shared" si="40"/>
        <v>0</v>
      </c>
      <c r="AH163" s="250">
        <f t="shared" si="40"/>
        <v>0</v>
      </c>
      <c r="AI163" s="250">
        <f t="shared" si="40"/>
        <v>0</v>
      </c>
      <c r="AJ163" s="250">
        <f t="shared" si="40"/>
        <v>0</v>
      </c>
      <c r="AK163" s="250">
        <f t="shared" si="40"/>
        <v>0</v>
      </c>
      <c r="AL163" s="250">
        <f t="shared" si="40"/>
        <v>0</v>
      </c>
      <c r="AM163" s="250">
        <f t="shared" si="40"/>
        <v>0</v>
      </c>
      <c r="AN163" s="250">
        <f t="shared" si="40"/>
        <v>0</v>
      </c>
      <c r="AO163" s="250">
        <f t="shared" si="40"/>
        <v>0</v>
      </c>
      <c r="AP163" s="250">
        <f t="shared" si="40"/>
        <v>0</v>
      </c>
      <c r="AQ163" s="250">
        <f t="shared" si="40"/>
        <v>0</v>
      </c>
      <c r="AR163" s="250">
        <f t="shared" si="40"/>
        <v>0</v>
      </c>
      <c r="AS163" s="250">
        <f t="shared" si="40"/>
        <v>0</v>
      </c>
      <c r="AT163" s="250">
        <f t="shared" si="40"/>
        <v>0</v>
      </c>
      <c r="AU163" s="250">
        <f t="shared" si="40"/>
        <v>0</v>
      </c>
      <c r="AV163" s="250">
        <f t="shared" si="40"/>
        <v>0</v>
      </c>
      <c r="AW163" s="250">
        <f t="shared" si="40"/>
        <v>0</v>
      </c>
      <c r="AX163" s="250">
        <f t="shared" si="40"/>
        <v>0</v>
      </c>
      <c r="AY163" s="250">
        <f t="shared" si="40"/>
        <v>0</v>
      </c>
      <c r="AZ163" s="250">
        <f t="shared" si="40"/>
        <v>0</v>
      </c>
      <c r="BA163" s="250">
        <f t="shared" si="40"/>
        <v>0</v>
      </c>
      <c r="BB163" s="250">
        <f t="shared" si="40"/>
        <v>0</v>
      </c>
      <c r="BC163" s="823"/>
      <c r="BF163" s="669" t="s">
        <v>720</v>
      </c>
    </row>
    <row r="164" spans="1:58" ht="14.25" hidden="1" customHeight="1">
      <c r="E164" s="459">
        <v>15</v>
      </c>
      <c r="F164" s="3" t="str" cm="1">
        <f t="array" aca="1" ref="F164" ca="1">OFFSET(E164,-1,1)</f>
        <v>1</v>
      </c>
      <c r="H164" s="17" t="s">
        <v>721</v>
      </c>
      <c r="T164" s="351" t="b" cm="1">
        <f t="array" ref="T164">T163</f>
        <v>0</v>
      </c>
      <c r="X164" s="1024"/>
      <c r="Y164" s="1007"/>
      <c r="AB164" s="153" t="s">
        <v>722</v>
      </c>
      <c r="AC164" s="240" t="s">
        <v>644</v>
      </c>
      <c r="AD164" s="12" t="s">
        <v>585</v>
      </c>
      <c r="AE164" s="822"/>
      <c r="AF164" s="822"/>
      <c r="AG164" s="822"/>
      <c r="AH164" s="822"/>
      <c r="AI164" s="187"/>
      <c r="AJ164" s="187"/>
      <c r="AK164" s="187"/>
      <c r="AL164" s="822"/>
      <c r="AM164" s="822"/>
      <c r="AN164" s="822"/>
      <c r="AO164" s="822"/>
      <c r="AP164" s="822"/>
      <c r="AQ164" s="822"/>
      <c r="AR164" s="822"/>
      <c r="AS164" s="187"/>
      <c r="AT164" s="187"/>
      <c r="AU164" s="187"/>
      <c r="AV164" s="822"/>
      <c r="AW164" s="822"/>
      <c r="AX164" s="822"/>
      <c r="AY164" s="822"/>
      <c r="AZ164" s="822"/>
      <c r="BA164" s="822"/>
      <c r="BB164" s="822"/>
      <c r="BC164" s="823"/>
      <c r="BF164" s="669" t="s">
        <v>723</v>
      </c>
    </row>
    <row r="165" spans="1:58" ht="14.25" hidden="1" customHeight="1">
      <c r="E165" s="459">
        <v>15</v>
      </c>
      <c r="F165" s="3" t="str" cm="1">
        <f t="array" aca="1" ref="F165" ca="1">OFFSET(E165,-1,1)</f>
        <v>1</v>
      </c>
      <c r="H165" s="17" t="s">
        <v>724</v>
      </c>
      <c r="T165" s="351" t="b" cm="1">
        <f t="array" ref="T165">T164</f>
        <v>0</v>
      </c>
      <c r="X165" s="1024"/>
      <c r="Y165" s="1007"/>
      <c r="AB165" s="153" t="s">
        <v>725</v>
      </c>
      <c r="AC165" s="240" t="s">
        <v>648</v>
      </c>
      <c r="AD165" s="12" t="s">
        <v>585</v>
      </c>
      <c r="AE165" s="822"/>
      <c r="AF165" s="822"/>
      <c r="AG165" s="822"/>
      <c r="AH165" s="822"/>
      <c r="AI165" s="187"/>
      <c r="AJ165" s="187"/>
      <c r="AK165" s="187"/>
      <c r="AL165" s="822"/>
      <c r="AM165" s="822"/>
      <c r="AN165" s="822"/>
      <c r="AO165" s="822"/>
      <c r="AP165" s="822"/>
      <c r="AQ165" s="822"/>
      <c r="AR165" s="822"/>
      <c r="AS165" s="187"/>
      <c r="AT165" s="187"/>
      <c r="AU165" s="187"/>
      <c r="AV165" s="822"/>
      <c r="AW165" s="822"/>
      <c r="AX165" s="822"/>
      <c r="AY165" s="822"/>
      <c r="AZ165" s="822"/>
      <c r="BA165" s="822"/>
      <c r="BB165" s="822"/>
      <c r="BC165" s="823"/>
      <c r="BF165" s="669" t="s">
        <v>726</v>
      </c>
    </row>
    <row r="166" spans="1:58" ht="14.25" hidden="1" customHeight="1">
      <c r="E166" s="459">
        <v>15</v>
      </c>
      <c r="F166" s="3" t="str" cm="1">
        <f t="array" aca="1" ref="F166" ca="1">OFFSET(E166,-1,1)</f>
        <v>1</v>
      </c>
      <c r="G166" s="17" t="s">
        <v>654</v>
      </c>
      <c r="H166" s="17" t="s">
        <v>560</v>
      </c>
      <c r="T166" s="351" t="b" cm="1">
        <f t="array" ref="T166">T165</f>
        <v>0</v>
      </c>
      <c r="X166" s="1024"/>
      <c r="Y166" s="1007"/>
      <c r="AB166" s="153" t="s">
        <v>440</v>
      </c>
      <c r="AC166" s="239" t="s">
        <v>657</v>
      </c>
      <c r="AD166" s="12" t="s">
        <v>585</v>
      </c>
      <c r="AE166" s="250">
        <f t="shared" ref="AE166:BB166" si="41">AE167+AE168</f>
        <v>0</v>
      </c>
      <c r="AF166" s="250">
        <f t="shared" si="41"/>
        <v>0</v>
      </c>
      <c r="AG166" s="250">
        <f t="shared" si="41"/>
        <v>0</v>
      </c>
      <c r="AH166" s="250">
        <f t="shared" si="41"/>
        <v>0</v>
      </c>
      <c r="AI166" s="250">
        <f t="shared" si="41"/>
        <v>0</v>
      </c>
      <c r="AJ166" s="250">
        <f t="shared" si="41"/>
        <v>0</v>
      </c>
      <c r="AK166" s="250">
        <f t="shared" si="41"/>
        <v>0</v>
      </c>
      <c r="AL166" s="250">
        <f t="shared" si="41"/>
        <v>0</v>
      </c>
      <c r="AM166" s="250">
        <f t="shared" si="41"/>
        <v>0</v>
      </c>
      <c r="AN166" s="250">
        <f t="shared" si="41"/>
        <v>0</v>
      </c>
      <c r="AO166" s="250">
        <f t="shared" si="41"/>
        <v>0</v>
      </c>
      <c r="AP166" s="250">
        <f t="shared" si="41"/>
        <v>0</v>
      </c>
      <c r="AQ166" s="250">
        <f t="shared" si="41"/>
        <v>0</v>
      </c>
      <c r="AR166" s="250">
        <f t="shared" si="41"/>
        <v>0</v>
      </c>
      <c r="AS166" s="250">
        <f t="shared" si="41"/>
        <v>0</v>
      </c>
      <c r="AT166" s="250">
        <f t="shared" si="41"/>
        <v>0</v>
      </c>
      <c r="AU166" s="250">
        <f t="shared" si="41"/>
        <v>0</v>
      </c>
      <c r="AV166" s="250">
        <f t="shared" si="41"/>
        <v>0</v>
      </c>
      <c r="AW166" s="250">
        <f t="shared" si="41"/>
        <v>0</v>
      </c>
      <c r="AX166" s="250">
        <f t="shared" si="41"/>
        <v>0</v>
      </c>
      <c r="AY166" s="250">
        <f t="shared" si="41"/>
        <v>0</v>
      </c>
      <c r="AZ166" s="250">
        <f t="shared" si="41"/>
        <v>0</v>
      </c>
      <c r="BA166" s="250">
        <f t="shared" si="41"/>
        <v>0</v>
      </c>
      <c r="BB166" s="250">
        <f t="shared" si="41"/>
        <v>0</v>
      </c>
      <c r="BC166" s="823"/>
      <c r="BF166" s="669" t="s">
        <v>727</v>
      </c>
    </row>
    <row r="167" spans="1:58" ht="14.25" hidden="1" customHeight="1">
      <c r="E167" s="459">
        <v>15</v>
      </c>
      <c r="F167" s="3" t="str" cm="1">
        <f t="array" aca="1" ref="F167" ca="1">OFFSET(E167,-1,1)</f>
        <v>1</v>
      </c>
      <c r="H167" s="17" t="s">
        <v>728</v>
      </c>
      <c r="T167" s="351" t="b" cm="1">
        <f t="array" ref="T167">T166</f>
        <v>0</v>
      </c>
      <c r="X167" s="1024"/>
      <c r="Y167" s="1007"/>
      <c r="AB167" s="153" t="s">
        <v>729</v>
      </c>
      <c r="AC167" s="240" t="s">
        <v>661</v>
      </c>
      <c r="AD167" s="12" t="s">
        <v>585</v>
      </c>
      <c r="AE167" s="822"/>
      <c r="AF167" s="822"/>
      <c r="AG167" s="822"/>
      <c r="AH167" s="822"/>
      <c r="AI167" s="187"/>
      <c r="AJ167" s="187"/>
      <c r="AK167" s="187"/>
      <c r="AL167" s="822"/>
      <c r="AM167" s="822"/>
      <c r="AN167" s="822"/>
      <c r="AO167" s="822"/>
      <c r="AP167" s="822"/>
      <c r="AQ167" s="822"/>
      <c r="AR167" s="822"/>
      <c r="AS167" s="187"/>
      <c r="AT167" s="187"/>
      <c r="AU167" s="187"/>
      <c r="AV167" s="822"/>
      <c r="AW167" s="822"/>
      <c r="AX167" s="822"/>
      <c r="AY167" s="822"/>
      <c r="AZ167" s="822"/>
      <c r="BA167" s="822"/>
      <c r="BB167" s="822"/>
      <c r="BC167" s="823"/>
      <c r="BF167" s="669" t="s">
        <v>730</v>
      </c>
    </row>
    <row r="168" spans="1:58" ht="14.25" hidden="1" customHeight="1">
      <c r="E168" s="459">
        <v>15</v>
      </c>
      <c r="F168" s="3" t="str" cm="1">
        <f t="array" aca="1" ref="F168" ca="1">OFFSET(E168,-1,1)</f>
        <v>1</v>
      </c>
      <c r="H168" s="17" t="s">
        <v>731</v>
      </c>
      <c r="T168" s="351" t="b" cm="1">
        <f t="array" ref="T168">T167</f>
        <v>0</v>
      </c>
      <c r="X168" s="1024"/>
      <c r="Y168" s="1007"/>
      <c r="AB168" s="153" t="s">
        <v>732</v>
      </c>
      <c r="AC168" s="240" t="s">
        <v>665</v>
      </c>
      <c r="AD168" s="12" t="s">
        <v>585</v>
      </c>
      <c r="AE168" s="822"/>
      <c r="AF168" s="822"/>
      <c r="AG168" s="822"/>
      <c r="AH168" s="822"/>
      <c r="AI168" s="187"/>
      <c r="AJ168" s="187"/>
      <c r="AK168" s="187"/>
      <c r="AL168" s="822"/>
      <c r="AM168" s="822"/>
      <c r="AN168" s="822"/>
      <c r="AO168" s="822"/>
      <c r="AP168" s="822"/>
      <c r="AQ168" s="822"/>
      <c r="AR168" s="822"/>
      <c r="AS168" s="187"/>
      <c r="AT168" s="187"/>
      <c r="AU168" s="187"/>
      <c r="AV168" s="822"/>
      <c r="AW168" s="822"/>
      <c r="AX168" s="822"/>
      <c r="AY168" s="822"/>
      <c r="AZ168" s="822"/>
      <c r="BA168" s="822"/>
      <c r="BB168" s="822"/>
      <c r="BC168" s="823"/>
      <c r="BF168" s="669" t="s">
        <v>733</v>
      </c>
    </row>
    <row r="169" spans="1:58" ht="21.75" hidden="1" customHeight="1">
      <c r="E169" s="459">
        <v>22.5</v>
      </c>
      <c r="F169" s="3" t="str" cm="1">
        <f t="array" aca="1" ref="F169" ca="1">OFFSET(E169,-1,1)</f>
        <v>1</v>
      </c>
      <c r="H169" s="17" t="s">
        <v>613</v>
      </c>
      <c r="I169" s="314"/>
      <c r="J169" s="314"/>
      <c r="T169" s="351" t="b" cm="1">
        <f t="array" ref="T169">T168</f>
        <v>0</v>
      </c>
      <c r="X169" s="1024"/>
      <c r="Y169" s="1007"/>
      <c r="AB169" s="153" t="s">
        <v>442</v>
      </c>
      <c r="AC169" s="241" t="s">
        <v>704</v>
      </c>
      <c r="AD169" s="12" t="s">
        <v>585</v>
      </c>
      <c r="AE169" s="822"/>
      <c r="AF169" s="822"/>
      <c r="AG169" s="822"/>
      <c r="AH169" s="822"/>
      <c r="AI169" s="187"/>
      <c r="AJ169" s="187"/>
      <c r="AK169" s="187"/>
      <c r="AL169" s="822"/>
      <c r="AM169" s="822"/>
      <c r="AN169" s="822"/>
      <c r="AO169" s="822"/>
      <c r="AP169" s="822"/>
      <c r="AQ169" s="822"/>
      <c r="AR169" s="822"/>
      <c r="AS169" s="187"/>
      <c r="AT169" s="187"/>
      <c r="AU169" s="187"/>
      <c r="AV169" s="822"/>
      <c r="AW169" s="822"/>
      <c r="AX169" s="822"/>
      <c r="AY169" s="822"/>
      <c r="AZ169" s="822"/>
      <c r="BA169" s="822"/>
      <c r="BB169" s="822"/>
      <c r="BC169" s="823"/>
      <c r="BF169" s="669" t="s">
        <v>734</v>
      </c>
    </row>
    <row r="170" spans="1:58" ht="14.25" hidden="1" customHeight="1">
      <c r="E170" s="459">
        <v>15</v>
      </c>
      <c r="F170" s="252" t="str" cm="1">
        <f t="array" aca="1" ref="F170" ca="1">OFFSET(E170,-1,1)</f>
        <v>1</v>
      </c>
      <c r="T170" s="351" t="b" cm="1">
        <f t="array" ref="T170">T169</f>
        <v>0</v>
      </c>
      <c r="X170" s="1024"/>
      <c r="Y170" s="1007"/>
      <c r="AB170" s="153" t="s">
        <v>706</v>
      </c>
      <c r="AC170" s="238" t="s">
        <v>707</v>
      </c>
      <c r="AD170" s="12" t="s">
        <v>585</v>
      </c>
      <c r="AE170" s="822"/>
      <c r="AF170" s="822"/>
      <c r="AG170" s="822"/>
      <c r="AH170" s="822"/>
      <c r="AI170" s="187"/>
      <c r="AJ170" s="187"/>
      <c r="AK170" s="187"/>
      <c r="AL170" s="822"/>
      <c r="AM170" s="822"/>
      <c r="AN170" s="822"/>
      <c r="AO170" s="822"/>
      <c r="AP170" s="822"/>
      <c r="AQ170" s="822"/>
      <c r="AR170" s="822"/>
      <c r="AS170" s="187"/>
      <c r="AT170" s="187"/>
      <c r="AU170" s="187"/>
      <c r="AV170" s="822"/>
      <c r="AW170" s="822"/>
      <c r="AX170" s="822"/>
      <c r="AY170" s="822"/>
      <c r="AZ170" s="822"/>
      <c r="BA170" s="822"/>
      <c r="BB170" s="822"/>
      <c r="BC170" s="823"/>
      <c r="BF170" s="669" t="s">
        <v>735</v>
      </c>
    </row>
    <row r="171" spans="1:58" ht="11.25" hidden="1" customHeight="1">
      <c r="A171" s="314"/>
      <c r="B171" s="477"/>
      <c r="C171" s="314"/>
      <c r="D171" s="314"/>
      <c r="E171" s="478" t="s">
        <v>362</v>
      </c>
      <c r="F171" s="764" t="str" cm="1">
        <f t="array" aca="1" ref="F171" ca="1">OFFSET(E171,-1,1)</f>
        <v>1</v>
      </c>
      <c r="G171" s="314"/>
      <c r="H171" s="314"/>
      <c r="I171"/>
      <c r="J171"/>
      <c r="L171" s="314"/>
      <c r="M171" s="314"/>
      <c r="N171" s="314"/>
      <c r="O171" s="314"/>
      <c r="T171" s="351" t="b">
        <v>0</v>
      </c>
      <c r="V171" s="314"/>
      <c r="X171" s="1024"/>
      <c r="Y171" s="1007"/>
      <c r="Z171" s="314"/>
      <c r="AA171" s="314"/>
      <c r="AB171"/>
      <c r="AC171" s="18"/>
      <c r="AD171" s="18"/>
      <c r="AE171" s="248"/>
      <c r="AF171" s="248"/>
      <c r="AG171" s="248"/>
      <c r="AH171" s="248"/>
      <c r="AI171" s="248"/>
      <c r="AJ171" s="249"/>
      <c r="AK171" s="248"/>
      <c r="AL171" s="248"/>
      <c r="AM171" s="248"/>
      <c r="AN171" s="248"/>
      <c r="AO171" s="248"/>
      <c r="AP171" s="248"/>
      <c r="AQ171" s="248"/>
      <c r="AR171" s="248"/>
      <c r="AS171" s="248"/>
      <c r="AT171" s="248"/>
      <c r="AU171" s="248"/>
      <c r="AV171" s="248"/>
      <c r="AW171" s="248"/>
      <c r="AX171" s="248"/>
      <c r="AY171" s="248"/>
      <c r="AZ171" s="248"/>
      <c r="BA171" s="248"/>
      <c r="BB171" s="248"/>
      <c r="BC171"/>
      <c r="BD171"/>
      <c r="BE171"/>
      <c r="BF171" s="659"/>
    </row>
    <row r="172" spans="1:58" ht="14.25" hidden="1" customHeight="1">
      <c r="E172" s="459">
        <v>15</v>
      </c>
      <c r="F172" s="3" t="str" cm="1">
        <f t="array" aca="1" ref="F172" ca="1">OFFSET(E172,-1,1)</f>
        <v>1</v>
      </c>
      <c r="R172" s="314" t="b" cm="1">
        <f t="array" ref="R172">INDEX('Общие сведения'!$AN$179:$AN$208,MATCH($X118,'Общие сведения'!$Z$179:$Z$208,0))</f>
        <v>0</v>
      </c>
      <c r="S172" s="314" t="b">
        <f>IF(ISERROR(SEARCH("Водоотведение",AB118)),FALSE,TRUE)</f>
        <v>0</v>
      </c>
      <c r="T172" s="351" t="b">
        <f>AND(X118&gt;0,S172,NOT(R172))</f>
        <v>0</v>
      </c>
      <c r="X172" s="1024"/>
      <c r="Y172" s="1007"/>
      <c r="AB172" s="153" t="s">
        <v>277</v>
      </c>
      <c r="AC172" s="53" t="s">
        <v>736</v>
      </c>
      <c r="AD172" s="110"/>
      <c r="AE172" s="413" t="str" cm="1">
        <f t="array" ref="AE172">INDEX('Общие сведения'!$AH$179:$AH$208,MATCH($X118,'Общие сведения'!$Z$179:$Z$208,0))</f>
        <v>питьевая вода</v>
      </c>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4"/>
      <c r="BC172" s="823"/>
      <c r="BF172" s="669" t="s">
        <v>737</v>
      </c>
    </row>
    <row r="173" spans="1:58" ht="14.25" hidden="1" customHeight="1">
      <c r="E173" s="459">
        <v>15</v>
      </c>
      <c r="F173" s="3" t="str" cm="1">
        <f t="array" aca="1" ref="F173" ca="1">OFFSET(E173,-1,1)</f>
        <v>1</v>
      </c>
      <c r="H173" s="17" t="s">
        <v>325</v>
      </c>
      <c r="T173" s="351" t="b" cm="1">
        <f t="array" ref="T173">T172</f>
        <v>0</v>
      </c>
      <c r="X173" s="1024"/>
      <c r="Y173" s="1007"/>
      <c r="AB173" s="153" t="s">
        <v>435</v>
      </c>
      <c r="AC173" s="53" t="s">
        <v>738</v>
      </c>
      <c r="AD173" s="12" t="s">
        <v>585</v>
      </c>
      <c r="AE173" s="250">
        <f t="shared" ref="AE173:BB173" si="42">AE174+AE175+AE188</f>
        <v>0</v>
      </c>
      <c r="AF173" s="250">
        <f t="shared" si="42"/>
        <v>0</v>
      </c>
      <c r="AG173" s="250">
        <f t="shared" si="42"/>
        <v>0</v>
      </c>
      <c r="AH173" s="250">
        <f t="shared" si="42"/>
        <v>0</v>
      </c>
      <c r="AI173" s="250">
        <f t="shared" si="42"/>
        <v>0</v>
      </c>
      <c r="AJ173" s="250">
        <f t="shared" si="42"/>
        <v>0</v>
      </c>
      <c r="AK173" s="250">
        <f t="shared" si="42"/>
        <v>0</v>
      </c>
      <c r="AL173" s="250">
        <f t="shared" si="42"/>
        <v>0</v>
      </c>
      <c r="AM173" s="250">
        <f t="shared" si="42"/>
        <v>0</v>
      </c>
      <c r="AN173" s="250">
        <f t="shared" si="42"/>
        <v>0</v>
      </c>
      <c r="AO173" s="250">
        <f t="shared" si="42"/>
        <v>0</v>
      </c>
      <c r="AP173" s="250">
        <f t="shared" si="42"/>
        <v>0</v>
      </c>
      <c r="AQ173" s="250">
        <f t="shared" si="42"/>
        <v>0</v>
      </c>
      <c r="AR173" s="250">
        <f t="shared" si="42"/>
        <v>0</v>
      </c>
      <c r="AS173" s="250">
        <f t="shared" si="42"/>
        <v>0</v>
      </c>
      <c r="AT173" s="250">
        <f t="shared" si="42"/>
        <v>0</v>
      </c>
      <c r="AU173" s="250">
        <f t="shared" si="42"/>
        <v>0</v>
      </c>
      <c r="AV173" s="250">
        <f t="shared" si="42"/>
        <v>0</v>
      </c>
      <c r="AW173" s="250">
        <f t="shared" si="42"/>
        <v>0</v>
      </c>
      <c r="AX173" s="250">
        <f t="shared" si="42"/>
        <v>0</v>
      </c>
      <c r="AY173" s="250">
        <f t="shared" si="42"/>
        <v>0</v>
      </c>
      <c r="AZ173" s="250">
        <f t="shared" si="42"/>
        <v>0</v>
      </c>
      <c r="BA173" s="250">
        <f t="shared" si="42"/>
        <v>0</v>
      </c>
      <c r="BB173" s="250">
        <f t="shared" si="42"/>
        <v>0</v>
      </c>
      <c r="BC173" s="823"/>
      <c r="BF173" s="669" t="s">
        <v>739</v>
      </c>
    </row>
    <row r="174" spans="1:58" ht="14.25" hidden="1" customHeight="1">
      <c r="E174" s="459">
        <v>15</v>
      </c>
      <c r="F174" s="3" t="str" cm="1">
        <f t="array" aca="1" ref="F174" ca="1">OFFSET(E174,-1,1)</f>
        <v>1</v>
      </c>
      <c r="G174" s="17" t="str">
        <f>IF(OwnNeedsInPO="да","ПО","")</f>
        <v/>
      </c>
      <c r="H174" s="17" t="s">
        <v>324</v>
      </c>
      <c r="T174" s="351" t="b" cm="1">
        <f t="array" ref="T174">T173</f>
        <v>0</v>
      </c>
      <c r="X174" s="1024"/>
      <c r="Y174" s="1007"/>
      <c r="AB174" s="153" t="s">
        <v>319</v>
      </c>
      <c r="AC174" s="53" t="s">
        <v>740</v>
      </c>
      <c r="AD174" s="12" t="s">
        <v>585</v>
      </c>
      <c r="AE174" s="822"/>
      <c r="AF174" s="822"/>
      <c r="AG174" s="822"/>
      <c r="AH174" s="822"/>
      <c r="AI174" s="187"/>
      <c r="AJ174" s="187"/>
      <c r="AK174" s="187"/>
      <c r="AL174" s="822"/>
      <c r="AM174" s="822"/>
      <c r="AN174" s="822"/>
      <c r="AO174" s="822"/>
      <c r="AP174" s="822"/>
      <c r="AQ174" s="822"/>
      <c r="AR174" s="822"/>
      <c r="AS174" s="187"/>
      <c r="AT174" s="187"/>
      <c r="AU174" s="187"/>
      <c r="AV174" s="822"/>
      <c r="AW174" s="822"/>
      <c r="AX174" s="822"/>
      <c r="AY174" s="822"/>
      <c r="AZ174" s="822"/>
      <c r="BA174" s="822"/>
      <c r="BB174" s="822"/>
      <c r="BC174" s="823"/>
      <c r="BF174" s="669" t="s">
        <v>741</v>
      </c>
    </row>
    <row r="175" spans="1:58" ht="14.25" hidden="1" customHeight="1">
      <c r="E175" s="459">
        <v>15</v>
      </c>
      <c r="F175" s="3" t="str" cm="1">
        <f t="array" aca="1" ref="F175" ca="1">OFFSET(E175,-1,1)</f>
        <v>1</v>
      </c>
      <c r="G175" s="17" t="s">
        <v>654</v>
      </c>
      <c r="H175" s="17" t="s">
        <v>557</v>
      </c>
      <c r="T175" s="351" t="b" cm="1">
        <f t="array" ref="T175">T174</f>
        <v>0</v>
      </c>
      <c r="X175" s="1024"/>
      <c r="Y175" s="1007"/>
      <c r="AB175" s="153" t="s">
        <v>438</v>
      </c>
      <c r="AC175" s="54" t="s">
        <v>742</v>
      </c>
      <c r="AD175" s="12" t="s">
        <v>585</v>
      </c>
      <c r="AE175" s="250">
        <f t="shared" ref="AE175:BB175" si="43">AE176+AE179+AE182+AE185</f>
        <v>0</v>
      </c>
      <c r="AF175" s="250">
        <f t="shared" si="43"/>
        <v>0</v>
      </c>
      <c r="AG175" s="250">
        <f t="shared" si="43"/>
        <v>0</v>
      </c>
      <c r="AH175" s="250">
        <f t="shared" si="43"/>
        <v>0</v>
      </c>
      <c r="AI175" s="250">
        <f t="shared" si="43"/>
        <v>0</v>
      </c>
      <c r="AJ175" s="250">
        <f t="shared" si="43"/>
        <v>0</v>
      </c>
      <c r="AK175" s="250">
        <f t="shared" si="43"/>
        <v>0</v>
      </c>
      <c r="AL175" s="250">
        <f t="shared" si="43"/>
        <v>0</v>
      </c>
      <c r="AM175" s="250">
        <f t="shared" si="43"/>
        <v>0</v>
      </c>
      <c r="AN175" s="250">
        <f t="shared" si="43"/>
        <v>0</v>
      </c>
      <c r="AO175" s="250">
        <f t="shared" si="43"/>
        <v>0</v>
      </c>
      <c r="AP175" s="250">
        <f t="shared" si="43"/>
        <v>0</v>
      </c>
      <c r="AQ175" s="250">
        <f t="shared" si="43"/>
        <v>0</v>
      </c>
      <c r="AR175" s="250">
        <f t="shared" si="43"/>
        <v>0</v>
      </c>
      <c r="AS175" s="250">
        <f t="shared" si="43"/>
        <v>0</v>
      </c>
      <c r="AT175" s="250">
        <f t="shared" si="43"/>
        <v>0</v>
      </c>
      <c r="AU175" s="250">
        <f t="shared" si="43"/>
        <v>0</v>
      </c>
      <c r="AV175" s="250">
        <f t="shared" si="43"/>
        <v>0</v>
      </c>
      <c r="AW175" s="250">
        <f t="shared" si="43"/>
        <v>0</v>
      </c>
      <c r="AX175" s="250">
        <f t="shared" si="43"/>
        <v>0</v>
      </c>
      <c r="AY175" s="250">
        <f t="shared" si="43"/>
        <v>0</v>
      </c>
      <c r="AZ175" s="250">
        <f t="shared" si="43"/>
        <v>0</v>
      </c>
      <c r="BA175" s="250">
        <f t="shared" si="43"/>
        <v>0</v>
      </c>
      <c r="BB175" s="250">
        <f t="shared" si="43"/>
        <v>0</v>
      </c>
      <c r="BC175" s="823"/>
      <c r="BF175" s="669" t="s">
        <v>743</v>
      </c>
    </row>
    <row r="176" spans="1:58" ht="14.25" hidden="1" customHeight="1">
      <c r="E176" s="459">
        <v>15</v>
      </c>
      <c r="F176" s="3" t="str" cm="1">
        <f t="array" aca="1" ref="F176" ca="1">OFFSET(E176,-1,1)</f>
        <v>1</v>
      </c>
      <c r="H176" s="17" t="s">
        <v>721</v>
      </c>
      <c r="T176" s="351" t="b" cm="1">
        <f t="array" ref="T176">T175</f>
        <v>0</v>
      </c>
      <c r="X176" s="1024"/>
      <c r="Y176" s="1007"/>
      <c r="AB176" s="153" t="s">
        <v>722</v>
      </c>
      <c r="AC176" s="105" t="s">
        <v>673</v>
      </c>
      <c r="AD176" s="12" t="s">
        <v>585</v>
      </c>
      <c r="AE176" s="250">
        <f t="shared" ref="AE176:BB176" si="44">AE177+AE178</f>
        <v>0</v>
      </c>
      <c r="AF176" s="250">
        <f t="shared" si="44"/>
        <v>0</v>
      </c>
      <c r="AG176" s="250">
        <f t="shared" si="44"/>
        <v>0</v>
      </c>
      <c r="AH176" s="250">
        <f t="shared" si="44"/>
        <v>0</v>
      </c>
      <c r="AI176" s="250">
        <f t="shared" si="44"/>
        <v>0</v>
      </c>
      <c r="AJ176" s="250">
        <f t="shared" si="44"/>
        <v>0</v>
      </c>
      <c r="AK176" s="250">
        <f t="shared" si="44"/>
        <v>0</v>
      </c>
      <c r="AL176" s="250">
        <f t="shared" si="44"/>
        <v>0</v>
      </c>
      <c r="AM176" s="250">
        <f t="shared" si="44"/>
        <v>0</v>
      </c>
      <c r="AN176" s="250">
        <f t="shared" si="44"/>
        <v>0</v>
      </c>
      <c r="AO176" s="250">
        <f t="shared" si="44"/>
        <v>0</v>
      </c>
      <c r="AP176" s="250">
        <f t="shared" si="44"/>
        <v>0</v>
      </c>
      <c r="AQ176" s="250">
        <f t="shared" si="44"/>
        <v>0</v>
      </c>
      <c r="AR176" s="250">
        <f t="shared" si="44"/>
        <v>0</v>
      </c>
      <c r="AS176" s="250">
        <f t="shared" si="44"/>
        <v>0</v>
      </c>
      <c r="AT176" s="250">
        <f t="shared" si="44"/>
        <v>0</v>
      </c>
      <c r="AU176" s="250">
        <f t="shared" si="44"/>
        <v>0</v>
      </c>
      <c r="AV176" s="250">
        <f t="shared" si="44"/>
        <v>0</v>
      </c>
      <c r="AW176" s="250">
        <f t="shared" si="44"/>
        <v>0</v>
      </c>
      <c r="AX176" s="250">
        <f t="shared" si="44"/>
        <v>0</v>
      </c>
      <c r="AY176" s="250">
        <f t="shared" si="44"/>
        <v>0</v>
      </c>
      <c r="AZ176" s="250">
        <f t="shared" si="44"/>
        <v>0</v>
      </c>
      <c r="BA176" s="250">
        <f t="shared" si="44"/>
        <v>0</v>
      </c>
      <c r="BB176" s="250">
        <f t="shared" si="44"/>
        <v>0</v>
      </c>
      <c r="BC176" s="823"/>
      <c r="BF176" s="669" t="s">
        <v>744</v>
      </c>
    </row>
    <row r="177" spans="5:58" ht="14.25" hidden="1" customHeight="1">
      <c r="E177" s="459">
        <v>15</v>
      </c>
      <c r="F177" s="3" t="str" cm="1">
        <f t="array" aca="1" ref="F177" ca="1">OFFSET(E177,-1,1)</f>
        <v>1</v>
      </c>
      <c r="H177" s="17" t="s">
        <v>745</v>
      </c>
      <c r="T177" s="351" t="b" cm="1">
        <f t="array" ref="T177">T176</f>
        <v>0</v>
      </c>
      <c r="X177" s="1024"/>
      <c r="Y177" s="1007"/>
      <c r="AB177" s="153" t="s">
        <v>746</v>
      </c>
      <c r="AC177" s="242" t="s">
        <v>661</v>
      </c>
      <c r="AD177" s="12" t="s">
        <v>585</v>
      </c>
      <c r="AE177" s="822"/>
      <c r="AF177" s="822"/>
      <c r="AG177" s="822"/>
      <c r="AH177" s="822"/>
      <c r="AI177" s="187"/>
      <c r="AJ177" s="187"/>
      <c r="AK177" s="187"/>
      <c r="AL177" s="822"/>
      <c r="AM177" s="822"/>
      <c r="AN177" s="822"/>
      <c r="AO177" s="822"/>
      <c r="AP177" s="822"/>
      <c r="AQ177" s="822"/>
      <c r="AR177" s="822"/>
      <c r="AS177" s="187"/>
      <c r="AT177" s="187"/>
      <c r="AU177" s="187"/>
      <c r="AV177" s="822"/>
      <c r="AW177" s="822"/>
      <c r="AX177" s="822"/>
      <c r="AY177" s="822"/>
      <c r="AZ177" s="822"/>
      <c r="BA177" s="822"/>
      <c r="BB177" s="822"/>
      <c r="BC177" s="823"/>
      <c r="BF177" s="669" t="s">
        <v>747</v>
      </c>
    </row>
    <row r="178" spans="5:58" ht="14.25" hidden="1" customHeight="1">
      <c r="E178" s="459">
        <v>15</v>
      </c>
      <c r="F178" s="3" t="str" cm="1">
        <f t="array" aca="1" ref="F178" ca="1">OFFSET(E178,-1,1)</f>
        <v>1</v>
      </c>
      <c r="H178" s="17" t="s">
        <v>748</v>
      </c>
      <c r="T178" s="351" t="b" cm="1">
        <f t="array" ref="T178">T177</f>
        <v>0</v>
      </c>
      <c r="X178" s="1024"/>
      <c r="Y178" s="1007"/>
      <c r="AB178" s="153" t="s">
        <v>749</v>
      </c>
      <c r="AC178" s="242" t="s">
        <v>665</v>
      </c>
      <c r="AD178" s="12" t="s">
        <v>585</v>
      </c>
      <c r="AE178" s="822"/>
      <c r="AF178" s="822"/>
      <c r="AG178" s="822"/>
      <c r="AH178" s="822"/>
      <c r="AI178" s="187"/>
      <c r="AJ178" s="187"/>
      <c r="AK178" s="187"/>
      <c r="AL178" s="822"/>
      <c r="AM178" s="822"/>
      <c r="AN178" s="822"/>
      <c r="AO178" s="822"/>
      <c r="AP178" s="822"/>
      <c r="AQ178" s="822"/>
      <c r="AR178" s="822"/>
      <c r="AS178" s="187"/>
      <c r="AT178" s="187"/>
      <c r="AU178" s="187"/>
      <c r="AV178" s="822"/>
      <c r="AW178" s="822"/>
      <c r="AX178" s="822"/>
      <c r="AY178" s="822"/>
      <c r="AZ178" s="822"/>
      <c r="BA178" s="822"/>
      <c r="BB178" s="822"/>
      <c r="BC178" s="823"/>
      <c r="BF178" s="669" t="s">
        <v>750</v>
      </c>
    </row>
    <row r="179" spans="5:58" ht="14.25" hidden="1" customHeight="1">
      <c r="E179" s="459">
        <v>15</v>
      </c>
      <c r="F179" s="3" t="str" cm="1">
        <f t="array" aca="1" ref="F179" ca="1">OFFSET(E179,-1,1)</f>
        <v>1</v>
      </c>
      <c r="G179" s="17" t="s">
        <v>681</v>
      </c>
      <c r="H179" s="17" t="s">
        <v>724</v>
      </c>
      <c r="T179" s="351" t="b" cm="1">
        <f t="array" ref="T179">T178</f>
        <v>0</v>
      </c>
      <c r="X179" s="1024"/>
      <c r="Y179" s="1007"/>
      <c r="AB179" s="153" t="s">
        <v>725</v>
      </c>
      <c r="AC179" s="105" t="s">
        <v>684</v>
      </c>
      <c r="AD179" s="12" t="s">
        <v>585</v>
      </c>
      <c r="AE179" s="250">
        <f t="shared" ref="AE179:BB179" si="45">AE180+AE181</f>
        <v>0</v>
      </c>
      <c r="AF179" s="250">
        <f t="shared" si="45"/>
        <v>0</v>
      </c>
      <c r="AG179" s="250">
        <f t="shared" si="45"/>
        <v>0</v>
      </c>
      <c r="AH179" s="250">
        <f t="shared" si="45"/>
        <v>0</v>
      </c>
      <c r="AI179" s="250">
        <f t="shared" si="45"/>
        <v>0</v>
      </c>
      <c r="AJ179" s="250">
        <f t="shared" si="45"/>
        <v>0</v>
      </c>
      <c r="AK179" s="250">
        <f t="shared" si="45"/>
        <v>0</v>
      </c>
      <c r="AL179" s="250">
        <f t="shared" si="45"/>
        <v>0</v>
      </c>
      <c r="AM179" s="250">
        <f t="shared" si="45"/>
        <v>0</v>
      </c>
      <c r="AN179" s="250">
        <f t="shared" si="45"/>
        <v>0</v>
      </c>
      <c r="AO179" s="250">
        <f t="shared" si="45"/>
        <v>0</v>
      </c>
      <c r="AP179" s="250">
        <f t="shared" si="45"/>
        <v>0</v>
      </c>
      <c r="AQ179" s="250">
        <f t="shared" si="45"/>
        <v>0</v>
      </c>
      <c r="AR179" s="250">
        <f t="shared" si="45"/>
        <v>0</v>
      </c>
      <c r="AS179" s="250">
        <f t="shared" si="45"/>
        <v>0</v>
      </c>
      <c r="AT179" s="250">
        <f t="shared" si="45"/>
        <v>0</v>
      </c>
      <c r="AU179" s="250">
        <f t="shared" si="45"/>
        <v>0</v>
      </c>
      <c r="AV179" s="250">
        <f t="shared" si="45"/>
        <v>0</v>
      </c>
      <c r="AW179" s="250">
        <f t="shared" si="45"/>
        <v>0</v>
      </c>
      <c r="AX179" s="250">
        <f t="shared" si="45"/>
        <v>0</v>
      </c>
      <c r="AY179" s="250">
        <f t="shared" si="45"/>
        <v>0</v>
      </c>
      <c r="AZ179" s="250">
        <f t="shared" si="45"/>
        <v>0</v>
      </c>
      <c r="BA179" s="250">
        <f t="shared" si="45"/>
        <v>0</v>
      </c>
      <c r="BB179" s="250">
        <f t="shared" si="45"/>
        <v>0</v>
      </c>
      <c r="BC179" s="823"/>
      <c r="BF179" s="669" t="s">
        <v>751</v>
      </c>
    </row>
    <row r="180" spans="5:58" ht="14.25" hidden="1" customHeight="1">
      <c r="E180" s="459">
        <v>15</v>
      </c>
      <c r="F180" s="3" t="str" cm="1">
        <f t="array" aca="1" ref="F180" ca="1">OFFSET(E180,-1,1)</f>
        <v>1</v>
      </c>
      <c r="H180" s="17" t="s">
        <v>752</v>
      </c>
      <c r="T180" s="351" t="b" cm="1">
        <f t="array" ref="T180">T179</f>
        <v>0</v>
      </c>
      <c r="X180" s="1024"/>
      <c r="Y180" s="1007"/>
      <c r="AB180" s="153" t="s">
        <v>753</v>
      </c>
      <c r="AC180" s="242" t="s">
        <v>661</v>
      </c>
      <c r="AD180" s="12" t="s">
        <v>585</v>
      </c>
      <c r="AE180" s="822"/>
      <c r="AF180" s="822"/>
      <c r="AG180" s="822"/>
      <c r="AH180" s="822"/>
      <c r="AI180" s="187"/>
      <c r="AJ180" s="187"/>
      <c r="AK180" s="187"/>
      <c r="AL180" s="822"/>
      <c r="AM180" s="822"/>
      <c r="AN180" s="822"/>
      <c r="AO180" s="822"/>
      <c r="AP180" s="822"/>
      <c r="AQ180" s="822"/>
      <c r="AR180" s="822"/>
      <c r="AS180" s="187"/>
      <c r="AT180" s="187"/>
      <c r="AU180" s="187"/>
      <c r="AV180" s="822"/>
      <c r="AW180" s="822"/>
      <c r="AX180" s="822"/>
      <c r="AY180" s="822"/>
      <c r="AZ180" s="822"/>
      <c r="BA180" s="822"/>
      <c r="BB180" s="822"/>
      <c r="BC180" s="823"/>
      <c r="BF180" s="669" t="s">
        <v>754</v>
      </c>
    </row>
    <row r="181" spans="5:58" ht="14.25" hidden="1" customHeight="1">
      <c r="E181" s="459">
        <v>15</v>
      </c>
      <c r="F181" s="3" t="str" cm="1">
        <f t="array" aca="1" ref="F181" ca="1">OFFSET(E181,-1,1)</f>
        <v>1</v>
      </c>
      <c r="H181" s="17" t="s">
        <v>755</v>
      </c>
      <c r="T181" s="351" t="b" cm="1">
        <f t="array" ref="T181">T180</f>
        <v>0</v>
      </c>
      <c r="X181" s="1024"/>
      <c r="Y181" s="1007"/>
      <c r="AB181" s="153" t="s">
        <v>756</v>
      </c>
      <c r="AC181" s="242" t="s">
        <v>665</v>
      </c>
      <c r="AD181" s="12" t="s">
        <v>585</v>
      </c>
      <c r="AE181" s="822"/>
      <c r="AF181" s="822"/>
      <c r="AG181" s="822"/>
      <c r="AH181" s="822"/>
      <c r="AI181" s="187"/>
      <c r="AJ181" s="187"/>
      <c r="AK181" s="187"/>
      <c r="AL181" s="822"/>
      <c r="AM181" s="822"/>
      <c r="AN181" s="822"/>
      <c r="AO181" s="822"/>
      <c r="AP181" s="822"/>
      <c r="AQ181" s="822"/>
      <c r="AR181" s="822"/>
      <c r="AS181" s="187"/>
      <c r="AT181" s="187"/>
      <c r="AU181" s="187"/>
      <c r="AV181" s="822"/>
      <c r="AW181" s="822"/>
      <c r="AX181" s="822"/>
      <c r="AY181" s="822"/>
      <c r="AZ181" s="822"/>
      <c r="BA181" s="822"/>
      <c r="BB181" s="822"/>
      <c r="BC181" s="823"/>
      <c r="BF181" s="669" t="s">
        <v>757</v>
      </c>
    </row>
    <row r="182" spans="5:58" ht="14.25" hidden="1" customHeight="1">
      <c r="E182" s="459">
        <v>15</v>
      </c>
      <c r="F182" s="3" t="str" cm="1">
        <f t="array" aca="1" ref="F182" ca="1">OFFSET(E182,-1,1)</f>
        <v>1</v>
      </c>
      <c r="H182" s="17" t="s">
        <v>758</v>
      </c>
      <c r="T182" s="351" t="b" cm="1">
        <f t="array" ref="T182">T181</f>
        <v>0</v>
      </c>
      <c r="X182" s="1024"/>
      <c r="Y182" s="1007"/>
      <c r="AB182" s="153" t="s">
        <v>759</v>
      </c>
      <c r="AC182" s="105" t="s">
        <v>694</v>
      </c>
      <c r="AD182" s="12" t="s">
        <v>585</v>
      </c>
      <c r="AE182" s="250">
        <f t="shared" ref="AE182:BB182" si="46">AE183+AE184</f>
        <v>0</v>
      </c>
      <c r="AF182" s="250">
        <f t="shared" si="46"/>
        <v>0</v>
      </c>
      <c r="AG182" s="250">
        <f t="shared" si="46"/>
        <v>0</v>
      </c>
      <c r="AH182" s="250">
        <f t="shared" si="46"/>
        <v>0</v>
      </c>
      <c r="AI182" s="250">
        <f t="shared" si="46"/>
        <v>0</v>
      </c>
      <c r="AJ182" s="250">
        <f t="shared" si="46"/>
        <v>0</v>
      </c>
      <c r="AK182" s="250">
        <f t="shared" si="46"/>
        <v>0</v>
      </c>
      <c r="AL182" s="250">
        <f t="shared" si="46"/>
        <v>0</v>
      </c>
      <c r="AM182" s="250">
        <f t="shared" si="46"/>
        <v>0</v>
      </c>
      <c r="AN182" s="250">
        <f t="shared" si="46"/>
        <v>0</v>
      </c>
      <c r="AO182" s="250">
        <f t="shared" si="46"/>
        <v>0</v>
      </c>
      <c r="AP182" s="250">
        <f t="shared" si="46"/>
        <v>0</v>
      </c>
      <c r="AQ182" s="250">
        <f t="shared" si="46"/>
        <v>0</v>
      </c>
      <c r="AR182" s="250">
        <f t="shared" si="46"/>
        <v>0</v>
      </c>
      <c r="AS182" s="250">
        <f t="shared" si="46"/>
        <v>0</v>
      </c>
      <c r="AT182" s="250">
        <f t="shared" si="46"/>
        <v>0</v>
      </c>
      <c r="AU182" s="250">
        <f t="shared" si="46"/>
        <v>0</v>
      </c>
      <c r="AV182" s="250">
        <f t="shared" si="46"/>
        <v>0</v>
      </c>
      <c r="AW182" s="250">
        <f t="shared" si="46"/>
        <v>0</v>
      </c>
      <c r="AX182" s="250">
        <f t="shared" si="46"/>
        <v>0</v>
      </c>
      <c r="AY182" s="250">
        <f t="shared" si="46"/>
        <v>0</v>
      </c>
      <c r="AZ182" s="250">
        <f t="shared" si="46"/>
        <v>0</v>
      </c>
      <c r="BA182" s="250">
        <f t="shared" si="46"/>
        <v>0</v>
      </c>
      <c r="BB182" s="250">
        <f t="shared" si="46"/>
        <v>0</v>
      </c>
      <c r="BC182" s="823"/>
      <c r="BF182" s="669" t="s">
        <v>760</v>
      </c>
    </row>
    <row r="183" spans="5:58" ht="14.25" hidden="1" customHeight="1">
      <c r="E183" s="459">
        <v>15</v>
      </c>
      <c r="F183" s="3" t="str" cm="1">
        <f t="array" aca="1" ref="F183" ca="1">OFFSET(E183,-1,1)</f>
        <v>1</v>
      </c>
      <c r="H183" s="17" t="s">
        <v>761</v>
      </c>
      <c r="T183" s="351" t="b" cm="1">
        <f t="array" ref="T183">T182</f>
        <v>0</v>
      </c>
      <c r="X183" s="1024"/>
      <c r="Y183" s="1007"/>
      <c r="AB183" s="153" t="s">
        <v>762</v>
      </c>
      <c r="AC183" s="242" t="s">
        <v>661</v>
      </c>
      <c r="AD183" s="12" t="s">
        <v>585</v>
      </c>
      <c r="AE183" s="822"/>
      <c r="AF183" s="822"/>
      <c r="AG183" s="822"/>
      <c r="AH183" s="822"/>
      <c r="AI183" s="187"/>
      <c r="AJ183" s="187"/>
      <c r="AK183" s="187"/>
      <c r="AL183" s="822"/>
      <c r="AM183" s="822"/>
      <c r="AN183" s="822"/>
      <c r="AO183" s="822"/>
      <c r="AP183" s="822"/>
      <c r="AQ183" s="822"/>
      <c r="AR183" s="822"/>
      <c r="AS183" s="187"/>
      <c r="AT183" s="187"/>
      <c r="AU183" s="187"/>
      <c r="AV183" s="822"/>
      <c r="AW183" s="822"/>
      <c r="AX183" s="822"/>
      <c r="AY183" s="822"/>
      <c r="AZ183" s="822"/>
      <c r="BA183" s="822"/>
      <c r="BB183" s="822"/>
      <c r="BC183" s="823"/>
      <c r="BF183" s="669" t="s">
        <v>763</v>
      </c>
    </row>
    <row r="184" spans="5:58" ht="14.25" hidden="1" customHeight="1">
      <c r="E184" s="459">
        <v>15</v>
      </c>
      <c r="F184" s="3" t="str" cm="1">
        <f t="array" aca="1" ref="F184" ca="1">OFFSET(E184,-1,1)</f>
        <v>1</v>
      </c>
      <c r="H184" s="17" t="s">
        <v>764</v>
      </c>
      <c r="T184" s="351" t="b" cm="1">
        <f t="array" ref="T184">T183</f>
        <v>0</v>
      </c>
      <c r="X184" s="1024"/>
      <c r="Y184" s="1007"/>
      <c r="AB184" s="153" t="s">
        <v>765</v>
      </c>
      <c r="AC184" s="242" t="s">
        <v>665</v>
      </c>
      <c r="AD184" s="12" t="s">
        <v>585</v>
      </c>
      <c r="AE184" s="822"/>
      <c r="AF184" s="822"/>
      <c r="AG184" s="822"/>
      <c r="AH184" s="822"/>
      <c r="AI184" s="187"/>
      <c r="AJ184" s="187"/>
      <c r="AK184" s="187"/>
      <c r="AL184" s="822"/>
      <c r="AM184" s="822"/>
      <c r="AN184" s="822"/>
      <c r="AO184" s="822"/>
      <c r="AP184" s="822"/>
      <c r="AQ184" s="822"/>
      <c r="AR184" s="822"/>
      <c r="AS184" s="187"/>
      <c r="AT184" s="187"/>
      <c r="AU184" s="187"/>
      <c r="AV184" s="822"/>
      <c r="AW184" s="822"/>
      <c r="AX184" s="822"/>
      <c r="AY184" s="822"/>
      <c r="AZ184" s="822"/>
      <c r="BA184" s="822"/>
      <c r="BB184" s="822"/>
      <c r="BC184" s="823"/>
      <c r="BF184" s="669" t="s">
        <v>766</v>
      </c>
    </row>
    <row r="185" spans="5:58" ht="14.25" hidden="1" customHeight="1">
      <c r="E185" s="459">
        <v>15</v>
      </c>
      <c r="F185" s="3" t="str" cm="1">
        <f t="array" aca="1" ref="F185" ca="1">OFFSET(E185,-1,1)</f>
        <v>1</v>
      </c>
      <c r="H185" s="17" t="s">
        <v>767</v>
      </c>
      <c r="T185" s="351" t="b" cm="1">
        <f t="array" ref="T185">T184</f>
        <v>0</v>
      </c>
      <c r="X185" s="1024"/>
      <c r="Y185" s="1007"/>
      <c r="AB185" s="153" t="s">
        <v>768</v>
      </c>
      <c r="AC185" s="105" t="s">
        <v>769</v>
      </c>
      <c r="AD185" s="12" t="s">
        <v>585</v>
      </c>
      <c r="AE185" s="250">
        <f t="shared" ref="AE185:BB185" si="47">AE186+AE187</f>
        <v>0</v>
      </c>
      <c r="AF185" s="250">
        <f t="shared" si="47"/>
        <v>0</v>
      </c>
      <c r="AG185" s="250">
        <f t="shared" si="47"/>
        <v>0</v>
      </c>
      <c r="AH185" s="250">
        <f t="shared" si="47"/>
        <v>0</v>
      </c>
      <c r="AI185" s="250">
        <f t="shared" si="47"/>
        <v>0</v>
      </c>
      <c r="AJ185" s="250">
        <f t="shared" si="47"/>
        <v>0</v>
      </c>
      <c r="AK185" s="250">
        <f t="shared" si="47"/>
        <v>0</v>
      </c>
      <c r="AL185" s="250">
        <f t="shared" si="47"/>
        <v>0</v>
      </c>
      <c r="AM185" s="250">
        <f t="shared" si="47"/>
        <v>0</v>
      </c>
      <c r="AN185" s="250">
        <f t="shared" si="47"/>
        <v>0</v>
      </c>
      <c r="AO185" s="250">
        <f t="shared" si="47"/>
        <v>0</v>
      </c>
      <c r="AP185" s="250">
        <f t="shared" si="47"/>
        <v>0</v>
      </c>
      <c r="AQ185" s="250">
        <f t="shared" si="47"/>
        <v>0</v>
      </c>
      <c r="AR185" s="250">
        <f t="shared" si="47"/>
        <v>0</v>
      </c>
      <c r="AS185" s="250">
        <f t="shared" si="47"/>
        <v>0</v>
      </c>
      <c r="AT185" s="250">
        <f t="shared" si="47"/>
        <v>0</v>
      </c>
      <c r="AU185" s="250">
        <f t="shared" si="47"/>
        <v>0</v>
      </c>
      <c r="AV185" s="250">
        <f t="shared" si="47"/>
        <v>0</v>
      </c>
      <c r="AW185" s="250">
        <f t="shared" si="47"/>
        <v>0</v>
      </c>
      <c r="AX185" s="250">
        <f t="shared" si="47"/>
        <v>0</v>
      </c>
      <c r="AY185" s="250">
        <f t="shared" si="47"/>
        <v>0</v>
      </c>
      <c r="AZ185" s="250">
        <f t="shared" si="47"/>
        <v>0</v>
      </c>
      <c r="BA185" s="250">
        <f t="shared" si="47"/>
        <v>0</v>
      </c>
      <c r="BB185" s="250">
        <f t="shared" si="47"/>
        <v>0</v>
      </c>
      <c r="BC185" s="823"/>
      <c r="BF185" s="669" t="s">
        <v>770</v>
      </c>
    </row>
    <row r="186" spans="5:58" ht="14.25" hidden="1" customHeight="1">
      <c r="E186" s="459">
        <v>15</v>
      </c>
      <c r="F186" s="3" t="str" cm="1">
        <f t="array" aca="1" ref="F186" ca="1">OFFSET(E186,-1,1)</f>
        <v>1</v>
      </c>
      <c r="H186" s="17" t="s">
        <v>771</v>
      </c>
      <c r="T186" s="351" t="b" cm="1">
        <f t="array" ref="T186">T185</f>
        <v>0</v>
      </c>
      <c r="X186" s="1024"/>
      <c r="Y186" s="1007"/>
      <c r="AB186" s="153" t="s">
        <v>772</v>
      </c>
      <c r="AC186" s="236" t="s">
        <v>661</v>
      </c>
      <c r="AD186" s="12" t="s">
        <v>585</v>
      </c>
      <c r="AE186" s="822"/>
      <c r="AF186" s="822"/>
      <c r="AG186" s="822"/>
      <c r="AH186" s="822"/>
      <c r="AI186" s="187"/>
      <c r="AJ186" s="187"/>
      <c r="AK186" s="187"/>
      <c r="AL186" s="822"/>
      <c r="AM186" s="822"/>
      <c r="AN186" s="822"/>
      <c r="AO186" s="822"/>
      <c r="AP186" s="822"/>
      <c r="AQ186" s="822"/>
      <c r="AR186" s="822"/>
      <c r="AS186" s="187"/>
      <c r="AT186" s="187"/>
      <c r="AU186" s="187"/>
      <c r="AV186" s="822"/>
      <c r="AW186" s="822"/>
      <c r="AX186" s="822"/>
      <c r="AY186" s="822"/>
      <c r="AZ186" s="822"/>
      <c r="BA186" s="822"/>
      <c r="BB186" s="822"/>
      <c r="BC186" s="823"/>
      <c r="BF186" s="669" t="s">
        <v>773</v>
      </c>
    </row>
    <row r="187" spans="5:58" ht="14.25" hidden="1" customHeight="1">
      <c r="E187" s="459">
        <v>15</v>
      </c>
      <c r="F187" s="3" t="str" cm="1">
        <f t="array" aca="1" ref="F187" ca="1">OFFSET(E187,-1,1)</f>
        <v>1</v>
      </c>
      <c r="H187" s="17" t="s">
        <v>774</v>
      </c>
      <c r="T187" s="351" t="b" cm="1">
        <f t="array" ref="T187">T186</f>
        <v>0</v>
      </c>
      <c r="X187" s="1024"/>
      <c r="Y187" s="1007"/>
      <c r="AB187" s="153" t="s">
        <v>775</v>
      </c>
      <c r="AC187" s="236" t="s">
        <v>665</v>
      </c>
      <c r="AD187" s="12" t="s">
        <v>585</v>
      </c>
      <c r="AE187" s="822"/>
      <c r="AF187" s="822"/>
      <c r="AG187" s="822"/>
      <c r="AH187" s="822"/>
      <c r="AI187" s="187"/>
      <c r="AJ187" s="187"/>
      <c r="AK187" s="187"/>
      <c r="AL187" s="822"/>
      <c r="AM187" s="822"/>
      <c r="AN187" s="822"/>
      <c r="AO187" s="822"/>
      <c r="AP187" s="822"/>
      <c r="AQ187" s="822"/>
      <c r="AR187" s="822"/>
      <c r="AS187" s="187"/>
      <c r="AT187" s="187"/>
      <c r="AU187" s="187"/>
      <c r="AV187" s="822"/>
      <c r="AW187" s="822"/>
      <c r="AX187" s="822"/>
      <c r="AY187" s="822"/>
      <c r="AZ187" s="822"/>
      <c r="BA187" s="822"/>
      <c r="BB187" s="822"/>
      <c r="BC187" s="823"/>
      <c r="BF187" s="669" t="s">
        <v>776</v>
      </c>
    </row>
    <row r="188" spans="5:58" ht="21.75" hidden="1" customHeight="1">
      <c r="E188" s="459">
        <v>22.5</v>
      </c>
      <c r="F188" s="3" t="str" cm="1">
        <f t="array" aca="1" ref="F188" ca="1">OFFSET(E188,-1,1)</f>
        <v>1</v>
      </c>
      <c r="H188" s="17" t="s">
        <v>777</v>
      </c>
      <c r="T188" s="351" t="b" cm="1">
        <f t="array" ref="T188">T187</f>
        <v>0</v>
      </c>
      <c r="X188" s="1024"/>
      <c r="Y188" s="1007"/>
      <c r="AB188" s="153" t="s">
        <v>778</v>
      </c>
      <c r="AC188" s="243" t="s">
        <v>626</v>
      </c>
      <c r="AD188" s="12" t="s">
        <v>585</v>
      </c>
      <c r="AE188" s="822"/>
      <c r="AF188" s="822"/>
      <c r="AG188" s="822"/>
      <c r="AH188" s="822"/>
      <c r="AI188" s="187"/>
      <c r="AJ188" s="187"/>
      <c r="AK188" s="187"/>
      <c r="AL188" s="822"/>
      <c r="AM188" s="822"/>
      <c r="AN188" s="822"/>
      <c r="AO188" s="822"/>
      <c r="AP188" s="822"/>
      <c r="AQ188" s="822"/>
      <c r="AR188" s="822"/>
      <c r="AS188" s="187"/>
      <c r="AT188" s="187"/>
      <c r="AU188" s="187"/>
      <c r="AV188" s="822"/>
      <c r="AW188" s="822"/>
      <c r="AX188" s="822"/>
      <c r="AY188" s="822"/>
      <c r="AZ188" s="822"/>
      <c r="BA188" s="822"/>
      <c r="BB188" s="822"/>
      <c r="BC188" s="823"/>
      <c r="BF188" s="669" t="s">
        <v>779</v>
      </c>
    </row>
    <row r="189" spans="5:58" ht="14.25" hidden="1" customHeight="1">
      <c r="E189" s="459">
        <v>15</v>
      </c>
      <c r="F189" s="3" t="str" cm="1">
        <f t="array" aca="1" ref="F189" ca="1">OFFSET(E189,-1,1)</f>
        <v>1</v>
      </c>
      <c r="H189" s="17" t="s">
        <v>560</v>
      </c>
      <c r="T189" s="351" t="b" cm="1">
        <f t="array" ref="T189">T188</f>
        <v>0</v>
      </c>
      <c r="X189" s="1024"/>
      <c r="Y189" s="1007"/>
      <c r="AB189" s="153" t="s">
        <v>440</v>
      </c>
      <c r="AC189" s="53" t="s">
        <v>780</v>
      </c>
      <c r="AD189" s="12" t="s">
        <v>585</v>
      </c>
      <c r="AE189" s="822"/>
      <c r="AF189" s="822"/>
      <c r="AG189" s="822"/>
      <c r="AH189" s="822"/>
      <c r="AI189" s="187"/>
      <c r="AJ189" s="187"/>
      <c r="AK189" s="187"/>
      <c r="AL189" s="822"/>
      <c r="AM189" s="822"/>
      <c r="AN189" s="822"/>
      <c r="AO189" s="822"/>
      <c r="AP189" s="822"/>
      <c r="AQ189" s="822"/>
      <c r="AR189" s="822"/>
      <c r="AS189" s="187"/>
      <c r="AT189" s="187"/>
      <c r="AU189" s="187"/>
      <c r="AV189" s="822"/>
      <c r="AW189" s="822"/>
      <c r="AX189" s="822"/>
      <c r="AY189" s="822"/>
      <c r="AZ189" s="822"/>
      <c r="BA189" s="822"/>
      <c r="BB189" s="822"/>
      <c r="BC189" s="823"/>
      <c r="BF189" s="669" t="s">
        <v>781</v>
      </c>
    </row>
    <row r="190" spans="5:58" ht="14.25" hidden="1" customHeight="1">
      <c r="E190" s="459">
        <v>15</v>
      </c>
      <c r="F190" s="3" t="str" cm="1">
        <f t="array" aca="1" ref="F190" ca="1">OFFSET(E190,-1,1)</f>
        <v>1</v>
      </c>
      <c r="H190" s="17" t="s">
        <v>613</v>
      </c>
      <c r="T190" s="351" t="b" cm="1">
        <f t="array" ref="T190">T189</f>
        <v>0</v>
      </c>
      <c r="X190" s="1024"/>
      <c r="Y190" s="1007"/>
      <c r="AB190" s="153" t="s">
        <v>442</v>
      </c>
      <c r="AC190" s="53" t="s">
        <v>782</v>
      </c>
      <c r="AD190" s="12" t="s">
        <v>585</v>
      </c>
      <c r="AE190" s="822"/>
      <c r="AF190" s="822"/>
      <c r="AG190" s="822"/>
      <c r="AH190" s="822"/>
      <c r="AI190" s="187"/>
      <c r="AJ190" s="187"/>
      <c r="AK190" s="187"/>
      <c r="AL190" s="822"/>
      <c r="AM190" s="822"/>
      <c r="AN190" s="822"/>
      <c r="AO190" s="822"/>
      <c r="AP190" s="822"/>
      <c r="AQ190" s="822"/>
      <c r="AR190" s="822"/>
      <c r="AS190" s="187"/>
      <c r="AT190" s="187"/>
      <c r="AU190" s="187"/>
      <c r="AV190" s="822"/>
      <c r="AW190" s="822"/>
      <c r="AX190" s="822"/>
      <c r="AY190" s="822"/>
      <c r="AZ190" s="822"/>
      <c r="BA190" s="822"/>
      <c r="BB190" s="822"/>
      <c r="BC190" s="823"/>
      <c r="BF190" s="669" t="s">
        <v>783</v>
      </c>
    </row>
    <row r="191" spans="5:58" ht="14.25" hidden="1" customHeight="1">
      <c r="E191" s="459">
        <v>15</v>
      </c>
      <c r="F191" s="3" t="str" cm="1">
        <f t="array" aca="1" ref="F191" ca="1">OFFSET(E191,-1,1)</f>
        <v>1</v>
      </c>
      <c r="H191" s="17" t="s">
        <v>628</v>
      </c>
      <c r="T191" s="351" t="b" cm="1">
        <f t="array" ref="T191">T190</f>
        <v>0</v>
      </c>
      <c r="X191" s="1024"/>
      <c r="Y191" s="1007"/>
      <c r="AB191" s="153" t="s">
        <v>444</v>
      </c>
      <c r="AC191" s="53" t="s">
        <v>784</v>
      </c>
      <c r="AD191" s="12" t="s">
        <v>585</v>
      </c>
      <c r="AE191" s="822"/>
      <c r="AF191" s="822"/>
      <c r="AG191" s="822"/>
      <c r="AH191" s="822"/>
      <c r="AI191" s="187"/>
      <c r="AJ191" s="187"/>
      <c r="AK191" s="187"/>
      <c r="AL191" s="822"/>
      <c r="AM191" s="822"/>
      <c r="AN191" s="822"/>
      <c r="AO191" s="822"/>
      <c r="AP191" s="822"/>
      <c r="AQ191" s="822"/>
      <c r="AR191" s="822"/>
      <c r="AS191" s="187"/>
      <c r="AT191" s="187"/>
      <c r="AU191" s="187"/>
      <c r="AV191" s="822"/>
      <c r="AW191" s="822"/>
      <c r="AX191" s="822"/>
      <c r="AY191" s="822"/>
      <c r="AZ191" s="822"/>
      <c r="BA191" s="822"/>
      <c r="BB191" s="822"/>
      <c r="BC191" s="823"/>
      <c r="BF191" s="669" t="s">
        <v>785</v>
      </c>
    </row>
    <row r="192" spans="5:58" ht="14.25" hidden="1" customHeight="1">
      <c r="E192" s="459">
        <v>15</v>
      </c>
      <c r="F192" s="3" t="str" cm="1">
        <f t="array" aca="1" ref="F192" ca="1">OFFSET(E192,-1,1)</f>
        <v>1</v>
      </c>
      <c r="H192" s="17" t="s">
        <v>635</v>
      </c>
      <c r="T192" s="351" t="b" cm="1">
        <f t="array" ref="T192">T191</f>
        <v>0</v>
      </c>
      <c r="X192" s="1024"/>
      <c r="Y192" s="1007"/>
      <c r="AB192" s="153" t="s">
        <v>446</v>
      </c>
      <c r="AC192" s="54" t="s">
        <v>786</v>
      </c>
      <c r="AD192" s="12" t="s">
        <v>585</v>
      </c>
      <c r="AE192" s="250">
        <f t="shared" ref="AE192:BB192" si="48">AE193+AE194</f>
        <v>0</v>
      </c>
      <c r="AF192" s="250">
        <f t="shared" si="48"/>
        <v>0</v>
      </c>
      <c r="AG192" s="250">
        <f t="shared" si="48"/>
        <v>0</v>
      </c>
      <c r="AH192" s="250">
        <f t="shared" si="48"/>
        <v>0</v>
      </c>
      <c r="AI192" s="250">
        <f t="shared" si="48"/>
        <v>0</v>
      </c>
      <c r="AJ192" s="250">
        <f t="shared" si="48"/>
        <v>0</v>
      </c>
      <c r="AK192" s="250">
        <f t="shared" si="48"/>
        <v>0</v>
      </c>
      <c r="AL192" s="250">
        <f t="shared" si="48"/>
        <v>0</v>
      </c>
      <c r="AM192" s="250">
        <f t="shared" si="48"/>
        <v>0</v>
      </c>
      <c r="AN192" s="250">
        <f t="shared" si="48"/>
        <v>0</v>
      </c>
      <c r="AO192" s="250">
        <f t="shared" si="48"/>
        <v>0</v>
      </c>
      <c r="AP192" s="250">
        <f t="shared" si="48"/>
        <v>0</v>
      </c>
      <c r="AQ192" s="250">
        <f t="shared" si="48"/>
        <v>0</v>
      </c>
      <c r="AR192" s="250">
        <f t="shared" si="48"/>
        <v>0</v>
      </c>
      <c r="AS192" s="250">
        <f t="shared" si="48"/>
        <v>0</v>
      </c>
      <c r="AT192" s="250">
        <f t="shared" si="48"/>
        <v>0</v>
      </c>
      <c r="AU192" s="250">
        <f t="shared" si="48"/>
        <v>0</v>
      </c>
      <c r="AV192" s="250">
        <f t="shared" si="48"/>
        <v>0</v>
      </c>
      <c r="AW192" s="250">
        <f t="shared" si="48"/>
        <v>0</v>
      </c>
      <c r="AX192" s="250">
        <f t="shared" si="48"/>
        <v>0</v>
      </c>
      <c r="AY192" s="250">
        <f t="shared" si="48"/>
        <v>0</v>
      </c>
      <c r="AZ192" s="250">
        <f t="shared" si="48"/>
        <v>0</v>
      </c>
      <c r="BA192" s="250">
        <f t="shared" si="48"/>
        <v>0</v>
      </c>
      <c r="BB192" s="250">
        <f t="shared" si="48"/>
        <v>0</v>
      </c>
      <c r="BC192" s="823"/>
      <c r="BF192" s="669" t="s">
        <v>787</v>
      </c>
    </row>
    <row r="193" spans="1:58" ht="14.25" hidden="1" customHeight="1">
      <c r="E193" s="459">
        <v>15</v>
      </c>
      <c r="F193" s="3" t="str" cm="1">
        <f t="array" aca="1" ref="F193" ca="1">OFFSET(E193,-1,1)</f>
        <v>1</v>
      </c>
      <c r="H193" s="17" t="s">
        <v>638</v>
      </c>
      <c r="T193" s="351" t="b" cm="1">
        <f t="array" ref="T193">T192</f>
        <v>0</v>
      </c>
      <c r="X193" s="1024"/>
      <c r="Y193" s="1007"/>
      <c r="AB193" s="153" t="s">
        <v>639</v>
      </c>
      <c r="AC193" s="105" t="s">
        <v>788</v>
      </c>
      <c r="AD193" s="12" t="s">
        <v>585</v>
      </c>
      <c r="AE193" s="822"/>
      <c r="AF193" s="822"/>
      <c r="AG193" s="822"/>
      <c r="AH193" s="822"/>
      <c r="AI193" s="187"/>
      <c r="AJ193" s="187"/>
      <c r="AK193" s="187"/>
      <c r="AL193" s="822"/>
      <c r="AM193" s="822"/>
      <c r="AN193" s="822"/>
      <c r="AO193" s="822"/>
      <c r="AP193" s="822"/>
      <c r="AQ193" s="822"/>
      <c r="AR193" s="822"/>
      <c r="AS193" s="187"/>
      <c r="AT193" s="187"/>
      <c r="AU193" s="187"/>
      <c r="AV193" s="822"/>
      <c r="AW193" s="822"/>
      <c r="AX193" s="822"/>
      <c r="AY193" s="822"/>
      <c r="AZ193" s="822"/>
      <c r="BA193" s="822"/>
      <c r="BB193" s="822"/>
      <c r="BC193" s="823"/>
      <c r="BF193" s="669" t="s">
        <v>789</v>
      </c>
    </row>
    <row r="194" spans="1:58" ht="14.25" hidden="1" customHeight="1">
      <c r="E194" s="459">
        <v>15</v>
      </c>
      <c r="F194" s="3" t="str" cm="1">
        <f t="array" aca="1" ref="F194" ca="1">OFFSET(E194,-1,1)</f>
        <v>1</v>
      </c>
      <c r="H194" s="17" t="s">
        <v>655</v>
      </c>
      <c r="T194" s="351" t="b" cm="1">
        <f t="array" ref="T194">T193</f>
        <v>0</v>
      </c>
      <c r="X194" s="1024"/>
      <c r="Y194" s="1007"/>
      <c r="AB194" s="153" t="s">
        <v>656</v>
      </c>
      <c r="AC194" s="105" t="s">
        <v>790</v>
      </c>
      <c r="AD194" s="12" t="s">
        <v>585</v>
      </c>
      <c r="AE194" s="822"/>
      <c r="AF194" s="822"/>
      <c r="AG194" s="822"/>
      <c r="AH194" s="822"/>
      <c r="AI194" s="187"/>
      <c r="AJ194" s="187"/>
      <c r="AK194" s="187"/>
      <c r="AL194" s="822"/>
      <c r="AM194" s="822"/>
      <c r="AN194" s="822"/>
      <c r="AO194" s="822"/>
      <c r="AP194" s="822"/>
      <c r="AQ194" s="822"/>
      <c r="AR194" s="822"/>
      <c r="AS194" s="187"/>
      <c r="AT194" s="187"/>
      <c r="AU194" s="187"/>
      <c r="AV194" s="822"/>
      <c r="AW194" s="822"/>
      <c r="AX194" s="822"/>
      <c r="AY194" s="822"/>
      <c r="AZ194" s="822"/>
      <c r="BA194" s="822"/>
      <c r="BB194" s="822"/>
      <c r="BC194" s="823"/>
      <c r="BF194" s="669" t="s">
        <v>791</v>
      </c>
    </row>
    <row r="195" spans="1:58" ht="21.75" hidden="1" customHeight="1">
      <c r="E195" s="459">
        <v>22.5</v>
      </c>
      <c r="F195" s="3" t="str" cm="1">
        <f t="array" aca="1" ref="F195" ca="1">OFFSET(E195,-1,1)</f>
        <v>1</v>
      </c>
      <c r="H195" s="17" t="s">
        <v>792</v>
      </c>
      <c r="T195" s="351" t="b" cm="1">
        <f t="array" ref="T195">T194</f>
        <v>0</v>
      </c>
      <c r="X195" s="1024"/>
      <c r="Y195" s="1007"/>
      <c r="AB195" s="153" t="s">
        <v>448</v>
      </c>
      <c r="AC195" s="244" t="s">
        <v>704</v>
      </c>
      <c r="AD195" s="12" t="s">
        <v>585</v>
      </c>
      <c r="AE195" s="822"/>
      <c r="AF195" s="822"/>
      <c r="AG195" s="822"/>
      <c r="AH195" s="822"/>
      <c r="AI195" s="187"/>
      <c r="AJ195" s="187"/>
      <c r="AK195" s="187"/>
      <c r="AL195" s="822"/>
      <c r="AM195" s="822"/>
      <c r="AN195" s="822"/>
      <c r="AO195" s="822"/>
      <c r="AP195" s="822"/>
      <c r="AQ195" s="822"/>
      <c r="AR195" s="822"/>
      <c r="AS195" s="187"/>
      <c r="AT195" s="187"/>
      <c r="AU195" s="187"/>
      <c r="AV195" s="822"/>
      <c r="AW195" s="822"/>
      <c r="AX195" s="822"/>
      <c r="AY195" s="822"/>
      <c r="AZ195" s="822"/>
      <c r="BA195" s="822"/>
      <c r="BB195" s="822"/>
      <c r="BC195" s="823"/>
      <c r="BF195" s="669" t="s">
        <v>793</v>
      </c>
    </row>
    <row r="196" spans="1:58" ht="14.25" hidden="1" customHeight="1">
      <c r="E196" s="459">
        <v>15</v>
      </c>
      <c r="F196" s="3" t="str" cm="1">
        <f t="array" aca="1" ref="F196" ca="1">OFFSET(E196,-1,1)</f>
        <v>1</v>
      </c>
      <c r="H196" s="17" t="s">
        <v>794</v>
      </c>
      <c r="T196" s="351" t="b" cm="1">
        <f t="array" ref="T196">T195</f>
        <v>0</v>
      </c>
      <c r="X196" s="1024"/>
      <c r="Y196" s="1007"/>
      <c r="AB196" s="153" t="s">
        <v>450</v>
      </c>
      <c r="AC196" s="53" t="s">
        <v>795</v>
      </c>
      <c r="AD196" s="12" t="s">
        <v>585</v>
      </c>
      <c r="AE196" s="822"/>
      <c r="AF196" s="822"/>
      <c r="AG196" s="822"/>
      <c r="AH196" s="822"/>
      <c r="AI196" s="187"/>
      <c r="AJ196" s="187"/>
      <c r="AK196" s="187"/>
      <c r="AL196" s="822"/>
      <c r="AM196" s="822"/>
      <c r="AN196" s="822"/>
      <c r="AO196" s="822"/>
      <c r="AP196" s="822"/>
      <c r="AQ196" s="822"/>
      <c r="AR196" s="822"/>
      <c r="AS196" s="187"/>
      <c r="AT196" s="187"/>
      <c r="AU196" s="187"/>
      <c r="AV196" s="822"/>
      <c r="AW196" s="822"/>
      <c r="AX196" s="822"/>
      <c r="AY196" s="822"/>
      <c r="AZ196" s="822"/>
      <c r="BA196" s="822"/>
      <c r="BB196" s="822"/>
      <c r="BC196" s="823"/>
      <c r="BF196" s="669" t="s">
        <v>796</v>
      </c>
    </row>
    <row r="197" spans="1:58" ht="11.25" hidden="1" customHeight="1">
      <c r="A197" s="314"/>
      <c r="B197" s="477"/>
      <c r="C197" s="314"/>
      <c r="D197" s="314"/>
      <c r="E197" s="478" t="s">
        <v>362</v>
      </c>
      <c r="F197" s="764" t="str" cm="1">
        <f t="array" aca="1" ref="F197" ca="1">OFFSET(E197,-1,1)</f>
        <v>1</v>
      </c>
      <c r="G197" s="314"/>
      <c r="H197" s="314"/>
      <c r="I197" s="314"/>
      <c r="J197" s="314"/>
      <c r="L197" s="314"/>
      <c r="M197" s="314"/>
      <c r="N197" s="314"/>
      <c r="O197" s="314"/>
      <c r="T197" s="351" t="b">
        <v>0</v>
      </c>
      <c r="V197" s="314"/>
      <c r="X197" s="1024"/>
      <c r="Y197" s="1007"/>
      <c r="Z197" s="314"/>
      <c r="AA197" s="314"/>
      <c r="AB197"/>
      <c r="AC197" s="18"/>
      <c r="AD197" s="18"/>
      <c r="AE197" s="248"/>
      <c r="AF197" s="248"/>
      <c r="AG197" s="248"/>
      <c r="AH197" s="248"/>
      <c r="AI197" s="248"/>
      <c r="AJ197" s="249"/>
      <c r="AK197" s="248"/>
      <c r="AL197" s="248"/>
      <c r="AM197" s="248"/>
      <c r="AN197" s="248"/>
      <c r="AO197" s="248"/>
      <c r="AP197" s="248"/>
      <c r="AQ197" s="248"/>
      <c r="AR197" s="248"/>
      <c r="AS197" s="248"/>
      <c r="AT197" s="248"/>
      <c r="AU197" s="248"/>
      <c r="AV197" s="248"/>
      <c r="AW197" s="248"/>
      <c r="AX197" s="248"/>
      <c r="AY197" s="248"/>
      <c r="AZ197" s="248"/>
      <c r="BA197" s="248"/>
      <c r="BB197" s="248"/>
      <c r="BC197"/>
      <c r="BD197"/>
      <c r="BE197"/>
      <c r="BF197" s="659"/>
    </row>
    <row r="198" spans="1:58" ht="14.25" hidden="1" customHeight="1">
      <c r="E198" s="459">
        <v>15</v>
      </c>
      <c r="F198" s="3" t="str" cm="1">
        <f t="array" aca="1" ref="F198" ca="1">OFFSET(E198,-1,1)</f>
        <v>1</v>
      </c>
      <c r="R198" s="314" t="b" cm="1">
        <f t="array" ref="R198">INDEX('Общие сведения'!$AN$179:$AN$208,MATCH($X118,'Общие сведения'!$Z$179:$Z$208,0))</f>
        <v>0</v>
      </c>
      <c r="S198" s="314" t="b">
        <f>IF(ISERROR(SEARCH("Водоотведение",AB118)),FALSE,TRUE)</f>
        <v>0</v>
      </c>
      <c r="T198" s="351" t="b">
        <f>AND(X118&gt;0,S198,R198)</f>
        <v>0</v>
      </c>
      <c r="X198" s="1024"/>
      <c r="Y198" s="1007"/>
      <c r="AB198" s="153" t="s">
        <v>277</v>
      </c>
      <c r="AC198" s="6" t="s">
        <v>736</v>
      </c>
      <c r="AD198" s="110"/>
      <c r="AE198" s="413" t="str" cm="1">
        <f t="array" ref="AE198">INDEX('Общие сведения'!$AH$179:$AH$208,MATCH($X118,'Общие сведения'!$Z$179:$Z$208,0))</f>
        <v>питьевая вода</v>
      </c>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4"/>
      <c r="BC198" s="823"/>
      <c r="BF198" s="669" t="s">
        <v>797</v>
      </c>
    </row>
    <row r="199" spans="1:58" ht="14.25" hidden="1" customHeight="1">
      <c r="E199" s="459">
        <v>15</v>
      </c>
      <c r="F199" s="3" t="str" cm="1">
        <f t="array" aca="1" ref="F199" ca="1">OFFSET(E199,-1,1)</f>
        <v>1</v>
      </c>
      <c r="H199" s="17" t="s">
        <v>325</v>
      </c>
      <c r="T199" s="351" t="b" cm="1">
        <f t="array" ref="T199">T198</f>
        <v>0</v>
      </c>
      <c r="X199" s="1024"/>
      <c r="Y199" s="1007"/>
      <c r="AB199" s="153" t="s">
        <v>435</v>
      </c>
      <c r="AC199" s="245" t="s">
        <v>798</v>
      </c>
      <c r="AD199" s="12" t="s">
        <v>585</v>
      </c>
      <c r="AE199" s="250">
        <f t="shared" ref="AE199:BB199" si="49">AE200+AE202+AE201</f>
        <v>0</v>
      </c>
      <c r="AF199" s="250">
        <f t="shared" si="49"/>
        <v>0</v>
      </c>
      <c r="AG199" s="250">
        <f t="shared" si="49"/>
        <v>0</v>
      </c>
      <c r="AH199" s="250">
        <f t="shared" si="49"/>
        <v>0</v>
      </c>
      <c r="AI199" s="250">
        <f t="shared" si="49"/>
        <v>0</v>
      </c>
      <c r="AJ199" s="250">
        <f t="shared" si="49"/>
        <v>0</v>
      </c>
      <c r="AK199" s="250">
        <f t="shared" si="49"/>
        <v>0</v>
      </c>
      <c r="AL199" s="250">
        <f t="shared" si="49"/>
        <v>0</v>
      </c>
      <c r="AM199" s="250">
        <f t="shared" si="49"/>
        <v>0</v>
      </c>
      <c r="AN199" s="250">
        <f t="shared" si="49"/>
        <v>0</v>
      </c>
      <c r="AO199" s="250">
        <f t="shared" si="49"/>
        <v>0</v>
      </c>
      <c r="AP199" s="250">
        <f t="shared" si="49"/>
        <v>0</v>
      </c>
      <c r="AQ199" s="250">
        <f t="shared" si="49"/>
        <v>0</v>
      </c>
      <c r="AR199" s="250">
        <f t="shared" si="49"/>
        <v>0</v>
      </c>
      <c r="AS199" s="250">
        <f t="shared" si="49"/>
        <v>0</v>
      </c>
      <c r="AT199" s="250">
        <f t="shared" si="49"/>
        <v>0</v>
      </c>
      <c r="AU199" s="250">
        <f t="shared" si="49"/>
        <v>0</v>
      </c>
      <c r="AV199" s="250">
        <f t="shared" si="49"/>
        <v>0</v>
      </c>
      <c r="AW199" s="250">
        <f t="shared" si="49"/>
        <v>0</v>
      </c>
      <c r="AX199" s="250">
        <f t="shared" si="49"/>
        <v>0</v>
      </c>
      <c r="AY199" s="250">
        <f t="shared" si="49"/>
        <v>0</v>
      </c>
      <c r="AZ199" s="250">
        <f t="shared" si="49"/>
        <v>0</v>
      </c>
      <c r="BA199" s="250">
        <f t="shared" si="49"/>
        <v>0</v>
      </c>
      <c r="BB199" s="250">
        <f t="shared" si="49"/>
        <v>0</v>
      </c>
      <c r="BC199" s="823"/>
      <c r="BF199" s="669" t="s">
        <v>799</v>
      </c>
    </row>
    <row r="200" spans="1:58" ht="14.25" hidden="1" customHeight="1">
      <c r="E200" s="459">
        <v>15</v>
      </c>
      <c r="F200" s="3" t="str" cm="1">
        <f t="array" aca="1" ref="F200" ca="1">OFFSET(E200,-1,1)</f>
        <v>1</v>
      </c>
      <c r="H200" s="17" t="s">
        <v>587</v>
      </c>
      <c r="T200" s="351" t="b" cm="1">
        <f t="array" ref="T200">T199</f>
        <v>0</v>
      </c>
      <c r="X200" s="1024"/>
      <c r="Y200" s="1007"/>
      <c r="AB200" s="153" t="s">
        <v>588</v>
      </c>
      <c r="AC200" s="127" t="s">
        <v>800</v>
      </c>
      <c r="AD200" s="12" t="s">
        <v>585</v>
      </c>
      <c r="AE200" s="833"/>
      <c r="AF200" s="833"/>
      <c r="AG200" s="833"/>
      <c r="AH200" s="833"/>
      <c r="AI200" s="190"/>
      <c r="AJ200" s="190"/>
      <c r="AK200" s="190"/>
      <c r="AL200" s="833"/>
      <c r="AM200" s="833"/>
      <c r="AN200" s="833"/>
      <c r="AO200" s="833"/>
      <c r="AP200" s="833"/>
      <c r="AQ200" s="833"/>
      <c r="AR200" s="833"/>
      <c r="AS200" s="190"/>
      <c r="AT200" s="190"/>
      <c r="AU200" s="190"/>
      <c r="AV200" s="833"/>
      <c r="AW200" s="833"/>
      <c r="AX200" s="833"/>
      <c r="AY200" s="833"/>
      <c r="AZ200" s="833"/>
      <c r="BA200" s="833"/>
      <c r="BB200" s="833"/>
      <c r="BC200" s="823"/>
      <c r="BF200" s="669" t="s">
        <v>801</v>
      </c>
    </row>
    <row r="201" spans="1:58" ht="14.25" hidden="1" customHeight="1">
      <c r="E201" s="459">
        <v>15</v>
      </c>
      <c r="F201" s="3" t="str" cm="1">
        <f t="array" aca="1" ref="F201" ca="1">OFFSET(E201,-1,1)</f>
        <v>1</v>
      </c>
      <c r="H201" s="17" t="s">
        <v>591</v>
      </c>
      <c r="T201" s="351" t="b" cm="1">
        <f t="array" ref="T201">T200</f>
        <v>0</v>
      </c>
      <c r="X201" s="1024"/>
      <c r="Y201" s="1007"/>
      <c r="AB201" s="153" t="s">
        <v>592</v>
      </c>
      <c r="AC201" s="127" t="s">
        <v>802</v>
      </c>
      <c r="AD201" s="12" t="s">
        <v>585</v>
      </c>
      <c r="AE201" s="833"/>
      <c r="AF201" s="833"/>
      <c r="AG201" s="833"/>
      <c r="AH201" s="833"/>
      <c r="AI201" s="190"/>
      <c r="AJ201" s="190"/>
      <c r="AK201" s="190"/>
      <c r="AL201" s="833"/>
      <c r="AM201" s="833"/>
      <c r="AN201" s="833"/>
      <c r="AO201" s="833"/>
      <c r="AP201" s="833"/>
      <c r="AQ201" s="833"/>
      <c r="AR201" s="833"/>
      <c r="AS201" s="190"/>
      <c r="AT201" s="190"/>
      <c r="AU201" s="190"/>
      <c r="AV201" s="833"/>
      <c r="AW201" s="833"/>
      <c r="AX201" s="833"/>
      <c r="AY201" s="833"/>
      <c r="AZ201" s="833"/>
      <c r="BA201" s="833"/>
      <c r="BB201" s="833"/>
      <c r="BC201" s="823"/>
      <c r="BF201" s="669" t="s">
        <v>803</v>
      </c>
    </row>
    <row r="202" spans="1:58" ht="21.75" hidden="1" customHeight="1">
      <c r="E202" s="459">
        <v>22.5</v>
      </c>
      <c r="F202" s="3" t="str" cm="1">
        <f t="array" aca="1" ref="F202" ca="1">OFFSET(E202,-1,1)</f>
        <v>1</v>
      </c>
      <c r="H202" s="17" t="s">
        <v>595</v>
      </c>
      <c r="T202" s="351" t="b" cm="1">
        <f t="array" ref="T202">T201</f>
        <v>0</v>
      </c>
      <c r="X202" s="1024"/>
      <c r="Y202" s="1007"/>
      <c r="AB202" s="153" t="s">
        <v>596</v>
      </c>
      <c r="AC202" s="127" t="s">
        <v>704</v>
      </c>
      <c r="AD202" s="12" t="s">
        <v>585</v>
      </c>
      <c r="AE202" s="833"/>
      <c r="AF202" s="833"/>
      <c r="AG202" s="833"/>
      <c r="AH202" s="833"/>
      <c r="AI202" s="190"/>
      <c r="AJ202" s="190"/>
      <c r="AK202" s="190"/>
      <c r="AL202" s="833"/>
      <c r="AM202" s="833"/>
      <c r="AN202" s="833"/>
      <c r="AO202" s="833"/>
      <c r="AP202" s="833"/>
      <c r="AQ202" s="833"/>
      <c r="AR202" s="833"/>
      <c r="AS202" s="190"/>
      <c r="AT202" s="190"/>
      <c r="AU202" s="190"/>
      <c r="AV202" s="833"/>
      <c r="AW202" s="833"/>
      <c r="AX202" s="833"/>
      <c r="AY202" s="833"/>
      <c r="AZ202" s="833"/>
      <c r="BA202" s="833"/>
      <c r="BB202" s="833"/>
      <c r="BC202" s="823"/>
      <c r="BF202" s="669" t="s">
        <v>804</v>
      </c>
    </row>
    <row r="203" spans="1:58" ht="21.75" hidden="1" customHeight="1">
      <c r="E203" s="459">
        <v>22.5</v>
      </c>
      <c r="F203" s="3" t="str" cm="1">
        <f t="array" aca="1" ref="F203" ca="1">OFFSET(E203,-1,1)</f>
        <v>1</v>
      </c>
      <c r="G203" s="17" t="s">
        <v>654</v>
      </c>
      <c r="H203" s="17" t="s">
        <v>324</v>
      </c>
      <c r="T203" s="351" t="b" cm="1">
        <f t="array" ref="T203">T202</f>
        <v>0</v>
      </c>
      <c r="X203" s="1024"/>
      <c r="Y203" s="1007"/>
      <c r="AB203" s="153" t="s">
        <v>319</v>
      </c>
      <c r="AC203" s="245" t="s">
        <v>805</v>
      </c>
      <c r="AD203" s="12" t="s">
        <v>585</v>
      </c>
      <c r="AE203" s="250">
        <f t="shared" ref="AE203:BB203" si="50">AE204+AE205+AE208</f>
        <v>0</v>
      </c>
      <c r="AF203" s="250">
        <f t="shared" si="50"/>
        <v>0</v>
      </c>
      <c r="AG203" s="250">
        <f t="shared" si="50"/>
        <v>0</v>
      </c>
      <c r="AH203" s="250">
        <f t="shared" si="50"/>
        <v>0</v>
      </c>
      <c r="AI203" s="250">
        <f t="shared" si="50"/>
        <v>0</v>
      </c>
      <c r="AJ203" s="250">
        <f t="shared" si="50"/>
        <v>0</v>
      </c>
      <c r="AK203" s="250">
        <f t="shared" si="50"/>
        <v>0</v>
      </c>
      <c r="AL203" s="250">
        <f t="shared" si="50"/>
        <v>0</v>
      </c>
      <c r="AM203" s="250">
        <f t="shared" si="50"/>
        <v>0</v>
      </c>
      <c r="AN203" s="250">
        <f t="shared" si="50"/>
        <v>0</v>
      </c>
      <c r="AO203" s="250">
        <f t="shared" si="50"/>
        <v>0</v>
      </c>
      <c r="AP203" s="250">
        <f t="shared" si="50"/>
        <v>0</v>
      </c>
      <c r="AQ203" s="250">
        <f t="shared" si="50"/>
        <v>0</v>
      </c>
      <c r="AR203" s="250">
        <f t="shared" si="50"/>
        <v>0</v>
      </c>
      <c r="AS203" s="250">
        <f t="shared" si="50"/>
        <v>0</v>
      </c>
      <c r="AT203" s="250">
        <f t="shared" si="50"/>
        <v>0</v>
      </c>
      <c r="AU203" s="250">
        <f t="shared" si="50"/>
        <v>0</v>
      </c>
      <c r="AV203" s="250">
        <f t="shared" si="50"/>
        <v>0</v>
      </c>
      <c r="AW203" s="250">
        <f t="shared" si="50"/>
        <v>0</v>
      </c>
      <c r="AX203" s="250">
        <f t="shared" si="50"/>
        <v>0</v>
      </c>
      <c r="AY203" s="250">
        <f t="shared" si="50"/>
        <v>0</v>
      </c>
      <c r="AZ203" s="250">
        <f t="shared" si="50"/>
        <v>0</v>
      </c>
      <c r="BA203" s="250">
        <f t="shared" si="50"/>
        <v>0</v>
      </c>
      <c r="BB203" s="250">
        <f t="shared" si="50"/>
        <v>0</v>
      </c>
      <c r="BC203" s="823"/>
      <c r="BF203" s="669" t="s">
        <v>806</v>
      </c>
    </row>
    <row r="204" spans="1:58" ht="14.25" hidden="1" customHeight="1">
      <c r="E204" s="459">
        <v>15</v>
      </c>
      <c r="F204" s="3" t="str" cm="1">
        <f t="array" aca="1" ref="F204" ca="1">OFFSET(E204,-1,1)</f>
        <v>1</v>
      </c>
      <c r="H204" s="17" t="s">
        <v>601</v>
      </c>
      <c r="T204" s="351" t="b" cm="1">
        <f t="array" ref="T204">T203</f>
        <v>0</v>
      </c>
      <c r="X204" s="1024"/>
      <c r="Y204" s="1007"/>
      <c r="AB204" s="153" t="s">
        <v>602</v>
      </c>
      <c r="AC204" s="127" t="s">
        <v>807</v>
      </c>
      <c r="AD204" s="12" t="s">
        <v>585</v>
      </c>
      <c r="AE204" s="833"/>
      <c r="AF204" s="833"/>
      <c r="AG204" s="833"/>
      <c r="AH204" s="833"/>
      <c r="AI204" s="190"/>
      <c r="AJ204" s="190"/>
      <c r="AK204" s="190"/>
      <c r="AL204" s="833"/>
      <c r="AM204" s="833"/>
      <c r="AN204" s="833"/>
      <c r="AO204" s="833"/>
      <c r="AP204" s="833"/>
      <c r="AQ204" s="833"/>
      <c r="AR204" s="833"/>
      <c r="AS204" s="190"/>
      <c r="AT204" s="190"/>
      <c r="AU204" s="190"/>
      <c r="AV204" s="833"/>
      <c r="AW204" s="833"/>
      <c r="AX204" s="833"/>
      <c r="AY204" s="833"/>
      <c r="AZ204" s="833"/>
      <c r="BA204" s="833"/>
      <c r="BB204" s="833"/>
      <c r="BC204" s="823"/>
      <c r="BF204" s="669" t="s">
        <v>808</v>
      </c>
    </row>
    <row r="205" spans="1:58" ht="14.25" hidden="1" customHeight="1">
      <c r="E205" s="459">
        <v>15</v>
      </c>
      <c r="F205" s="3" t="str" cm="1">
        <f t="array" aca="1" ref="F205" ca="1">OFFSET(E205,-1,1)</f>
        <v>1</v>
      </c>
      <c r="H205" s="17" t="s">
        <v>605</v>
      </c>
      <c r="T205" s="351" t="b" cm="1">
        <f t="array" ref="T205">T204</f>
        <v>0</v>
      </c>
      <c r="X205" s="1024"/>
      <c r="Y205" s="1007"/>
      <c r="AB205" s="153" t="s">
        <v>606</v>
      </c>
      <c r="AC205" s="246" t="s">
        <v>809</v>
      </c>
      <c r="AD205" s="12" t="s">
        <v>585</v>
      </c>
      <c r="AE205" s="250">
        <f t="shared" ref="AE205:BB205" si="51">AE206+AE207</f>
        <v>0</v>
      </c>
      <c r="AF205" s="250">
        <f t="shared" si="51"/>
        <v>0</v>
      </c>
      <c r="AG205" s="250">
        <f t="shared" si="51"/>
        <v>0</v>
      </c>
      <c r="AH205" s="250">
        <f t="shared" si="51"/>
        <v>0</v>
      </c>
      <c r="AI205" s="250">
        <f t="shared" si="51"/>
        <v>0</v>
      </c>
      <c r="AJ205" s="250">
        <f t="shared" si="51"/>
        <v>0</v>
      </c>
      <c r="AK205" s="250">
        <f t="shared" si="51"/>
        <v>0</v>
      </c>
      <c r="AL205" s="250">
        <f t="shared" si="51"/>
        <v>0</v>
      </c>
      <c r="AM205" s="250">
        <f t="shared" si="51"/>
        <v>0</v>
      </c>
      <c r="AN205" s="250">
        <f t="shared" si="51"/>
        <v>0</v>
      </c>
      <c r="AO205" s="250">
        <f t="shared" si="51"/>
        <v>0</v>
      </c>
      <c r="AP205" s="250">
        <f t="shared" si="51"/>
        <v>0</v>
      </c>
      <c r="AQ205" s="250">
        <f t="shared" si="51"/>
        <v>0</v>
      </c>
      <c r="AR205" s="250">
        <f t="shared" si="51"/>
        <v>0</v>
      </c>
      <c r="AS205" s="250">
        <f t="shared" si="51"/>
        <v>0</v>
      </c>
      <c r="AT205" s="250">
        <f t="shared" si="51"/>
        <v>0</v>
      </c>
      <c r="AU205" s="250">
        <f t="shared" si="51"/>
        <v>0</v>
      </c>
      <c r="AV205" s="250">
        <f t="shared" si="51"/>
        <v>0</v>
      </c>
      <c r="AW205" s="250">
        <f t="shared" si="51"/>
        <v>0</v>
      </c>
      <c r="AX205" s="250">
        <f t="shared" si="51"/>
        <v>0</v>
      </c>
      <c r="AY205" s="250">
        <f t="shared" si="51"/>
        <v>0</v>
      </c>
      <c r="AZ205" s="250">
        <f t="shared" si="51"/>
        <v>0</v>
      </c>
      <c r="BA205" s="250">
        <f t="shared" si="51"/>
        <v>0</v>
      </c>
      <c r="BB205" s="250">
        <f t="shared" si="51"/>
        <v>0</v>
      </c>
      <c r="BC205" s="823"/>
      <c r="BF205" s="669" t="s">
        <v>810</v>
      </c>
    </row>
    <row r="206" spans="1:58" ht="14.25" hidden="1" customHeight="1">
      <c r="E206" s="459">
        <v>15</v>
      </c>
      <c r="F206" s="3" t="str" cm="1">
        <f t="array" aca="1" ref="F206" ca="1">OFFSET(E206,-1,1)</f>
        <v>1</v>
      </c>
      <c r="H206" s="17" t="s">
        <v>811</v>
      </c>
      <c r="T206" s="351" t="b" cm="1">
        <f t="array" ref="T206">T205</f>
        <v>0</v>
      </c>
      <c r="X206" s="1024"/>
      <c r="Y206" s="1007"/>
      <c r="AB206" s="153" t="s">
        <v>812</v>
      </c>
      <c r="AC206" s="247" t="s">
        <v>661</v>
      </c>
      <c r="AD206" s="12" t="s">
        <v>585</v>
      </c>
      <c r="AE206" s="833"/>
      <c r="AF206" s="833"/>
      <c r="AG206" s="833"/>
      <c r="AH206" s="833"/>
      <c r="AI206" s="190"/>
      <c r="AJ206" s="190"/>
      <c r="AK206" s="190"/>
      <c r="AL206" s="833"/>
      <c r="AM206" s="833"/>
      <c r="AN206" s="833"/>
      <c r="AO206" s="833"/>
      <c r="AP206" s="833"/>
      <c r="AQ206" s="833"/>
      <c r="AR206" s="833"/>
      <c r="AS206" s="190"/>
      <c r="AT206" s="190"/>
      <c r="AU206" s="190"/>
      <c r="AV206" s="833"/>
      <c r="AW206" s="833"/>
      <c r="AX206" s="833"/>
      <c r="AY206" s="833"/>
      <c r="AZ206" s="833"/>
      <c r="BA206" s="833"/>
      <c r="BB206" s="833"/>
      <c r="BC206" s="823"/>
      <c r="BF206" s="669" t="s">
        <v>813</v>
      </c>
    </row>
    <row r="207" spans="1:58" ht="14.25" hidden="1" customHeight="1">
      <c r="E207" s="459">
        <v>15</v>
      </c>
      <c r="F207" s="3" t="str" cm="1">
        <f t="array" aca="1" ref="F207" ca="1">OFFSET(E207,-1,1)</f>
        <v>1</v>
      </c>
      <c r="H207" s="17" t="s">
        <v>814</v>
      </c>
      <c r="T207" s="351" t="b" cm="1">
        <f t="array" ref="T207">T206</f>
        <v>0</v>
      </c>
      <c r="X207" s="1024"/>
      <c r="Y207" s="1007"/>
      <c r="AB207" s="153" t="s">
        <v>815</v>
      </c>
      <c r="AC207" s="247" t="s">
        <v>665</v>
      </c>
      <c r="AD207" s="12" t="s">
        <v>585</v>
      </c>
      <c r="AE207" s="833"/>
      <c r="AF207" s="833"/>
      <c r="AG207" s="833"/>
      <c r="AH207" s="833"/>
      <c r="AI207" s="190"/>
      <c r="AJ207" s="190"/>
      <c r="AK207" s="190"/>
      <c r="AL207" s="833"/>
      <c r="AM207" s="833"/>
      <c r="AN207" s="833"/>
      <c r="AO207" s="833"/>
      <c r="AP207" s="833"/>
      <c r="AQ207" s="833"/>
      <c r="AR207" s="833"/>
      <c r="AS207" s="190"/>
      <c r="AT207" s="190"/>
      <c r="AU207" s="190"/>
      <c r="AV207" s="833"/>
      <c r="AW207" s="833"/>
      <c r="AX207" s="833"/>
      <c r="AY207" s="833"/>
      <c r="AZ207" s="833"/>
      <c r="BA207" s="833"/>
      <c r="BB207" s="833"/>
      <c r="BC207" s="823"/>
      <c r="BF207" s="669" t="s">
        <v>816</v>
      </c>
    </row>
    <row r="208" spans="1:58" ht="21.75" hidden="1" customHeight="1">
      <c r="E208" s="459">
        <v>22.5</v>
      </c>
      <c r="F208" s="3" t="str" cm="1">
        <f t="array" aca="1" ref="F208" ca="1">OFFSET(E208,-1,1)</f>
        <v>1</v>
      </c>
      <c r="H208" s="17" t="s">
        <v>817</v>
      </c>
      <c r="T208" s="351" t="b" cm="1">
        <f t="array" ref="T208">T207</f>
        <v>0</v>
      </c>
      <c r="X208" s="1024"/>
      <c r="Y208" s="1007"/>
      <c r="AB208" s="153" t="s">
        <v>818</v>
      </c>
      <c r="AC208" s="241" t="s">
        <v>626</v>
      </c>
      <c r="AD208" s="12" t="s">
        <v>585</v>
      </c>
      <c r="AE208" s="822"/>
      <c r="AF208" s="822"/>
      <c r="AG208" s="822"/>
      <c r="AH208" s="822"/>
      <c r="AI208" s="187"/>
      <c r="AJ208" s="187"/>
      <c r="AK208" s="187"/>
      <c r="AL208" s="822"/>
      <c r="AM208" s="822"/>
      <c r="AN208" s="822"/>
      <c r="AO208" s="822"/>
      <c r="AP208" s="822"/>
      <c r="AQ208" s="822"/>
      <c r="AR208" s="822"/>
      <c r="AS208" s="187"/>
      <c r="AT208" s="187"/>
      <c r="AU208" s="187"/>
      <c r="AV208" s="822"/>
      <c r="AW208" s="822"/>
      <c r="AX208" s="822"/>
      <c r="AY208" s="822"/>
      <c r="AZ208" s="822"/>
      <c r="BA208" s="822"/>
      <c r="BB208" s="822"/>
      <c r="BC208" s="823"/>
      <c r="BF208" s="669" t="s">
        <v>819</v>
      </c>
    </row>
    <row r="209" spans="2:58" ht="14.65" customHeight="1">
      <c r="E209" s="459">
        <v>15</v>
      </c>
      <c r="U209" s="314" t="s">
        <v>175</v>
      </c>
      <c r="V209" s="56" t="s">
        <v>825</v>
      </c>
      <c r="AB209" s="378"/>
      <c r="AC209" s="64"/>
      <c r="AD209" s="208"/>
      <c r="AE209" s="627"/>
      <c r="AF209" s="627"/>
      <c r="AG209" s="627"/>
      <c r="AH209" s="627"/>
      <c r="AI209" s="627"/>
      <c r="AJ209" s="627"/>
      <c r="AK209" s="627"/>
      <c r="AL209" s="627"/>
      <c r="AM209" s="627"/>
      <c r="AN209" s="627"/>
      <c r="AO209" s="627"/>
      <c r="AP209" s="627"/>
      <c r="AQ209" s="627"/>
      <c r="AR209" s="627"/>
      <c r="AS209" s="627"/>
      <c r="AT209" s="627"/>
      <c r="AU209" s="627"/>
      <c r="AV209" s="627"/>
      <c r="AW209" s="627"/>
      <c r="AX209" s="627"/>
      <c r="AY209" s="627"/>
      <c r="AZ209" s="627"/>
      <c r="BA209" s="627"/>
      <c r="BB209" s="627"/>
      <c r="BC209" s="628"/>
    </row>
    <row r="210" spans="2:58" s="17" customFormat="1" ht="17.100000000000001" customHeight="1">
      <c r="B210" s="46"/>
      <c r="E210" s="459">
        <v>11.25</v>
      </c>
      <c r="F210" s="252"/>
      <c r="P210" s="314"/>
      <c r="Q210" s="314"/>
      <c r="R210" s="314"/>
      <c r="S210" s="314"/>
      <c r="V210" s="59"/>
      <c r="AB210" s="1032" t="s">
        <v>396</v>
      </c>
      <c r="AC210" s="1032"/>
      <c r="AD210" s="1032"/>
      <c r="AE210" s="1033"/>
      <c r="AF210" s="1033"/>
      <c r="AG210" s="1033"/>
      <c r="AH210" s="1033"/>
      <c r="AI210" s="1033"/>
      <c r="AJ210" s="1033"/>
      <c r="AK210" s="1033"/>
      <c r="AL210" s="1033"/>
      <c r="AM210" s="1033"/>
      <c r="AN210" s="1033"/>
      <c r="AO210" s="1033"/>
      <c r="AP210" s="1033"/>
      <c r="AQ210" s="1033"/>
      <c r="AR210" s="1033"/>
      <c r="AS210" s="1033"/>
      <c r="AT210" s="1033"/>
      <c r="AU210" s="1033"/>
      <c r="AV210" s="1033"/>
      <c r="AW210" s="1033"/>
      <c r="AX210" s="1033"/>
      <c r="AY210" s="1033"/>
      <c r="AZ210" s="1033"/>
      <c r="BA210" s="1033"/>
      <c r="BB210" s="1033"/>
      <c r="BC210" s="1033"/>
      <c r="BF210" s="669"/>
    </row>
    <row r="211" spans="2:58" ht="34.15" customHeight="1">
      <c r="E211" s="459">
        <v>15</v>
      </c>
      <c r="T211" s="17"/>
      <c r="U211" s="17"/>
      <c r="V211" s="59"/>
      <c r="W211" s="17"/>
      <c r="AA211" s="479"/>
      <c r="AB211" s="1034" t="s">
        <v>826</v>
      </c>
      <c r="AC211" s="1035"/>
      <c r="AD211" s="1035"/>
      <c r="AE211" s="1035"/>
      <c r="AF211" s="1035"/>
      <c r="AG211" s="1035"/>
      <c r="AH211" s="1035"/>
      <c r="AI211" s="1035"/>
      <c r="AJ211" s="1035"/>
      <c r="AK211" s="1035"/>
      <c r="AL211" s="1036"/>
      <c r="AM211" s="1036"/>
      <c r="AN211" s="1036"/>
      <c r="AO211" s="1036"/>
      <c r="AP211" s="1036"/>
      <c r="AQ211" s="1036"/>
      <c r="AR211" s="1036"/>
      <c r="AS211" s="1035"/>
      <c r="AT211" s="1035"/>
      <c r="AU211" s="1035"/>
      <c r="AV211" s="1036"/>
      <c r="AW211" s="1036"/>
      <c r="AX211" s="1036"/>
      <c r="AY211" s="1036"/>
      <c r="AZ211" s="1036"/>
      <c r="BA211" s="1036"/>
      <c r="BB211" s="1036"/>
      <c r="BC211" s="1037"/>
    </row>
    <row r="212" spans="2:58" ht="14.65" hidden="1" customHeight="1">
      <c r="E212" s="459">
        <v>15</v>
      </c>
      <c r="T212" s="351" t="b">
        <f t="shared" ref="T212:T220" si="52">ROW(W212)&gt;ROW(W$212)</f>
        <v>0</v>
      </c>
      <c r="U212" s="17"/>
      <c r="V212" s="59"/>
      <c r="W212" s="515" t="s">
        <v>171</v>
      </c>
      <c r="AA212" s="480" t="s">
        <v>172</v>
      </c>
      <c r="AB212" s="1038"/>
      <c r="AC212" s="1039"/>
      <c r="AD212" s="1039"/>
      <c r="AE212" s="1039"/>
      <c r="AF212" s="1039"/>
      <c r="AG212" s="1039"/>
      <c r="AH212" s="1039"/>
      <c r="AI212" s="1040"/>
      <c r="AJ212" s="1040"/>
      <c r="AK212" s="1040"/>
      <c r="AL212" s="1039"/>
      <c r="AM212" s="1039"/>
      <c r="AN212" s="1039"/>
      <c r="AO212" s="1039"/>
      <c r="AP212" s="1039"/>
      <c r="AQ212" s="1039"/>
      <c r="AR212" s="1039"/>
      <c r="AS212" s="1040"/>
      <c r="AT212" s="1040"/>
      <c r="AU212" s="1040"/>
      <c r="AV212" s="1039"/>
      <c r="AW212" s="1039"/>
      <c r="AX212" s="1039"/>
      <c r="AY212" s="1039"/>
      <c r="AZ212" s="1039"/>
      <c r="BA212" s="1039"/>
      <c r="BB212" s="1039"/>
      <c r="BC212" s="1041"/>
    </row>
    <row r="213" spans="2:58" ht="34.9" customHeight="1">
      <c r="E213" s="459">
        <v>15</v>
      </c>
      <c r="T213" s="351" t="b">
        <f t="shared" si="52"/>
        <v>1</v>
      </c>
      <c r="U213" s="17"/>
      <c r="V213" s="59"/>
      <c r="W213" s="515"/>
      <c r="Z213" s="17" t="s">
        <v>124</v>
      </c>
      <c r="AA213" s="480" t="s">
        <v>172</v>
      </c>
      <c r="AB213" s="1042" t="s">
        <v>827</v>
      </c>
      <c r="AC213" s="1040"/>
      <c r="AD213" s="1040"/>
      <c r="AE213" s="1040"/>
      <c r="AF213" s="1040"/>
      <c r="AG213" s="1040"/>
      <c r="AH213" s="1040"/>
      <c r="AI213" s="1040"/>
      <c r="AJ213" s="1040"/>
      <c r="AK213" s="1040"/>
      <c r="AL213" s="1040"/>
      <c r="AM213" s="1040"/>
      <c r="AN213" s="1040"/>
      <c r="AO213" s="1040"/>
      <c r="AP213" s="1040"/>
      <c r="AQ213" s="1040"/>
      <c r="AR213" s="1040"/>
      <c r="AS213" s="1040"/>
      <c r="AT213" s="1040"/>
      <c r="AU213" s="1040"/>
      <c r="AV213" s="1040"/>
      <c r="AW213" s="1040"/>
      <c r="AX213" s="1040"/>
      <c r="AY213" s="1040"/>
      <c r="AZ213" s="1040"/>
      <c r="BA213" s="1040"/>
      <c r="BB213" s="1040"/>
      <c r="BC213" s="1043"/>
    </row>
    <row r="214" spans="2:58" ht="41.1" customHeight="1">
      <c r="E214" s="459">
        <v>15</v>
      </c>
      <c r="T214" s="351" t="b">
        <f t="shared" si="52"/>
        <v>1</v>
      </c>
      <c r="U214" s="17"/>
      <c r="V214" s="59"/>
      <c r="W214" s="515"/>
      <c r="Z214" s="17" t="s">
        <v>124</v>
      </c>
      <c r="AA214" s="480" t="s">
        <v>172</v>
      </c>
      <c r="AB214" s="1042" t="s">
        <v>828</v>
      </c>
      <c r="AC214" s="1040"/>
      <c r="AD214" s="1040"/>
      <c r="AE214" s="1040"/>
      <c r="AF214" s="1040"/>
      <c r="AG214" s="1040"/>
      <c r="AH214" s="1040"/>
      <c r="AI214" s="1040"/>
      <c r="AJ214" s="1040"/>
      <c r="AK214" s="1040"/>
      <c r="AL214" s="1040"/>
      <c r="AM214" s="1040"/>
      <c r="AN214" s="1040"/>
      <c r="AO214" s="1040"/>
      <c r="AP214" s="1040"/>
      <c r="AQ214" s="1040"/>
      <c r="AR214" s="1040"/>
      <c r="AS214" s="1040"/>
      <c r="AT214" s="1040"/>
      <c r="AU214" s="1040"/>
      <c r="AV214" s="1040"/>
      <c r="AW214" s="1040"/>
      <c r="AX214" s="1040"/>
      <c r="AY214" s="1040"/>
      <c r="AZ214" s="1040"/>
      <c r="BA214" s="1040"/>
      <c r="BB214" s="1040"/>
      <c r="BC214" s="1043"/>
    </row>
    <row r="215" spans="2:58" ht="42.95" customHeight="1">
      <c r="E215" s="459">
        <v>15</v>
      </c>
      <c r="T215" s="351" t="b">
        <f t="shared" si="52"/>
        <v>1</v>
      </c>
      <c r="U215" s="17"/>
      <c r="V215" s="59"/>
      <c r="W215" s="515"/>
      <c r="Z215" s="17" t="s">
        <v>124</v>
      </c>
      <c r="AA215" s="480" t="s">
        <v>172</v>
      </c>
      <c r="AB215" s="1042" t="s">
        <v>829</v>
      </c>
      <c r="AC215" s="1040"/>
      <c r="AD215" s="1040"/>
      <c r="AE215" s="1040"/>
      <c r="AF215" s="1040"/>
      <c r="AG215" s="1040"/>
      <c r="AH215" s="1040"/>
      <c r="AI215" s="1040"/>
      <c r="AJ215" s="1040"/>
      <c r="AK215" s="1040"/>
      <c r="AL215" s="1040"/>
      <c r="AM215" s="1040"/>
      <c r="AN215" s="1040"/>
      <c r="AO215" s="1040"/>
      <c r="AP215" s="1040"/>
      <c r="AQ215" s="1040"/>
      <c r="AR215" s="1040"/>
      <c r="AS215" s="1040"/>
      <c r="AT215" s="1040"/>
      <c r="AU215" s="1040"/>
      <c r="AV215" s="1040"/>
      <c r="AW215" s="1040"/>
      <c r="AX215" s="1040"/>
      <c r="AY215" s="1040"/>
      <c r="AZ215" s="1040"/>
      <c r="BA215" s="1040"/>
      <c r="BB215" s="1040"/>
      <c r="BC215" s="1043"/>
    </row>
    <row r="216" spans="2:58" ht="28.7" customHeight="1">
      <c r="E216" s="459">
        <v>15</v>
      </c>
      <c r="T216" s="351" t="b">
        <f t="shared" si="52"/>
        <v>1</v>
      </c>
      <c r="U216" s="17"/>
      <c r="V216" s="59"/>
      <c r="W216" s="515"/>
      <c r="Z216" s="17" t="s">
        <v>124</v>
      </c>
      <c r="AA216" s="480" t="s">
        <v>172</v>
      </c>
      <c r="AB216" s="1042" t="s">
        <v>830</v>
      </c>
      <c r="AC216" s="1040"/>
      <c r="AD216" s="1040"/>
      <c r="AE216" s="1040"/>
      <c r="AF216" s="1040"/>
      <c r="AG216" s="1040"/>
      <c r="AH216" s="1040"/>
      <c r="AI216" s="1040"/>
      <c r="AJ216" s="1040"/>
      <c r="AK216" s="1040"/>
      <c r="AL216" s="1040"/>
      <c r="AM216" s="1040"/>
      <c r="AN216" s="1040"/>
      <c r="AO216" s="1040"/>
      <c r="AP216" s="1040"/>
      <c r="AQ216" s="1040"/>
      <c r="AR216" s="1040"/>
      <c r="AS216" s="1040"/>
      <c r="AT216" s="1040"/>
      <c r="AU216" s="1040"/>
      <c r="AV216" s="1040"/>
      <c r="AW216" s="1040"/>
      <c r="AX216" s="1040"/>
      <c r="AY216" s="1040"/>
      <c r="AZ216" s="1040"/>
      <c r="BA216" s="1040"/>
      <c r="BB216" s="1040"/>
      <c r="BC216" s="1043"/>
    </row>
    <row r="217" spans="2:58" ht="26.65" customHeight="1">
      <c r="E217" s="459">
        <v>15</v>
      </c>
      <c r="T217" s="351" t="b">
        <f t="shared" si="52"/>
        <v>1</v>
      </c>
      <c r="U217" s="17"/>
      <c r="V217" s="59"/>
      <c r="W217" s="515"/>
      <c r="Z217" s="17" t="s">
        <v>124</v>
      </c>
      <c r="AA217" s="480" t="s">
        <v>172</v>
      </c>
      <c r="AB217" s="1042" t="s">
        <v>831</v>
      </c>
      <c r="AC217" s="1040"/>
      <c r="AD217" s="1040"/>
      <c r="AE217" s="1040"/>
      <c r="AF217" s="1040"/>
      <c r="AG217" s="1040"/>
      <c r="AH217" s="1040"/>
      <c r="AI217" s="1040"/>
      <c r="AJ217" s="1040"/>
      <c r="AK217" s="1040"/>
      <c r="AL217" s="1040"/>
      <c r="AM217" s="1040"/>
      <c r="AN217" s="1040"/>
      <c r="AO217" s="1040"/>
      <c r="AP217" s="1040"/>
      <c r="AQ217" s="1040"/>
      <c r="AR217" s="1040"/>
      <c r="AS217" s="1040"/>
      <c r="AT217" s="1040"/>
      <c r="AU217" s="1040"/>
      <c r="AV217" s="1040"/>
      <c r="AW217" s="1040"/>
      <c r="AX217" s="1040"/>
      <c r="AY217" s="1040"/>
      <c r="AZ217" s="1040"/>
      <c r="BA217" s="1040"/>
      <c r="BB217" s="1040"/>
      <c r="BC217" s="1043"/>
    </row>
    <row r="218" spans="2:58" ht="32.1" customHeight="1">
      <c r="E218" s="459">
        <v>15</v>
      </c>
      <c r="T218" s="351" t="b">
        <f t="shared" si="52"/>
        <v>1</v>
      </c>
      <c r="U218" s="17"/>
      <c r="V218" s="59"/>
      <c r="W218" s="515"/>
      <c r="Z218" s="17" t="s">
        <v>124</v>
      </c>
      <c r="AA218" s="480" t="s">
        <v>172</v>
      </c>
      <c r="AB218" s="1042" t="s">
        <v>832</v>
      </c>
      <c r="AC218" s="1040"/>
      <c r="AD218" s="1040"/>
      <c r="AE218" s="1040"/>
      <c r="AF218" s="1040"/>
      <c r="AG218" s="1040"/>
      <c r="AH218" s="1040"/>
      <c r="AI218" s="1040"/>
      <c r="AJ218" s="1040"/>
      <c r="AK218" s="1040"/>
      <c r="AL218" s="1040"/>
      <c r="AM218" s="1040"/>
      <c r="AN218" s="1040"/>
      <c r="AO218" s="1040"/>
      <c r="AP218" s="1040"/>
      <c r="AQ218" s="1040"/>
      <c r="AR218" s="1040"/>
      <c r="AS218" s="1040"/>
      <c r="AT218" s="1040"/>
      <c r="AU218" s="1040"/>
      <c r="AV218" s="1040"/>
      <c r="AW218" s="1040"/>
      <c r="AX218" s="1040"/>
      <c r="AY218" s="1040"/>
      <c r="AZ218" s="1040"/>
      <c r="BA218" s="1040"/>
      <c r="BB218" s="1040"/>
      <c r="BC218" s="1043"/>
    </row>
    <row r="219" spans="2:58" ht="23.25" customHeight="1">
      <c r="E219" s="459">
        <v>15</v>
      </c>
      <c r="T219" s="351" t="b">
        <f t="shared" si="52"/>
        <v>1</v>
      </c>
      <c r="U219" s="17"/>
      <c r="V219" s="59"/>
      <c r="W219" s="515"/>
      <c r="Z219" s="17" t="s">
        <v>124</v>
      </c>
      <c r="AA219" s="480" t="s">
        <v>172</v>
      </c>
      <c r="AB219" s="1042" t="s">
        <v>833</v>
      </c>
      <c r="AC219" s="1040"/>
      <c r="AD219" s="1040"/>
      <c r="AE219" s="1040"/>
      <c r="AF219" s="1040"/>
      <c r="AG219" s="1040"/>
      <c r="AH219" s="1040"/>
      <c r="AI219" s="1040"/>
      <c r="AJ219" s="1040"/>
      <c r="AK219" s="1040"/>
      <c r="AL219" s="1040"/>
      <c r="AM219" s="1040"/>
      <c r="AN219" s="1040"/>
      <c r="AO219" s="1040"/>
      <c r="AP219" s="1040"/>
      <c r="AQ219" s="1040"/>
      <c r="AR219" s="1040"/>
      <c r="AS219" s="1040"/>
      <c r="AT219" s="1040"/>
      <c r="AU219" s="1040"/>
      <c r="AV219" s="1040"/>
      <c r="AW219" s="1040"/>
      <c r="AX219" s="1040"/>
      <c r="AY219" s="1040"/>
      <c r="AZ219" s="1040"/>
      <c r="BA219" s="1040"/>
      <c r="BB219" s="1040"/>
      <c r="BC219" s="1043"/>
    </row>
    <row r="220" spans="2:58" ht="14.25" customHeight="1">
      <c r="E220" s="459">
        <v>15</v>
      </c>
      <c r="T220" s="351" t="b">
        <f t="shared" si="52"/>
        <v>1</v>
      </c>
      <c r="U220" s="17"/>
      <c r="V220" s="59"/>
      <c r="W220" s="515"/>
      <c r="Z220" s="17" t="s">
        <v>124</v>
      </c>
      <c r="AA220" s="480" t="s">
        <v>172</v>
      </c>
      <c r="AB220" s="1042"/>
      <c r="AC220" s="1040"/>
      <c r="AD220" s="1040"/>
      <c r="AE220" s="1040"/>
      <c r="AF220" s="1040"/>
      <c r="AG220" s="1040"/>
      <c r="AH220" s="1040"/>
      <c r="AI220" s="1040"/>
      <c r="AJ220" s="1040"/>
      <c r="AK220" s="1040"/>
      <c r="AL220" s="1040"/>
      <c r="AM220" s="1040"/>
      <c r="AN220" s="1040"/>
      <c r="AO220" s="1040"/>
      <c r="AP220" s="1040"/>
      <c r="AQ220" s="1040"/>
      <c r="AR220" s="1040"/>
      <c r="AS220" s="1040"/>
      <c r="AT220" s="1040"/>
      <c r="AU220" s="1040"/>
      <c r="AV220" s="1040"/>
      <c r="AW220" s="1040"/>
      <c r="AX220" s="1040"/>
      <c r="AY220" s="1040"/>
      <c r="AZ220" s="1040"/>
      <c r="BA220" s="1040"/>
      <c r="BB220" s="1040"/>
      <c r="BC220" s="1043"/>
    </row>
    <row r="221" spans="2:58" ht="14.65" customHeight="1">
      <c r="E221" s="459">
        <v>15</v>
      </c>
      <c r="T221" s="17"/>
      <c r="U221" s="17"/>
      <c r="W221" s="515" t="s">
        <v>407</v>
      </c>
      <c r="AB221" s="472"/>
      <c r="AC221" s="380" t="s">
        <v>408</v>
      </c>
      <c r="AD221" s="217"/>
      <c r="AE221" s="218"/>
      <c r="AF221" s="218"/>
      <c r="AG221" s="218"/>
      <c r="AH221" s="218"/>
      <c r="AI221" s="218"/>
      <c r="AJ221" s="218"/>
      <c r="AK221" s="218"/>
      <c r="AL221" s="218"/>
      <c r="AM221" s="218"/>
      <c r="AN221" s="218"/>
      <c r="AO221" s="218"/>
      <c r="AP221" s="218"/>
      <c r="AQ221" s="218"/>
      <c r="AR221" s="218"/>
      <c r="AS221" s="218"/>
      <c r="AT221" s="218"/>
      <c r="AU221" s="218"/>
      <c r="AV221" s="218"/>
      <c r="AW221" s="218"/>
      <c r="AX221" s="218"/>
      <c r="AY221" s="218"/>
      <c r="AZ221" s="218"/>
      <c r="BA221" s="218"/>
      <c r="BB221" s="218"/>
      <c r="BC221" s="186"/>
    </row>
    <row r="222" spans="2:58" ht="10.7" customHeight="1">
      <c r="E222" s="459">
        <v>11</v>
      </c>
      <c r="T222" s="17"/>
      <c r="U222" s="17"/>
      <c r="W222" s="17"/>
    </row>
  </sheetData>
  <sheetProtection formatColumns="0" formatRows="0" insertRows="0" deleteColumns="0" deleteRows="0" sort="0" autoFilter="0"/>
  <mergeCells count="19">
    <mergeCell ref="AB218:BC218"/>
    <mergeCell ref="AB219:BC219"/>
    <mergeCell ref="AB220:BC220"/>
    <mergeCell ref="AB213:BC213"/>
    <mergeCell ref="AB214:BC214"/>
    <mergeCell ref="AB215:BC215"/>
    <mergeCell ref="AB216:BC216"/>
    <mergeCell ref="AB217:BC217"/>
    <mergeCell ref="AB210:BC210"/>
    <mergeCell ref="AB211:BC211"/>
    <mergeCell ref="AB212:BC212"/>
    <mergeCell ref="X118:X208"/>
    <mergeCell ref="Y118:Y208"/>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F088-E834-F898-6516-E49F885380D8}">
  <sheetPr>
    <tabColor rgb="FF002060"/>
    <outlinePr summaryBelow="0" summaryRight="0"/>
    <pageSetUpPr fitToPage="1"/>
  </sheetPr>
  <dimension ref="A1:AW40"/>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40" hidden="1" customWidth="1"/>
    <col min="2" max="2" width="6.7109375" style="22" hidden="1" customWidth="1"/>
    <col min="3" max="3" width="3.85546875" style="22" hidden="1" customWidth="1"/>
    <col min="4" max="4" width="2.7109375" style="22" hidden="1" customWidth="1"/>
    <col min="5" max="5" width="2.7109375" style="447"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56" hidden="1"/>
    <col min="48" max="49" width="8.7109375" style="447" hidden="1"/>
  </cols>
  <sheetData>
    <row r="1" spans="1:49" ht="11.25" hidden="1" customHeight="1">
      <c r="E1" s="22"/>
      <c r="F1" s="22" t="s">
        <v>309</v>
      </c>
      <c r="H1" s="22" t="s">
        <v>310</v>
      </c>
      <c r="T1" s="351" t="s">
        <v>92</v>
      </c>
      <c r="U1" s="351" t="s">
        <v>97</v>
      </c>
      <c r="V1" s="351" t="s">
        <v>93</v>
      </c>
      <c r="W1" s="351" t="s">
        <v>94</v>
      </c>
      <c r="X1" s="351" t="s">
        <v>95</v>
      </c>
      <c r="Z1" s="351" t="s">
        <v>99</v>
      </c>
      <c r="AA1" s="351" t="s">
        <v>96</v>
      </c>
      <c r="AB1" s="351" t="s">
        <v>311</v>
      </c>
      <c r="AC1" s="351" t="s">
        <v>98</v>
      </c>
      <c r="AS1" s="656" t="s">
        <v>312</v>
      </c>
      <c r="AT1" s="656" t="s">
        <v>313</v>
      </c>
      <c r="AU1" s="656" t="s">
        <v>314</v>
      </c>
      <c r="AV1" s="447" t="s">
        <v>317</v>
      </c>
      <c r="AW1" s="447" t="s">
        <v>318</v>
      </c>
    </row>
    <row r="2" spans="1:49" ht="11.25" hidden="1" customHeight="1">
      <c r="B2" s="797" t="s">
        <v>18</v>
      </c>
      <c r="E2" s="22"/>
    </row>
    <row r="3" spans="1:49" ht="11.25" hidden="1" customHeight="1">
      <c r="E3" s="22"/>
      <c r="AK3" s="17" cm="1">
        <f t="array" ref="AK3">god</f>
        <v>2026</v>
      </c>
      <c r="AL3" s="17"/>
      <c r="AM3" s="17" cm="1">
        <f t="array" ref="AM3">god</f>
        <v>2026</v>
      </c>
      <c r="AN3" s="17"/>
    </row>
    <row r="4" spans="1:49" ht="11.25" hidden="1" customHeight="1">
      <c r="E4" s="22"/>
      <c r="AK4" s="17"/>
      <c r="AL4" s="17"/>
      <c r="AM4" s="17"/>
      <c r="AN4" s="17"/>
    </row>
    <row r="5" spans="1:49" s="447" customFormat="1" ht="11.25" hidden="1" customHeight="1">
      <c r="A5" s="40"/>
      <c r="B5" s="22"/>
      <c r="C5" s="22"/>
      <c r="D5" s="22"/>
      <c r="E5" s="447" t="s">
        <v>19</v>
      </c>
      <c r="AA5" s="447">
        <v>3</v>
      </c>
      <c r="AB5" s="447">
        <v>11.71</v>
      </c>
      <c r="AC5" s="447">
        <v>18.86</v>
      </c>
      <c r="AD5" s="473">
        <v>13.57</v>
      </c>
      <c r="AE5" s="473">
        <v>13</v>
      </c>
      <c r="AF5" s="473">
        <v>7.29</v>
      </c>
      <c r="AG5" s="473">
        <v>17.86</v>
      </c>
      <c r="AH5" s="473">
        <v>17.86</v>
      </c>
      <c r="AI5" s="473">
        <v>17.86</v>
      </c>
      <c r="AJ5" s="473">
        <v>7.43</v>
      </c>
      <c r="AK5" s="459">
        <v>12.57</v>
      </c>
      <c r="AL5" s="459">
        <v>12.57</v>
      </c>
      <c r="AM5" s="459">
        <v>12.57</v>
      </c>
      <c r="AN5" s="459">
        <v>12.57</v>
      </c>
      <c r="AO5" s="447">
        <v>20</v>
      </c>
      <c r="AP5" s="447">
        <v>20</v>
      </c>
      <c r="AQ5" s="447">
        <v>3</v>
      </c>
      <c r="AS5" s="656"/>
      <c r="AT5" s="656"/>
      <c r="AU5" s="656"/>
    </row>
    <row r="6" spans="1:49" ht="11.25" hidden="1" customHeight="1">
      <c r="A6" s="40" t="s">
        <v>320</v>
      </c>
      <c r="AC6" s="22" t="s">
        <v>321</v>
      </c>
      <c r="AD6" s="44" t="s">
        <v>322</v>
      </c>
      <c r="AE6" s="44" t="s">
        <v>323</v>
      </c>
      <c r="AF6" s="44" t="s">
        <v>325</v>
      </c>
      <c r="AG6" s="44" t="s">
        <v>324</v>
      </c>
      <c r="AH6" s="44" t="s">
        <v>557</v>
      </c>
      <c r="AI6" s="44" t="s">
        <v>560</v>
      </c>
      <c r="AJ6" s="44" t="s">
        <v>613</v>
      </c>
      <c r="AK6" s="17" t="s">
        <v>631</v>
      </c>
      <c r="AL6" s="17" t="s">
        <v>834</v>
      </c>
      <c r="AM6" s="17" t="s">
        <v>835</v>
      </c>
      <c r="AN6" s="17" t="s">
        <v>836</v>
      </c>
      <c r="AO6" s="22" t="s">
        <v>837</v>
      </c>
      <c r="AP6" s="22" t="s">
        <v>838</v>
      </c>
    </row>
    <row r="7" spans="1:49" ht="11.25" hidden="1" customHeight="1">
      <c r="AK7" s="17"/>
      <c r="AL7" s="17"/>
      <c r="AM7" s="17"/>
      <c r="AN7" s="17"/>
    </row>
    <row r="8" spans="1:49" ht="11.25" hidden="1" customHeight="1">
      <c r="AK8" s="17"/>
      <c r="AL8" s="17"/>
      <c r="AM8" s="17"/>
      <c r="AN8" s="17"/>
    </row>
    <row r="9" spans="1:49" s="656" customFormat="1" ht="11.25" hidden="1" customHeight="1">
      <c r="A9" s="660" t="s">
        <v>839</v>
      </c>
      <c r="AD9" s="674" t="str" cm="1">
        <f t="array" ref="AD9">AD24</f>
        <v>Тип материала трубопровода</v>
      </c>
      <c r="AE9" s="674" t="str" cm="1">
        <f t="array" ref="AE9">AE24</f>
        <v>Тип грунта</v>
      </c>
      <c r="AF9" s="674" t="str" cm="1">
        <f t="array" ref="AF9">AF24</f>
        <v>Глубина грунта, м</v>
      </c>
      <c r="AG9" s="674" t="str" cm="1">
        <f t="array" ref="AG9">AG24</f>
        <v>Средняя стоимость строительства 1 км трубопровода, _x000D_
тыс. руб.</v>
      </c>
      <c r="AH9" s="674" t="str" cm="1">
        <f t="array" ref="AH9">AH24</f>
        <v>Средняя стоимость строительства 1 км трубопровода диаметром 500 мм, тыс.руб.</v>
      </c>
      <c r="AI9" s="674" t="str" cm="1">
        <f t="array" ref="AI9">AI24</f>
        <v>Источник информации по средней стоимости строительства</v>
      </c>
      <c r="AJ9" s="674" t="str" cm="1">
        <f t="array" ref="AJ9">AJ24</f>
        <v>Kd</v>
      </c>
      <c r="AK9" s="673" t="str" cm="1">
        <f t="array" ref="AK9">AK27</f>
        <v>км</v>
      </c>
      <c r="AL9" s="673" t="str" cm="1">
        <f t="array" ref="AL9">AL27</f>
        <v>усл.км</v>
      </c>
      <c r="AM9" s="673" t="str" cm="1">
        <f t="array" ref="AM9">AM27</f>
        <v>км</v>
      </c>
      <c r="AN9" s="673" t="str" cm="1">
        <f t="array" ref="AN9">AN27</f>
        <v>усл.км</v>
      </c>
      <c r="AO9" s="674"/>
      <c r="AP9" s="674"/>
      <c r="AV9" s="447"/>
      <c r="AW9" s="447"/>
    </row>
    <row r="10" spans="1:49" s="656" customFormat="1" ht="11.25" hidden="1" customHeight="1">
      <c r="A10" s="660" t="s">
        <v>355</v>
      </c>
      <c r="AD10" s="673"/>
      <c r="AE10" s="673"/>
      <c r="AF10" s="673"/>
      <c r="AG10" s="673"/>
      <c r="AH10" s="673"/>
      <c r="AI10" s="673"/>
      <c r="AJ10" s="673"/>
      <c r="AK10" s="669" t="str" cm="1">
        <f t="array" ref="AK10">AK26</f>
        <v>Предложение организации</v>
      </c>
      <c r="AL10" s="669" t="str" cm="1">
        <f t="array" ref="AL10">AK10</f>
        <v>Предложение организации</v>
      </c>
      <c r="AM10" s="669" t="str" cm="1">
        <f t="array" ref="AM10">AM26</f>
        <v>Принято органом регулирования</v>
      </c>
      <c r="AN10" s="669" t="str" cm="1">
        <f t="array" ref="AN10">AM10</f>
        <v>Принято органом регулирования</v>
      </c>
      <c r="AV10" s="447"/>
      <c r="AW10" s="447"/>
    </row>
    <row r="11" spans="1:49" s="656" customFormat="1" ht="11.25" hidden="1" customHeight="1">
      <c r="A11" s="660" t="s">
        <v>356</v>
      </c>
      <c r="AD11" s="673"/>
      <c r="AE11" s="673"/>
      <c r="AF11" s="673"/>
      <c r="AG11" s="673"/>
      <c r="AH11" s="673"/>
      <c r="AI11" s="673"/>
      <c r="AJ11" s="673"/>
      <c r="AK11" s="669"/>
      <c r="AL11" s="669"/>
      <c r="AM11" s="669"/>
      <c r="AN11" s="669"/>
      <c r="AO11" s="656" t="str" cm="1">
        <f t="array" ref="AO11">AO24</f>
        <v>Ссылка на правовую норму (основание для принятия показателя в расчет тарифа)</v>
      </c>
      <c r="AP11" s="656" t="str" cm="1">
        <f t="array" ref="AP11">AP24</f>
        <v>Комментарии</v>
      </c>
      <c r="AV11" s="447"/>
      <c r="AW11" s="447"/>
    </row>
    <row r="12" spans="1:49" s="656" customFormat="1" ht="11.25" hidden="1" customHeight="1">
      <c r="A12" s="660" t="s">
        <v>327</v>
      </c>
      <c r="AC12" s="656" t="s">
        <v>314</v>
      </c>
      <c r="AD12" s="673"/>
      <c r="AE12" s="673"/>
      <c r="AF12" s="673"/>
      <c r="AG12" s="673"/>
      <c r="AH12" s="673"/>
      <c r="AI12" s="673"/>
      <c r="AJ12" s="673"/>
      <c r="AK12" s="669"/>
      <c r="AL12" s="669"/>
      <c r="AM12" s="669"/>
      <c r="AN12" s="669"/>
      <c r="AV12" s="447"/>
      <c r="AW12" s="447"/>
    </row>
    <row r="13" spans="1:49" ht="11.25" hidden="1" customHeight="1">
      <c r="AK13" s="17"/>
      <c r="AL13" s="17"/>
      <c r="AM13" s="17"/>
      <c r="AN13" s="17"/>
    </row>
    <row r="14" spans="1:49" ht="11.25" hidden="1" customHeight="1">
      <c r="AK14" s="38"/>
      <c r="AL14" s="38"/>
      <c r="AM14" s="38"/>
      <c r="AN14" s="38"/>
    </row>
    <row r="15" spans="1:49" ht="11.25" hidden="1" customHeight="1">
      <c r="AK15" s="38"/>
      <c r="AL15" s="38"/>
      <c r="AM15" s="38"/>
      <c r="AN15" s="38"/>
    </row>
    <row r="16" spans="1:49" ht="11.25" hidden="1" customHeight="1">
      <c r="AK16" s="38"/>
      <c r="AL16" s="38"/>
      <c r="AM16" s="38"/>
      <c r="AN16" s="38"/>
    </row>
    <row r="17" spans="3:49" ht="11.25" hidden="1" customHeight="1">
      <c r="AK17" s="38"/>
      <c r="AL17" s="38"/>
      <c r="AM17" s="38"/>
      <c r="AN17" s="38"/>
    </row>
    <row r="18" spans="3:49" ht="11.25" hidden="1" customHeight="1">
      <c r="AC18" s="22" t="s">
        <v>840</v>
      </c>
    </row>
    <row r="19" spans="3:49" ht="11.25" hidden="1" customHeight="1"/>
    <row r="20" spans="3:49" ht="11.25" hidden="1" customHeight="1"/>
    <row r="21" spans="3:49" ht="14.65" customHeight="1">
      <c r="E21" s="447">
        <v>15</v>
      </c>
      <c r="AC21" s="266" t="str" cm="1">
        <f t="array" ref="AC21">tpl_title</f>
        <v>Кемеровская область / 2026 / МУП "Водоканал" (ИНН:4202043124, КПП:420201001) / ДПР: 2026-2028</v>
      </c>
    </row>
    <row r="22" spans="3:49" ht="19.5" customHeight="1">
      <c r="E22" s="447">
        <v>20</v>
      </c>
      <c r="AB22" s="225" t="s">
        <v>46</v>
      </c>
      <c r="AC22" s="119"/>
      <c r="AD22" s="122"/>
      <c r="AE22" s="122"/>
      <c r="AF22" s="122"/>
      <c r="AG22" s="122"/>
      <c r="AH22" s="122"/>
      <c r="AI22" s="122"/>
      <c r="AJ22" s="122"/>
      <c r="AK22" s="119"/>
      <c r="AL22" s="119"/>
      <c r="AM22" s="119"/>
      <c r="AN22" s="119"/>
      <c r="AO22" s="121"/>
      <c r="AP22" s="121"/>
    </row>
    <row r="23" spans="3:49" ht="10.9" customHeight="1">
      <c r="E23" s="447">
        <v>11.25</v>
      </c>
      <c r="AB23" s="1055"/>
      <c r="AC23" s="1055"/>
      <c r="AD23" s="1055"/>
      <c r="AE23" s="1055"/>
      <c r="AF23" s="1055"/>
      <c r="AG23" s="1055"/>
      <c r="AH23" s="1055"/>
      <c r="AI23" s="1055"/>
      <c r="AJ23" s="1055"/>
      <c r="AK23" s="1055"/>
      <c r="AL23" s="1055"/>
      <c r="AM23" s="1055"/>
      <c r="AN23" s="383"/>
    </row>
    <row r="24" spans="3:49" ht="10.9" customHeight="1">
      <c r="E24" s="447">
        <v>11.25</v>
      </c>
      <c r="AB24" s="1028" t="s">
        <v>841</v>
      </c>
      <c r="AC24" s="1056" t="s">
        <v>842</v>
      </c>
      <c r="AD24" s="1056" t="s">
        <v>843</v>
      </c>
      <c r="AE24" s="1056" t="s">
        <v>844</v>
      </c>
      <c r="AF24" s="1056" t="s">
        <v>845</v>
      </c>
      <c r="AG24" s="1056" t="s">
        <v>846</v>
      </c>
      <c r="AH24" s="1056" t="s">
        <v>847</v>
      </c>
      <c r="AI24" s="1057" t="s">
        <v>848</v>
      </c>
      <c r="AJ24" s="1060" t="s">
        <v>849</v>
      </c>
      <c r="AK24" s="1061" t="s">
        <v>850</v>
      </c>
      <c r="AL24" s="1062"/>
      <c r="AM24" s="1062"/>
      <c r="AN24" s="1063"/>
      <c r="AO24" s="1051" t="s">
        <v>580</v>
      </c>
      <c r="AP24" s="1051" t="s">
        <v>360</v>
      </c>
    </row>
    <row r="25" spans="3:49" ht="14.65" customHeight="1">
      <c r="E25" s="447">
        <v>15</v>
      </c>
      <c r="AB25" s="1028"/>
      <c r="AC25" s="1056"/>
      <c r="AD25" s="1056"/>
      <c r="AE25" s="1056"/>
      <c r="AF25" s="1056"/>
      <c r="AG25" s="1056"/>
      <c r="AH25" s="1056"/>
      <c r="AI25" s="1058"/>
      <c r="AJ25" s="1060"/>
      <c r="AK25" s="1030" t="str">
        <f>god&amp;" год"</f>
        <v>2026 год</v>
      </c>
      <c r="AL25" s="1052"/>
      <c r="AM25" s="1052"/>
      <c r="AN25" s="1053"/>
      <c r="AO25" s="1051"/>
      <c r="AP25" s="1051"/>
    </row>
    <row r="26" spans="3:49" ht="48.75" customHeight="1">
      <c r="E26" s="447">
        <v>50</v>
      </c>
      <c r="AB26" s="1028"/>
      <c r="AC26" s="1056"/>
      <c r="AD26" s="1056"/>
      <c r="AE26" s="1056"/>
      <c r="AF26" s="1056"/>
      <c r="AG26" s="1056"/>
      <c r="AH26" s="1056"/>
      <c r="AI26" s="1058"/>
      <c r="AJ26" s="1060"/>
      <c r="AK26" s="1054" t="s">
        <v>352</v>
      </c>
      <c r="AL26" s="1054"/>
      <c r="AM26" s="1051" t="s">
        <v>351</v>
      </c>
      <c r="AN26" s="1051"/>
      <c r="AO26" s="1051"/>
      <c r="AP26" s="1051"/>
    </row>
    <row r="27" spans="3:49" ht="13.9" customHeight="1">
      <c r="E27" s="447">
        <v>14.25</v>
      </c>
      <c r="AB27" s="1028"/>
      <c r="AC27" s="1056"/>
      <c r="AD27" s="1056"/>
      <c r="AE27" s="1056"/>
      <c r="AF27" s="1056"/>
      <c r="AG27" s="1056"/>
      <c r="AH27" s="1056"/>
      <c r="AI27" s="1059"/>
      <c r="AJ27" s="1060"/>
      <c r="AK27" s="10" t="s">
        <v>377</v>
      </c>
      <c r="AL27" s="10" t="s">
        <v>851</v>
      </c>
      <c r="AM27" s="10" t="s">
        <v>377</v>
      </c>
      <c r="AN27" s="10" t="s">
        <v>851</v>
      </c>
      <c r="AO27" s="1051"/>
      <c r="AP27" s="1051"/>
    </row>
    <row r="28" spans="3:49" ht="11.25" hidden="1" customHeight="1">
      <c r="E28" s="447">
        <v>0</v>
      </c>
      <c r="AB28" s="521"/>
      <c r="AC28" s="522"/>
      <c r="AD28" s="522"/>
      <c r="AE28" s="522"/>
      <c r="AF28" s="522"/>
      <c r="AG28" s="522"/>
      <c r="AH28" s="522"/>
      <c r="AI28" s="765"/>
      <c r="AJ28" s="766"/>
      <c r="AK28" s="516"/>
      <c r="AL28" s="516"/>
      <c r="AM28" s="516"/>
      <c r="AN28" s="516"/>
      <c r="AO28" s="516"/>
      <c r="AP28" s="516"/>
    </row>
    <row r="29" spans="3:49" ht="14.65" hidden="1" customHeight="1">
      <c r="E29" s="447">
        <v>15</v>
      </c>
      <c r="F29" s="363" cm="1">
        <f t="array" ref="F29">X29</f>
        <v>0</v>
      </c>
      <c r="G29" s="22" t="s">
        <v>852</v>
      </c>
      <c r="T29" s="351" t="b">
        <f>X29&gt;0</f>
        <v>0</v>
      </c>
      <c r="V29" s="22" t="s">
        <v>266</v>
      </c>
      <c r="X29" s="1046">
        <v>0</v>
      </c>
      <c r="Z29" s="1047"/>
      <c r="AB29" s="97" t="str" cm="1">
        <f t="array" ref="AB29">INDEX('Общие сведения'!$AG$179:$AG$208,MATCH($X29,'Общие сведения'!$Z$179:$Z$208,0))</f>
        <v xml:space="preserve">Тариф 0 () - </v>
      </c>
      <c r="AC29" s="94"/>
      <c r="AD29" s="94"/>
      <c r="AE29" s="94"/>
      <c r="AF29" s="94"/>
      <c r="AG29" s="94"/>
      <c r="AH29" s="94"/>
      <c r="AI29" s="94"/>
      <c r="AJ29" s="94"/>
      <c r="AK29" s="395">
        <f>SUM(AK30:AK31)</f>
        <v>0</v>
      </c>
      <c r="AL29" s="395">
        <f>SUM(AL30:AL31)</f>
        <v>0</v>
      </c>
      <c r="AM29" s="395">
        <f>SUM(AM30:AM31)</f>
        <v>0</v>
      </c>
      <c r="AN29" s="395">
        <f>SUM(AN30:AN31)</f>
        <v>0</v>
      </c>
      <c r="AO29" s="94"/>
      <c r="AP29" s="94"/>
    </row>
    <row r="30" spans="3:49" ht="14.65" hidden="1" customHeight="1">
      <c r="E30" s="447">
        <v>15</v>
      </c>
      <c r="F30" s="3" cm="1">
        <f t="array" aca="1" ref="F30" ca="1">OFFSET(E30,-1,1)</f>
        <v>0</v>
      </c>
      <c r="H30" s="22" cm="1">
        <f t="array" ref="H30">AB30</f>
        <v>0</v>
      </c>
      <c r="T30" s="351" t="b">
        <f ca="1">AND(F30&gt;0,AB30&gt;0)</f>
        <v>0</v>
      </c>
      <c r="W30" s="515" t="s">
        <v>171</v>
      </c>
      <c r="X30" s="1046"/>
      <c r="Z30" s="1047"/>
      <c r="AA30" s="319" t="s">
        <v>172</v>
      </c>
      <c r="AB30" s="9">
        <v>0</v>
      </c>
      <c r="AC30" s="877"/>
      <c r="AD30" s="878"/>
      <c r="AE30" s="878"/>
      <c r="AF30" s="879"/>
      <c r="AG30" s="880"/>
      <c r="AH30" s="880"/>
      <c r="AI30" s="881"/>
      <c r="AJ30" s="396">
        <f>IF(AH30=0,0,AG30/AH30)</f>
        <v>0</v>
      </c>
      <c r="AK30" s="882"/>
      <c r="AL30" s="883">
        <f>AK30*$AJ30</f>
        <v>0</v>
      </c>
      <c r="AM30" s="882"/>
      <c r="AN30" s="396">
        <f>AM30*$AJ30</f>
        <v>0</v>
      </c>
      <c r="AO30" s="884"/>
      <c r="AP30" s="884"/>
      <c r="AS30" s="656" t="s">
        <v>853</v>
      </c>
      <c r="AT30" s="656" t="s">
        <v>854</v>
      </c>
      <c r="AU30" s="656" cm="1">
        <f t="array" ref="AU30">AC30</f>
        <v>0</v>
      </c>
      <c r="AW30" s="447" t="b">
        <v>1</v>
      </c>
    </row>
    <row r="31" spans="3:49" ht="14.65" hidden="1" customHeight="1">
      <c r="C31" s="38"/>
      <c r="E31" s="447">
        <v>15</v>
      </c>
      <c r="F31" s="3" cm="1">
        <f t="array" aca="1" ref="F31" ca="1">OFFSET(E31,-1,1)</f>
        <v>0</v>
      </c>
      <c r="G31" s="38"/>
      <c r="H31" s="22" t="str">
        <f>"!= 0"</f>
        <v>!= 0</v>
      </c>
      <c r="T31" s="351" t="b" cm="1">
        <f t="array" ref="T31">T29</f>
        <v>0</v>
      </c>
      <c r="W31" s="515" t="s">
        <v>855</v>
      </c>
      <c r="X31" s="1046"/>
      <c r="Z31" s="1047"/>
      <c r="AB31" s="767"/>
      <c r="AC31" s="768" t="s">
        <v>175</v>
      </c>
      <c r="AD31" s="768"/>
      <c r="AE31" s="768"/>
      <c r="AF31" s="768"/>
      <c r="AG31" s="768"/>
      <c r="AH31" s="768"/>
      <c r="AI31" s="768"/>
      <c r="AJ31" s="768"/>
      <c r="AK31" s="768"/>
      <c r="AL31" s="768"/>
      <c r="AM31" s="768"/>
      <c r="AN31" s="768"/>
      <c r="AO31" s="768"/>
      <c r="AP31" s="769"/>
      <c r="AV31" s="447" t="s">
        <v>854</v>
      </c>
    </row>
    <row r="32" spans="3:49" ht="14.25" customHeight="1">
      <c r="E32" s="447">
        <v>15</v>
      </c>
      <c r="F32" s="363" t="str" cm="1">
        <f t="array" ref="F32">X32</f>
        <v>1</v>
      </c>
      <c r="G32" s="22" t="s">
        <v>852</v>
      </c>
      <c r="T32" s="351" t="b">
        <f>X32&gt;0</f>
        <v>1</v>
      </c>
      <c r="V32" s="22" t="str" cm="1">
        <f t="array" ref="V32">Баланс!$AB$118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32" s="1046" t="s">
        <v>277</v>
      </c>
      <c r="Z32" s="1047"/>
      <c r="AB32" s="97" t="str" cm="1">
        <f t="array" ref="AB32">Баланс!$AB$118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2" s="94"/>
      <c r="AD32" s="94"/>
      <c r="AE32" s="94"/>
      <c r="AF32" s="94"/>
      <c r="AG32" s="94"/>
      <c r="AH32" s="94"/>
      <c r="AI32" s="94"/>
      <c r="AJ32" s="94"/>
      <c r="AK32" s="395">
        <f>SUM(AK33:AK34)</f>
        <v>0</v>
      </c>
      <c r="AL32" s="395">
        <f>SUM(AL33:AL34)</f>
        <v>0</v>
      </c>
      <c r="AM32" s="395">
        <f>SUM(AM33:AM34)</f>
        <v>0</v>
      </c>
      <c r="AN32" s="395">
        <f>SUM(AN33:AN34)</f>
        <v>0</v>
      </c>
      <c r="AO32" s="94"/>
      <c r="AP32" s="94"/>
    </row>
    <row r="33" spans="1:49" ht="14.25" hidden="1" customHeight="1">
      <c r="E33" s="447">
        <v>15</v>
      </c>
      <c r="F33" s="3" t="str" cm="1">
        <f t="array" aca="1" ref="F33" ca="1">OFFSET(E33,-1,1)</f>
        <v>1</v>
      </c>
      <c r="H33" s="22" cm="1">
        <f t="array" ref="H33">AB33</f>
        <v>0</v>
      </c>
      <c r="T33" s="351" t="b">
        <f ca="1">AND(F33&gt;0,AB33&gt;0)</f>
        <v>0</v>
      </c>
      <c r="W33" s="515" t="s">
        <v>171</v>
      </c>
      <c r="X33" s="1046"/>
      <c r="Z33" s="1047"/>
      <c r="AA33" s="319" t="s">
        <v>172</v>
      </c>
      <c r="AB33" s="9">
        <v>0</v>
      </c>
      <c r="AC33" s="877"/>
      <c r="AD33" s="878"/>
      <c r="AE33" s="878"/>
      <c r="AF33" s="879"/>
      <c r="AG33" s="880"/>
      <c r="AH33" s="880"/>
      <c r="AI33" s="881"/>
      <c r="AJ33" s="396">
        <f>IF(AH33=0,0,AG33/AH33)</f>
        <v>0</v>
      </c>
      <c r="AK33" s="882"/>
      <c r="AL33" s="883">
        <f>AK33*$AJ33</f>
        <v>0</v>
      </c>
      <c r="AM33" s="882"/>
      <c r="AN33" s="396">
        <f>AM33*$AJ33</f>
        <v>0</v>
      </c>
      <c r="AO33" s="884"/>
      <c r="AP33" s="884"/>
      <c r="AS33" s="656" t="s">
        <v>853</v>
      </c>
      <c r="AT33" s="656" t="s">
        <v>854</v>
      </c>
      <c r="AU33" s="656" cm="1">
        <f t="array" ref="AU33">AC33</f>
        <v>0</v>
      </c>
      <c r="AW33" s="447" t="b">
        <v>1</v>
      </c>
    </row>
    <row r="34" spans="1:49" ht="14.25" customHeight="1">
      <c r="C34" s="38"/>
      <c r="E34" s="447">
        <v>15</v>
      </c>
      <c r="F34" s="3" t="str" cm="1">
        <f t="array" aca="1" ref="F34" ca="1">OFFSET(E34,-1,1)</f>
        <v>1</v>
      </c>
      <c r="G34" s="38"/>
      <c r="H34" s="22" t="str">
        <f>"!= 0"</f>
        <v>!= 0</v>
      </c>
      <c r="T34" s="351" t="b" cm="1">
        <f t="array" ref="T34">T32</f>
        <v>1</v>
      </c>
      <c r="W34" s="515" t="s">
        <v>855</v>
      </c>
      <c r="X34" s="1046"/>
      <c r="Z34" s="1047"/>
      <c r="AB34" s="767"/>
      <c r="AC34" s="768" t="s">
        <v>175</v>
      </c>
      <c r="AD34" s="768"/>
      <c r="AE34" s="768"/>
      <c r="AF34" s="768"/>
      <c r="AG34" s="768"/>
      <c r="AH34" s="768"/>
      <c r="AI34" s="768"/>
      <c r="AJ34" s="768"/>
      <c r="AK34" s="768"/>
      <c r="AL34" s="768"/>
      <c r="AM34" s="768"/>
      <c r="AN34" s="768"/>
      <c r="AO34" s="768"/>
      <c r="AP34" s="769"/>
      <c r="AV34" s="447" t="s">
        <v>854</v>
      </c>
    </row>
    <row r="35" spans="1:49" ht="10.9" customHeight="1">
      <c r="E35" s="447">
        <v>11.25</v>
      </c>
      <c r="U35" s="314" t="s">
        <v>175</v>
      </c>
      <c r="V35" s="56" t="s">
        <v>856</v>
      </c>
      <c r="AB35" s="382"/>
      <c r="AC35" s="64"/>
      <c r="AD35" s="382"/>
      <c r="AE35" s="382"/>
      <c r="AF35" s="382"/>
      <c r="AG35" s="382"/>
      <c r="AH35" s="382"/>
      <c r="AI35" s="382"/>
      <c r="AJ35" s="382"/>
      <c r="AK35" s="393"/>
      <c r="AL35" s="393"/>
    </row>
    <row r="36" spans="1:49" s="17" customFormat="1" ht="14.65" customHeight="1">
      <c r="A36" s="363"/>
      <c r="E36" s="459">
        <v>15</v>
      </c>
      <c r="AB36" s="1028" t="s">
        <v>396</v>
      </c>
      <c r="AC36" s="1028"/>
      <c r="AD36" s="1028"/>
      <c r="AE36" s="1028"/>
      <c r="AF36" s="1028"/>
      <c r="AG36" s="1028"/>
      <c r="AH36" s="1028"/>
      <c r="AI36" s="1028"/>
      <c r="AJ36" s="1028"/>
      <c r="AK36" s="1048"/>
      <c r="AL36" s="1048"/>
      <c r="AM36" s="1048"/>
      <c r="AN36" s="1048"/>
      <c r="AO36" s="1048"/>
      <c r="AP36" s="1048"/>
      <c r="AS36" s="669"/>
      <c r="AT36" s="669"/>
      <c r="AU36" s="669"/>
      <c r="AV36" s="459"/>
      <c r="AW36" s="459"/>
    </row>
    <row r="37" spans="1:49" s="17" customFormat="1" ht="14.65" customHeight="1">
      <c r="A37" s="363"/>
      <c r="E37" s="459">
        <v>15</v>
      </c>
      <c r="AA37" s="87"/>
      <c r="AB37" s="1049"/>
      <c r="AC37" s="1049"/>
      <c r="AD37" s="1049"/>
      <c r="AE37" s="1049"/>
      <c r="AF37" s="1049"/>
      <c r="AG37" s="1049"/>
      <c r="AH37" s="1049"/>
      <c r="AI37" s="1049"/>
      <c r="AJ37" s="1049"/>
      <c r="AK37" s="1050"/>
      <c r="AL37" s="1050"/>
      <c r="AM37" s="1050"/>
      <c r="AN37" s="1050"/>
      <c r="AO37" s="1050"/>
      <c r="AP37" s="1050"/>
      <c r="AS37" s="669"/>
      <c r="AT37" s="669"/>
      <c r="AU37" s="669"/>
      <c r="AV37" s="459"/>
      <c r="AW37" s="459"/>
    </row>
    <row r="38" spans="1:49" s="17" customFormat="1" ht="14.65" hidden="1" customHeight="1">
      <c r="A38" s="363"/>
      <c r="E38" s="459">
        <v>15</v>
      </c>
      <c r="T38" s="351" t="b">
        <f>ROW(Y38)&gt;ROW(Y$38)</f>
        <v>0</v>
      </c>
      <c r="W38" s="515" t="s">
        <v>171</v>
      </c>
      <c r="AA38" s="319" t="s">
        <v>172</v>
      </c>
      <c r="AB38" s="1044"/>
      <c r="AC38" s="1001"/>
      <c r="AD38" s="1001"/>
      <c r="AE38" s="1001"/>
      <c r="AF38" s="1001"/>
      <c r="AG38" s="1001"/>
      <c r="AH38" s="1001"/>
      <c r="AI38" s="1001"/>
      <c r="AJ38" s="1001"/>
      <c r="AK38" s="1001"/>
      <c r="AL38" s="1001"/>
      <c r="AM38" s="1001"/>
      <c r="AN38" s="1001"/>
      <c r="AO38" s="1001"/>
      <c r="AP38" s="1045"/>
      <c r="AS38" s="669"/>
      <c r="AT38" s="669"/>
      <c r="AU38" s="669"/>
      <c r="AV38" s="459"/>
      <c r="AW38" s="459"/>
    </row>
    <row r="39" spans="1:49" s="17" customFormat="1" ht="14.65" customHeight="1">
      <c r="A39" s="363"/>
      <c r="E39" s="459">
        <v>15</v>
      </c>
      <c r="W39" s="515" t="s">
        <v>407</v>
      </c>
      <c r="AB39" s="472"/>
      <c r="AC39" s="380" t="s">
        <v>408</v>
      </c>
      <c r="AD39" s="217"/>
      <c r="AE39" s="217"/>
      <c r="AF39" s="217"/>
      <c r="AG39" s="217"/>
      <c r="AH39" s="217"/>
      <c r="AI39" s="217"/>
      <c r="AJ39" s="217"/>
      <c r="AK39" s="218"/>
      <c r="AL39" s="218"/>
      <c r="AM39" s="218"/>
      <c r="AN39" s="218"/>
      <c r="AO39" s="218"/>
      <c r="AP39" s="219"/>
      <c r="AS39" s="669"/>
      <c r="AT39" s="669"/>
      <c r="AU39" s="669"/>
      <c r="AV39" s="459"/>
      <c r="AW39" s="459"/>
    </row>
    <row r="40" spans="1:49" ht="10.7" customHeight="1">
      <c r="E40" s="447">
        <v>11</v>
      </c>
      <c r="AC40" s="394"/>
    </row>
  </sheetData>
  <sheetProtection formatColumns="0" formatRows="0" insertRows="0" deleteColumns="0" deleteRows="0" sort="0" autoFilter="0"/>
  <mergeCells count="23">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38:AP38"/>
    <mergeCell ref="X29:X31"/>
    <mergeCell ref="Z29:Z31"/>
    <mergeCell ref="AB36:AP36"/>
    <mergeCell ref="AB37:AP37"/>
    <mergeCell ref="X32:X34"/>
    <mergeCell ref="Z32:Z34"/>
  </mergeCells>
  <dataValidations count="7">
    <dataValidation type="whole" allowBlank="1" showErrorMessage="1" errorTitle="Ошибка" error="Допускается ввод только неотрицательных целых чисел!" sqref="AF30 AF33" xr:uid="{00000000-0002-0000-0B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xr:uid="{00000000-0002-0000-0B00-000001000000}">
      <formula1>ist_info_build_list</formula1>
    </dataValidation>
    <dataValidation type="list" allowBlank="1" showInputMessage="1" showErrorMessage="1" errorTitle="Ошибка" error="Выберите значение из списка" prompt="Выберите значение из списка" sqref="AC30" xr:uid="{00000000-0002-0000-0B00-00000200000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xr:uid="{00000000-0002-0000-0B00-000003000000}">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xr:uid="{00000000-0002-0000-0B00-000004000000}">
      <formula1>grunt_list</formula1>
    </dataValidation>
    <dataValidation type="decimal" allowBlank="1" showErrorMessage="1" errorTitle="Ошибка" error="Допускается ввод только неотрицательных чисел!" sqref="AH29 AM30 AK30 AG30:AH30 AH32 AG33 AH33 AK33 AM33"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F407-C4F7-5BFF-A29A-F35C75E9234B}">
  <sheetPr>
    <tabColor rgb="FF002060"/>
    <outlinePr summaryBelow="0" summaryRight="0"/>
    <pageSetUpPr fitToPage="1"/>
  </sheetPr>
  <dimension ref="A1:BJ49"/>
  <sheetViews>
    <sheetView showGridLines="0" zoomScale="110" workbookViewId="0">
      <pane xSplit="30" ySplit="25" topLeftCell="AE37" activePane="bottomRight" state="frozen"/>
      <selection pane="topRight" activeCell="AE1" sqref="AE1"/>
      <selection pane="bottomLeft" activeCell="A26" sqref="A26"/>
      <selection pane="bottomRight" activeCell="AB43" sqref="AB43:BC43"/>
    </sheetView>
  </sheetViews>
  <sheetFormatPr defaultColWidth="9.140625" defaultRowHeight="11.25" customHeight="1"/>
  <cols>
    <col min="1" max="1" width="3.5703125" style="17" hidden="1" customWidth="1"/>
    <col min="2" max="2" width="8.5703125" style="46" hidden="1" customWidth="1"/>
    <col min="3" max="3" width="6.28515625" style="17" hidden="1" customWidth="1"/>
    <col min="4" max="4" width="6.140625" style="17" hidden="1" customWidth="1"/>
    <col min="5" max="5" width="3.5703125" style="459"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7.5703125" style="17" customWidth="1"/>
    <col min="29" max="29" width="24.42578125" style="17" customWidth="1"/>
    <col min="30" max="30" width="9.28515625" style="17" customWidth="1"/>
    <col min="31" max="31" width="14.5703125" style="17" customWidth="1"/>
    <col min="32" max="32" width="13.28515625" style="17" customWidth="1"/>
    <col min="33" max="33" width="13.5703125" style="17" customWidth="1"/>
    <col min="34" max="34" width="14" style="17" customWidth="1"/>
    <col min="35" max="37" width="12.5703125" style="17" customWidth="1"/>
    <col min="38" max="44" width="12.5703125" style="17" hidden="1" customWidth="1"/>
    <col min="45" max="47" width="12.5703125" style="17" customWidth="1"/>
    <col min="48" max="54" width="12.5703125" style="17" hidden="1" customWidth="1"/>
    <col min="55" max="55" width="62.5703125" style="17" customWidth="1"/>
    <col min="56" max="56" width="3" style="17" customWidth="1"/>
    <col min="57" max="57" width="9.140625" style="17" hidden="1"/>
    <col min="58" max="60" width="9.140625" style="669" hidden="1"/>
    <col min="61" max="62" width="9.140625" style="459" hidden="1"/>
  </cols>
  <sheetData>
    <row r="1" spans="1:62" ht="11.25" hidden="1" customHeight="1">
      <c r="E1" s="17"/>
      <c r="F1" s="17" t="s">
        <v>309</v>
      </c>
      <c r="G1" s="17" t="s">
        <v>320</v>
      </c>
      <c r="H1" s="17" t="s">
        <v>346</v>
      </c>
      <c r="T1" s="351" t="s">
        <v>92</v>
      </c>
      <c r="U1" s="351" t="s">
        <v>97</v>
      </c>
      <c r="V1" s="351" t="s">
        <v>93</v>
      </c>
      <c r="W1" s="351" t="s">
        <v>94</v>
      </c>
      <c r="X1" s="351" t="s">
        <v>95</v>
      </c>
      <c r="Z1" s="351" t="s">
        <v>99</v>
      </c>
      <c r="AA1" s="353" t="s">
        <v>96</v>
      </c>
      <c r="AB1" s="353" t="s">
        <v>311</v>
      </c>
      <c r="AC1" s="352" t="s">
        <v>98</v>
      </c>
      <c r="BF1" s="669" t="s">
        <v>312</v>
      </c>
      <c r="BG1" s="669" t="s">
        <v>313</v>
      </c>
      <c r="BH1" s="669" t="s">
        <v>314</v>
      </c>
      <c r="BI1" s="459" t="s">
        <v>317</v>
      </c>
      <c r="BJ1" s="459" t="s">
        <v>318</v>
      </c>
    </row>
    <row r="2" spans="1:62" s="46" customFormat="1" ht="11.25" hidden="1" customHeight="1">
      <c r="B2" s="340" t="s">
        <v>18</v>
      </c>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70"/>
      <c r="BG2" s="670"/>
      <c r="BH2" s="670"/>
      <c r="BI2" s="675"/>
      <c r="BJ2" s="675"/>
    </row>
    <row r="3" spans="1:62" ht="11.25" hidden="1" customHeight="1">
      <c r="E3" s="17"/>
    </row>
    <row r="4" spans="1:62" ht="11.25" hidden="1" customHeight="1">
      <c r="E4" s="17"/>
    </row>
    <row r="5" spans="1:62" s="459" customFormat="1" ht="11.25" hidden="1" customHeight="1">
      <c r="A5" s="17"/>
      <c r="B5" s="46"/>
      <c r="C5" s="17"/>
      <c r="D5" s="17"/>
      <c r="E5" s="459" t="s">
        <v>19</v>
      </c>
      <c r="AA5" s="459">
        <v>3</v>
      </c>
      <c r="AB5" s="459">
        <v>9.7100000000000009</v>
      </c>
      <c r="AC5" s="459">
        <v>20</v>
      </c>
      <c r="AD5" s="459">
        <v>8.57</v>
      </c>
      <c r="AE5" s="459">
        <v>12.57</v>
      </c>
      <c r="AF5" s="459">
        <v>12.57</v>
      </c>
      <c r="AG5" s="459">
        <v>12.57</v>
      </c>
      <c r="AH5" s="459">
        <v>12.57</v>
      </c>
      <c r="AI5" s="459">
        <v>12.57</v>
      </c>
      <c r="AJ5" s="459">
        <v>12.57</v>
      </c>
      <c r="AK5" s="459">
        <v>12.57</v>
      </c>
      <c r="AL5" s="459">
        <v>12.57</v>
      </c>
      <c r="AM5" s="459">
        <v>12.57</v>
      </c>
      <c r="AN5" s="459">
        <v>12.57</v>
      </c>
      <c r="AO5" s="459">
        <v>12.57</v>
      </c>
      <c r="AP5" s="459">
        <v>12.57</v>
      </c>
      <c r="AQ5" s="459">
        <v>12.57</v>
      </c>
      <c r="AR5" s="459">
        <v>12.57</v>
      </c>
      <c r="AS5" s="459">
        <v>12.57</v>
      </c>
      <c r="AT5" s="459">
        <v>12.57</v>
      </c>
      <c r="AU5" s="459">
        <v>12.57</v>
      </c>
      <c r="AV5" s="459">
        <v>12.57</v>
      </c>
      <c r="AW5" s="459">
        <v>12.57</v>
      </c>
      <c r="AX5" s="459">
        <v>12.57</v>
      </c>
      <c r="AY5" s="459">
        <v>12.57</v>
      </c>
      <c r="AZ5" s="459">
        <v>12.57</v>
      </c>
      <c r="BA5" s="459">
        <v>12.57</v>
      </c>
      <c r="BB5" s="459">
        <v>12.57</v>
      </c>
      <c r="BC5" s="459">
        <v>20</v>
      </c>
      <c r="BD5" s="459">
        <v>3</v>
      </c>
      <c r="BF5" s="669"/>
      <c r="BG5" s="669"/>
      <c r="BH5" s="669"/>
    </row>
    <row r="6" spans="1:62" ht="11.25" hidden="1" customHeight="1">
      <c r="A6" s="17" t="s">
        <v>349</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669" customFormat="1" ht="11.25" hidden="1" customHeight="1">
      <c r="A9" s="669" t="s">
        <v>354</v>
      </c>
      <c r="B9" s="670"/>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I9" s="459"/>
      <c r="BJ9" s="459"/>
    </row>
    <row r="10" spans="1:62" s="669" customFormat="1" ht="11.25" hidden="1" customHeight="1">
      <c r="A10" s="669" t="s">
        <v>355</v>
      </c>
      <c r="B10" s="670"/>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I10" s="459"/>
      <c r="BJ10" s="459"/>
    </row>
    <row r="11" spans="1:62" s="669" customFormat="1" ht="11.25" hidden="1" customHeight="1">
      <c r="A11" s="669" t="s">
        <v>356</v>
      </c>
      <c r="B11" s="670"/>
      <c r="BC11" s="669" t="str" cm="1">
        <f t="array" ref="BC11">BC24</f>
        <v>Ссылка на правовую норму (основание для принятия показателя в расчет тарифа)</v>
      </c>
      <c r="BI11" s="459"/>
      <c r="BJ11" s="459"/>
    </row>
    <row r="12" spans="1:62" s="669" customFormat="1" ht="11.25" hidden="1" customHeight="1">
      <c r="A12" s="669" t="s">
        <v>327</v>
      </c>
      <c r="B12" s="670"/>
      <c r="AC12" s="669" t="s">
        <v>314</v>
      </c>
      <c r="BI12" s="459"/>
      <c r="BJ12" s="45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357</v>
      </c>
      <c r="AC18" s="17" t="s">
        <v>192</v>
      </c>
    </row>
    <row r="19" spans="1:62" ht="11.25" hidden="1" customHeight="1"/>
    <row r="20" spans="1:62" ht="11.25" hidden="1" customHeight="1"/>
    <row r="21" spans="1:62" ht="14.65" customHeight="1">
      <c r="E21" s="459">
        <v>15</v>
      </c>
      <c r="AA21" s="59"/>
      <c r="AC21" s="3" t="str" cm="1">
        <f t="array" ref="AC21">tpl_title</f>
        <v>Кемеровская область / 2026 / МУП "Водоканал" (ИНН:4202043124, КПП:420201001) / ДПР: 2026-2028</v>
      </c>
    </row>
    <row r="22" spans="1:62" s="59" customFormat="1" ht="14.65" customHeight="1">
      <c r="B22" s="46"/>
      <c r="E22" s="460">
        <v>15</v>
      </c>
      <c r="AB22" s="225" t="s">
        <v>857</v>
      </c>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F22" s="672"/>
      <c r="BG22" s="672"/>
      <c r="BH22" s="672"/>
      <c r="BI22" s="460"/>
      <c r="BJ22" s="460"/>
    </row>
    <row r="23" spans="1:62" s="59" customFormat="1" ht="10.9" customHeight="1">
      <c r="B23" s="46"/>
      <c r="E23" s="460">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2"/>
      <c r="BG23" s="672"/>
      <c r="BH23" s="672"/>
      <c r="BI23" s="460"/>
      <c r="BJ23" s="460"/>
    </row>
    <row r="24" spans="1:62" s="60" customFormat="1" ht="17.850000000000001" customHeight="1">
      <c r="B24" s="325"/>
      <c r="E24" s="457">
        <v>15</v>
      </c>
      <c r="AB24" s="1064" t="s">
        <v>21</v>
      </c>
      <c r="AC24" s="1064" t="s">
        <v>358</v>
      </c>
      <c r="AD24" s="1064" t="s">
        <v>359</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9" t="s">
        <v>580</v>
      </c>
      <c r="BF24" s="667"/>
      <c r="BG24" s="667"/>
      <c r="BH24" s="667"/>
      <c r="BI24" s="457"/>
      <c r="BJ24" s="457"/>
    </row>
    <row r="25" spans="1:62" s="60" customFormat="1" ht="48.75" customHeight="1">
      <c r="B25" s="325"/>
      <c r="E25" s="457">
        <v>50</v>
      </c>
      <c r="F25" s="60" t="s">
        <v>361</v>
      </c>
      <c r="AB25" s="1064"/>
      <c r="AC25" s="1064"/>
      <c r="AD25" s="1064"/>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29"/>
      <c r="BF25" s="667"/>
      <c r="BG25" s="667"/>
      <c r="BH25" s="667"/>
      <c r="BI25" s="457"/>
      <c r="BJ25" s="457"/>
    </row>
    <row r="26" spans="1:62" ht="11.25" hidden="1" customHeight="1">
      <c r="A26" s="314"/>
      <c r="B26" s="477"/>
      <c r="C26" s="314"/>
      <c r="D26" s="314"/>
      <c r="E26" s="478">
        <v>0</v>
      </c>
      <c r="F26" s="314"/>
      <c r="G26" s="314"/>
      <c r="H26" s="314"/>
      <c r="I26" s="314"/>
      <c r="J26" s="314"/>
      <c r="K26" s="314"/>
      <c r="L26" s="314"/>
      <c r="M26" s="314"/>
      <c r="N26" s="314"/>
      <c r="O26" s="314"/>
      <c r="P26" s="314"/>
      <c r="Q26" s="314"/>
      <c r="R26" s="314"/>
      <c r="S26" s="314"/>
      <c r="T26" s="314"/>
      <c r="U26" s="314"/>
      <c r="V26" s="314"/>
      <c r="W26" s="314"/>
      <c r="X26" s="314"/>
      <c r="Y26" s="314"/>
      <c r="Z26" s="314"/>
      <c r="AA26" s="314"/>
      <c r="AB26"/>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s="60" customFormat="1" ht="14.65" hidden="1" customHeight="1">
      <c r="B27" s="325"/>
      <c r="E27" s="457">
        <v>15</v>
      </c>
      <c r="F27" s="252" cm="1">
        <f t="array" ref="F27">X27</f>
        <v>0</v>
      </c>
      <c r="G27" s="62"/>
      <c r="H27" s="62"/>
      <c r="T27" s="351" t="b">
        <f>X27&gt;0</f>
        <v>0</v>
      </c>
      <c r="V27" s="60" t="s">
        <v>266</v>
      </c>
      <c r="X27" s="998">
        <v>0</v>
      </c>
      <c r="Z27" s="1026"/>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7"/>
      <c r="BG27" s="667"/>
      <c r="BH27" s="667"/>
      <c r="BI27" s="457"/>
      <c r="BJ27" s="457"/>
    </row>
    <row r="28" spans="1:62" s="62" customFormat="1" ht="14.65" hidden="1" customHeight="1">
      <c r="B28" s="325"/>
      <c r="D28" s="362"/>
      <c r="E28" s="178">
        <v>15</v>
      </c>
      <c r="F28" s="3" cm="1">
        <f t="array" aca="1" ref="F28" ca="1">OFFSET(E28,-1,1)</f>
        <v>0</v>
      </c>
      <c r="H28" s="62" t="str" cm="1">
        <f t="array" ref="H28">AC28</f>
        <v>Всего по тарифу</v>
      </c>
      <c r="K28" s="362" t="str">
        <f ca="1">F28&amp;"komm"</f>
        <v>0komm</v>
      </c>
      <c r="L28" s="605" cm="1">
        <f t="array" ref="L28">BC28</f>
        <v>0</v>
      </c>
      <c r="T28" s="351" t="b" cm="1">
        <f t="array" ref="T28">T27</f>
        <v>0</v>
      </c>
      <c r="X28" s="998"/>
      <c r="Z28" s="1026"/>
      <c r="AB28" s="61"/>
      <c r="AC28" s="54" t="s">
        <v>858</v>
      </c>
      <c r="AD28" s="12" t="s">
        <v>859</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3"/>
      <c r="BF28" s="676" t="s">
        <v>860</v>
      </c>
      <c r="BG28" s="676"/>
      <c r="BH28" s="676"/>
      <c r="BI28" s="178"/>
      <c r="BJ28" s="178"/>
    </row>
    <row r="29" spans="1:62" s="62" customFormat="1" ht="14.65" hidden="1" customHeight="1">
      <c r="B29" s="325"/>
      <c r="E29" s="178">
        <v>15</v>
      </c>
      <c r="F29" s="3" cm="1">
        <f t="array" aca="1" ref="F29" ca="1">OFFSET(E29,-1,1)</f>
        <v>0</v>
      </c>
      <c r="G29" s="62" t="s">
        <v>321</v>
      </c>
      <c r="H29" s="62" cm="1">
        <f t="array" ref="H29">AC29</f>
        <v>0</v>
      </c>
      <c r="T29" s="351" t="b">
        <f ca="1">AND(F29&gt;0,AB29&gt;0)</f>
        <v>0</v>
      </c>
      <c r="W29" s="515" t="s">
        <v>171</v>
      </c>
      <c r="X29" s="998"/>
      <c r="Z29" s="1026"/>
      <c r="AA29" s="480" t="s">
        <v>172</v>
      </c>
      <c r="AB29" s="8">
        <v>0</v>
      </c>
      <c r="AC29" s="885"/>
      <c r="AD29" s="12" t="s">
        <v>859</v>
      </c>
      <c r="AE29" s="817"/>
      <c r="AF29" s="817"/>
      <c r="AG29" s="817"/>
      <c r="AH29" s="817"/>
      <c r="AI29" s="57"/>
      <c r="AJ29" s="57"/>
      <c r="AK29" s="57"/>
      <c r="AL29" s="817"/>
      <c r="AM29" s="817"/>
      <c r="AN29" s="817"/>
      <c r="AO29" s="817"/>
      <c r="AP29" s="817"/>
      <c r="AQ29" s="817"/>
      <c r="AR29" s="817"/>
      <c r="AS29" s="57"/>
      <c r="AT29" s="57"/>
      <c r="AU29" s="57"/>
      <c r="AV29" s="817"/>
      <c r="AW29" s="817"/>
      <c r="AX29" s="817"/>
      <c r="AY29" s="817"/>
      <c r="AZ29" s="817"/>
      <c r="BA29" s="817"/>
      <c r="BB29" s="817"/>
      <c r="BC29" s="823"/>
      <c r="BF29" s="676" t="s">
        <v>861</v>
      </c>
      <c r="BG29" s="676" t="s">
        <v>862</v>
      </c>
      <c r="BH29" s="676" cm="1">
        <f t="array" ref="BH29">AC29</f>
        <v>0</v>
      </c>
      <c r="BI29" s="178"/>
      <c r="BJ29" s="178" t="b">
        <v>1</v>
      </c>
    </row>
    <row r="30" spans="1:62" s="59" customFormat="1" ht="14.65" hidden="1" customHeight="1">
      <c r="B30" s="46"/>
      <c r="E30" s="460">
        <v>15</v>
      </c>
      <c r="F30" s="3" cm="1">
        <f t="array" aca="1" ref="F30" ca="1">OFFSET(E30,-1,1)</f>
        <v>0</v>
      </c>
      <c r="H30" s="59" t="str">
        <f>"!== 'Всего по тарифу'"</f>
        <v>!== 'Всего по тарифу'</v>
      </c>
      <c r="T30" s="351" t="b" cm="1">
        <f t="array" ref="T30">T27</f>
        <v>0</v>
      </c>
      <c r="W30" s="515" t="s">
        <v>863</v>
      </c>
      <c r="X30" s="998"/>
      <c r="Z30" s="1026"/>
      <c r="AB30" s="89"/>
      <c r="AC30" s="92" t="s">
        <v>175</v>
      </c>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101"/>
      <c r="BF30" s="672"/>
      <c r="BG30" s="672"/>
      <c r="BH30" s="672"/>
      <c r="BI30" s="460" t="s">
        <v>862</v>
      </c>
      <c r="BJ30" s="460"/>
    </row>
    <row r="31" spans="1:62" s="835" customFormat="1" ht="26.65" customHeight="1">
      <c r="A31" s="60"/>
      <c r="B31" s="325"/>
      <c r="C31" s="60"/>
      <c r="D31" s="60"/>
      <c r="E31" s="457">
        <v>15</v>
      </c>
      <c r="F31" s="252" t="str" cm="1">
        <f t="array" ref="F31">X31</f>
        <v>1</v>
      </c>
      <c r="G31" s="62"/>
      <c r="H31" s="62"/>
      <c r="I31" s="60"/>
      <c r="J31" s="60"/>
      <c r="K31" s="60"/>
      <c r="L31" s="60"/>
      <c r="M31" s="60"/>
      <c r="N31" s="60"/>
      <c r="O31" s="60"/>
      <c r="P31" s="60"/>
      <c r="Q31" s="60"/>
      <c r="R31" s="60"/>
      <c r="S31" s="60"/>
      <c r="T31" s="351" t="b">
        <f>X31&gt;0</f>
        <v>1</v>
      </c>
      <c r="U31" s="60"/>
      <c r="V31" s="60" t="str" cm="1">
        <f t="array" ref="V31">'Условные метры'!$AB$32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31" s="60"/>
      <c r="X31" s="998" t="s">
        <v>277</v>
      </c>
      <c r="Y31" s="60"/>
      <c r="Z31" s="1026"/>
      <c r="AA31" s="60"/>
      <c r="AB31" s="97" t="str" cm="1">
        <f t="array" ref="AB31">'Условные метры'!$AB$32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1" s="94"/>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60"/>
      <c r="BE31" s="60"/>
      <c r="BF31" s="667"/>
      <c r="BG31" s="667"/>
      <c r="BH31" s="667"/>
      <c r="BI31" s="457"/>
      <c r="BJ31" s="457"/>
    </row>
    <row r="32" spans="1:62" s="325" customFormat="1" ht="48.6" customHeight="1">
      <c r="A32" s="62"/>
      <c r="C32" s="62"/>
      <c r="D32" s="362"/>
      <c r="E32" s="178">
        <v>15</v>
      </c>
      <c r="F32" s="3" t="str" cm="1">
        <f t="array" aca="1" ref="F32" ca="1">OFFSET(E32,-1,1)</f>
        <v>1</v>
      </c>
      <c r="G32" s="62"/>
      <c r="H32" s="62" t="str" cm="1">
        <f t="array" ref="H32">AC32</f>
        <v>Всего по тарифу</v>
      </c>
      <c r="I32" s="62"/>
      <c r="J32" s="62"/>
      <c r="K32" s="362" t="str">
        <f ca="1">F32&amp;"komm"</f>
        <v>1komm</v>
      </c>
      <c r="L32" s="605" t="str" cm="1">
        <f t="array" ref="L32">BC32</f>
        <v>1) Пункты 22 - 23, 65 (л) Основ ценообразования  2)  П. 49 (10) , 16, 18(1), 19, 33 Методических указаний ФСТ России № 1746-э.</v>
      </c>
      <c r="M32" s="62"/>
      <c r="N32" s="62"/>
      <c r="O32" s="62"/>
      <c r="P32" s="62"/>
      <c r="Q32" s="62"/>
      <c r="R32" s="62"/>
      <c r="S32" s="62"/>
      <c r="T32" s="351" t="b" cm="1">
        <f t="array" ref="T32">T31</f>
        <v>1</v>
      </c>
      <c r="U32" s="62"/>
      <c r="V32" s="62"/>
      <c r="W32" s="62"/>
      <c r="X32" s="998"/>
      <c r="Y32" s="62"/>
      <c r="Z32" s="1026"/>
      <c r="AA32" s="62"/>
      <c r="AB32" s="61"/>
      <c r="AC32" s="54" t="s">
        <v>858</v>
      </c>
      <c r="AD32" s="12" t="s">
        <v>859</v>
      </c>
      <c r="AE32" s="58">
        <f t="shared" ref="AE32:BB32" si="2">SUM(AE33:AE35)</f>
        <v>40.98</v>
      </c>
      <c r="AF32" s="58">
        <f t="shared" si="2"/>
        <v>56.34</v>
      </c>
      <c r="AG32" s="58">
        <f t="shared" si="2"/>
        <v>56.34</v>
      </c>
      <c r="AH32" s="58">
        <f t="shared" si="2"/>
        <v>920.13</v>
      </c>
      <c r="AI32" s="58">
        <f t="shared" si="2"/>
        <v>921.26</v>
      </c>
      <c r="AJ32" s="58">
        <f t="shared" si="2"/>
        <v>957.19</v>
      </c>
      <c r="AK32" s="58">
        <f t="shared" si="2"/>
        <v>993.57</v>
      </c>
      <c r="AL32" s="58">
        <f t="shared" si="2"/>
        <v>0</v>
      </c>
      <c r="AM32" s="58">
        <f t="shared" si="2"/>
        <v>0</v>
      </c>
      <c r="AN32" s="58">
        <f t="shared" si="2"/>
        <v>0</v>
      </c>
      <c r="AO32" s="58">
        <f t="shared" si="2"/>
        <v>0</v>
      </c>
      <c r="AP32" s="58">
        <f t="shared" si="2"/>
        <v>0</v>
      </c>
      <c r="AQ32" s="58">
        <f t="shared" si="2"/>
        <v>0</v>
      </c>
      <c r="AR32" s="58">
        <f t="shared" si="2"/>
        <v>0</v>
      </c>
      <c r="AS32" s="58">
        <f t="shared" si="2"/>
        <v>699.89</v>
      </c>
      <c r="AT32" s="58">
        <f t="shared" si="2"/>
        <v>727.18</v>
      </c>
      <c r="AU32" s="58">
        <f t="shared" si="2"/>
        <v>754.81</v>
      </c>
      <c r="AV32" s="58">
        <f t="shared" si="2"/>
        <v>0</v>
      </c>
      <c r="AW32" s="58">
        <f t="shared" si="2"/>
        <v>0</v>
      </c>
      <c r="AX32" s="58">
        <f t="shared" si="2"/>
        <v>0</v>
      </c>
      <c r="AY32" s="58">
        <f t="shared" si="2"/>
        <v>0</v>
      </c>
      <c r="AZ32" s="58">
        <f t="shared" si="2"/>
        <v>0</v>
      </c>
      <c r="BA32" s="58">
        <f t="shared" si="2"/>
        <v>0</v>
      </c>
      <c r="BB32" s="58">
        <f t="shared" si="2"/>
        <v>0</v>
      </c>
      <c r="BC32" s="113" t="s">
        <v>864</v>
      </c>
      <c r="BD32" s="62"/>
      <c r="BE32" s="62"/>
      <c r="BF32" s="676" t="s">
        <v>860</v>
      </c>
      <c r="BG32" s="676"/>
      <c r="BH32" s="676"/>
      <c r="BI32" s="178"/>
      <c r="BJ32" s="178"/>
    </row>
    <row r="33" spans="1:62" s="325" customFormat="1" ht="14.25" hidden="1" customHeight="1">
      <c r="A33" s="62"/>
      <c r="C33" s="62"/>
      <c r="D33" s="62"/>
      <c r="E33" s="178">
        <v>15</v>
      </c>
      <c r="F33" s="3" t="str" cm="1">
        <f t="array" aca="1" ref="F33" ca="1">OFFSET(E33,-1,1)</f>
        <v>1</v>
      </c>
      <c r="G33" s="62" t="s">
        <v>321</v>
      </c>
      <c r="H33" s="62" cm="1">
        <f t="array" ref="H33">AC33</f>
        <v>0</v>
      </c>
      <c r="I33" s="62"/>
      <c r="J33" s="62"/>
      <c r="K33" s="62"/>
      <c r="L33" s="62"/>
      <c r="M33" s="62"/>
      <c r="N33" s="62"/>
      <c r="O33" s="62"/>
      <c r="P33" s="62"/>
      <c r="Q33" s="62"/>
      <c r="R33" s="62"/>
      <c r="S33" s="62"/>
      <c r="T33" s="351" t="b">
        <f ca="1">AND(F33&gt;0,AB33&gt;0)</f>
        <v>0</v>
      </c>
      <c r="U33" s="62"/>
      <c r="V33" s="62"/>
      <c r="W33" s="515" t="s">
        <v>171</v>
      </c>
      <c r="X33" s="998"/>
      <c r="Y33" s="62"/>
      <c r="Z33" s="1026"/>
      <c r="AA33" s="480" t="s">
        <v>172</v>
      </c>
      <c r="AB33" s="8">
        <v>0</v>
      </c>
      <c r="AC33" s="885"/>
      <c r="AD33" s="12" t="s">
        <v>859</v>
      </c>
      <c r="AE33" s="817"/>
      <c r="AF33" s="817"/>
      <c r="AG33" s="817"/>
      <c r="AH33" s="817"/>
      <c r="AI33" s="57"/>
      <c r="AJ33" s="57"/>
      <c r="AK33" s="57"/>
      <c r="AL33" s="817"/>
      <c r="AM33" s="817"/>
      <c r="AN33" s="817"/>
      <c r="AO33" s="817"/>
      <c r="AP33" s="817"/>
      <c r="AQ33" s="817"/>
      <c r="AR33" s="817"/>
      <c r="AS33" s="57"/>
      <c r="AT33" s="57"/>
      <c r="AU33" s="57"/>
      <c r="AV33" s="817"/>
      <c r="AW33" s="817"/>
      <c r="AX33" s="817"/>
      <c r="AY33" s="817"/>
      <c r="AZ33" s="817"/>
      <c r="BA33" s="817"/>
      <c r="BB33" s="817"/>
      <c r="BC33" s="823"/>
      <c r="BD33" s="62"/>
      <c r="BE33" s="62"/>
      <c r="BF33" s="676" t="s">
        <v>861</v>
      </c>
      <c r="BG33" s="676" t="s">
        <v>862</v>
      </c>
      <c r="BH33" s="676" cm="1">
        <f t="array" ref="BH33">AC33</f>
        <v>0</v>
      </c>
      <c r="BI33" s="178"/>
      <c r="BJ33" s="178" t="b">
        <v>1</v>
      </c>
    </row>
    <row r="34" spans="1:62" s="325" customFormat="1" ht="132.94999999999999" customHeight="1">
      <c r="A34" s="62"/>
      <c r="C34" s="62"/>
      <c r="D34" s="62"/>
      <c r="E34" s="178">
        <v>15</v>
      </c>
      <c r="F34" s="3" t="str" cm="1">
        <f t="array" aca="1" ref="F34" ca="1">OFFSET(E34,-1,1)</f>
        <v>1</v>
      </c>
      <c r="G34" s="62" t="s">
        <v>321</v>
      </c>
      <c r="H34" s="62" t="str" cm="1">
        <f t="array" ref="H34">AC34</f>
        <v>Препарат антимикробный "БИОПАГ" (твердая форма)</v>
      </c>
      <c r="I34" s="62"/>
      <c r="J34" s="62"/>
      <c r="K34" s="62"/>
      <c r="L34" s="62"/>
      <c r="M34" s="62"/>
      <c r="N34" s="62"/>
      <c r="O34" s="62"/>
      <c r="P34" s="62"/>
      <c r="Q34" s="62"/>
      <c r="R34" s="62"/>
      <c r="S34" s="62"/>
      <c r="T34" s="351" t="b">
        <f ca="1">AND(F34&gt;0,AB34&gt;0)</f>
        <v>1</v>
      </c>
      <c r="U34" s="62"/>
      <c r="V34" s="62"/>
      <c r="W34" s="515"/>
      <c r="X34" s="998"/>
      <c r="Y34" s="62"/>
      <c r="Z34" s="1026"/>
      <c r="AA34" s="480" t="s">
        <v>172</v>
      </c>
      <c r="AB34" s="8" t="s">
        <v>277</v>
      </c>
      <c r="AC34" s="112" t="s">
        <v>865</v>
      </c>
      <c r="AD34" s="12" t="s">
        <v>859</v>
      </c>
      <c r="AE34" s="57">
        <v>40.98</v>
      </c>
      <c r="AF34" s="57">
        <v>56.34</v>
      </c>
      <c r="AG34" s="57">
        <v>56.34</v>
      </c>
      <c r="AH34" s="57">
        <v>920.13</v>
      </c>
      <c r="AI34" s="57">
        <v>921.26</v>
      </c>
      <c r="AJ34" s="57">
        <v>957.19</v>
      </c>
      <c r="AK34" s="57">
        <v>993.57</v>
      </c>
      <c r="AL34" s="57"/>
      <c r="AM34" s="57"/>
      <c r="AN34" s="57"/>
      <c r="AO34" s="57"/>
      <c r="AP34" s="57"/>
      <c r="AQ34" s="57"/>
      <c r="AR34" s="57"/>
      <c r="AS34" s="57">
        <v>699.89</v>
      </c>
      <c r="AT34" s="57">
        <v>727.18</v>
      </c>
      <c r="AU34" s="57">
        <v>754.81</v>
      </c>
      <c r="AV34" s="57"/>
      <c r="AW34" s="57"/>
      <c r="AX34" s="57"/>
      <c r="AY34" s="57"/>
      <c r="AZ34" s="57"/>
      <c r="BA34" s="57"/>
      <c r="BB34" s="57"/>
      <c r="BC34" s="113" t="s">
        <v>866</v>
      </c>
      <c r="BD34" s="62"/>
      <c r="BE34" s="62"/>
      <c r="BF34" s="676" t="s">
        <v>861</v>
      </c>
      <c r="BG34" s="676" t="s">
        <v>862</v>
      </c>
      <c r="BH34" s="676" t="str" cm="1">
        <f t="array" ref="BH34">AC34</f>
        <v>Препарат антимикробный "БИОПАГ" (твердая форма)</v>
      </c>
      <c r="BI34" s="178"/>
      <c r="BJ34" s="178" t="b">
        <v>1</v>
      </c>
    </row>
    <row r="35" spans="1:62" s="59" customFormat="1" ht="14.25" customHeight="1">
      <c r="B35" s="46"/>
      <c r="E35" s="460">
        <v>15</v>
      </c>
      <c r="F35" s="3" t="str" cm="1">
        <f t="array" aca="1" ref="F35" ca="1">OFFSET(E35,-1,1)</f>
        <v>1</v>
      </c>
      <c r="H35" s="59" t="str">
        <f>"!== 'Всего по тарифу'"</f>
        <v>!== 'Всего по тарифу'</v>
      </c>
      <c r="T35" s="351" t="b" cm="1">
        <f t="array" ref="T35">T31</f>
        <v>1</v>
      </c>
      <c r="W35" s="515" t="s">
        <v>863</v>
      </c>
      <c r="X35" s="998"/>
      <c r="Z35" s="1026"/>
      <c r="AB35" s="89"/>
      <c r="AC35" s="92" t="s">
        <v>175</v>
      </c>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101"/>
      <c r="BF35" s="672"/>
      <c r="BG35" s="672"/>
      <c r="BH35" s="672"/>
      <c r="BI35" s="460" t="s">
        <v>862</v>
      </c>
      <c r="BJ35" s="460"/>
    </row>
    <row r="36" spans="1:62" ht="10.9" customHeight="1">
      <c r="A36" s="314"/>
      <c r="B36" s="477"/>
      <c r="C36" s="314"/>
      <c r="D36" s="314"/>
      <c r="E36" s="478">
        <v>11.25</v>
      </c>
      <c r="F36" s="314"/>
      <c r="G36" s="314"/>
      <c r="H36" s="314"/>
      <c r="I36" s="314"/>
      <c r="J36" s="314"/>
      <c r="K36" s="314"/>
      <c r="L36" s="314"/>
      <c r="M36" s="314"/>
      <c r="N36" s="314"/>
      <c r="O36" s="314"/>
      <c r="P36" s="314"/>
      <c r="Q36" s="314"/>
      <c r="R36" s="314"/>
      <c r="S36" s="314"/>
      <c r="T36" s="314"/>
      <c r="U36" s="314" t="s">
        <v>175</v>
      </c>
      <c r="V36" s="56" t="s">
        <v>867</v>
      </c>
      <c r="W36" s="314"/>
      <c r="X36" s="314"/>
      <c r="Y36" s="314"/>
      <c r="Z36" s="314"/>
      <c r="AA36" s="314"/>
      <c r="AB36"/>
      <c r="AC36" s="18"/>
      <c r="AD36" s="18"/>
      <c r="AE36" s="18"/>
      <c r="AF36" s="18"/>
      <c r="AG36"/>
      <c r="AH36"/>
      <c r="AI36"/>
      <c r="AJ36"/>
      <c r="AK36"/>
      <c r="AL36"/>
      <c r="AM36"/>
      <c r="AN36"/>
      <c r="AO36"/>
      <c r="AP36"/>
      <c r="AQ36" s="19"/>
      <c r="AR36"/>
      <c r="AS36"/>
      <c r="AT36"/>
      <c r="AU36"/>
      <c r="AV36"/>
      <c r="AW36"/>
      <c r="AX36"/>
      <c r="AY36"/>
      <c r="AZ36"/>
      <c r="BA36"/>
      <c r="BB36"/>
      <c r="BC36"/>
      <c r="BD36"/>
      <c r="BE36"/>
      <c r="BF36" s="659"/>
      <c r="BG36" s="659"/>
      <c r="BH36" s="659"/>
      <c r="BI36" s="452"/>
      <c r="BJ36" s="452"/>
    </row>
    <row r="37" spans="1:62" ht="10.9" customHeight="1">
      <c r="E37" s="459">
        <v>11.25</v>
      </c>
    </row>
    <row r="38" spans="1:62" ht="14.65" customHeight="1">
      <c r="E38" s="459">
        <v>15</v>
      </c>
      <c r="AB38" s="1028" t="s">
        <v>396</v>
      </c>
      <c r="AC38" s="1028"/>
      <c r="AD38" s="1028"/>
      <c r="AE38" s="1028"/>
      <c r="AF38" s="1028"/>
      <c r="AG38" s="1028"/>
      <c r="AH38" s="1028"/>
      <c r="AI38" s="1048"/>
      <c r="AJ38" s="1048"/>
      <c r="AK38" s="1048"/>
      <c r="AL38" s="1048"/>
      <c r="AM38" s="1048"/>
      <c r="AN38" s="1048"/>
      <c r="AO38" s="1048"/>
      <c r="AP38" s="1048"/>
      <c r="AQ38" s="1048"/>
      <c r="AR38" s="1048"/>
      <c r="AS38" s="1048"/>
      <c r="AT38" s="1048"/>
      <c r="AU38" s="1048"/>
      <c r="AV38" s="1048"/>
      <c r="AW38" s="1048"/>
      <c r="AX38" s="1048"/>
      <c r="AY38" s="1048"/>
      <c r="AZ38" s="1048"/>
      <c r="BA38" s="1048"/>
      <c r="BB38" s="1048"/>
      <c r="BC38" s="1048"/>
    </row>
    <row r="39" spans="1:62" ht="42.95" customHeight="1">
      <c r="E39" s="459">
        <v>15</v>
      </c>
      <c r="AB39" s="1069" t="s">
        <v>868</v>
      </c>
      <c r="AC39" s="1067"/>
      <c r="AD39" s="1067"/>
      <c r="AE39" s="1067"/>
      <c r="AF39" s="1067"/>
      <c r="AG39" s="1067"/>
      <c r="AH39" s="1067"/>
      <c r="AI39" s="1067"/>
      <c r="AJ39" s="1067"/>
      <c r="AK39" s="1067"/>
      <c r="AL39" s="1066"/>
      <c r="AM39" s="1066"/>
      <c r="AN39" s="1066"/>
      <c r="AO39" s="1066"/>
      <c r="AP39" s="1066"/>
      <c r="AQ39" s="1066"/>
      <c r="AR39" s="1066"/>
      <c r="AS39" s="1067"/>
      <c r="AT39" s="1067"/>
      <c r="AU39" s="1067"/>
      <c r="AV39" s="1066"/>
      <c r="AW39" s="1066"/>
      <c r="AX39" s="1066"/>
      <c r="AY39" s="1066"/>
      <c r="AZ39" s="1066"/>
      <c r="BA39" s="1066"/>
      <c r="BB39" s="1066"/>
      <c r="BC39" s="1070"/>
    </row>
    <row r="40" spans="1:62" ht="14.65" hidden="1" customHeight="1">
      <c r="E40" s="459">
        <v>15</v>
      </c>
      <c r="T40" s="351" t="b">
        <f t="shared" ref="T40:T47" si="3">ROW(W40)&gt;ROW(W$40)</f>
        <v>0</v>
      </c>
      <c r="W40" s="515" t="s">
        <v>171</v>
      </c>
      <c r="AA40" s="480" t="s">
        <v>172</v>
      </c>
      <c r="AB40" s="1065" t="s">
        <v>124</v>
      </c>
      <c r="AC40" s="1066"/>
      <c r="AD40" s="1066"/>
      <c r="AE40" s="1066"/>
      <c r="AF40" s="1066"/>
      <c r="AG40" s="1066"/>
      <c r="AH40" s="1066"/>
      <c r="AI40" s="1067"/>
      <c r="AJ40" s="1067"/>
      <c r="AK40" s="1067"/>
      <c r="AL40" s="1066"/>
      <c r="AM40" s="1066"/>
      <c r="AN40" s="1066"/>
      <c r="AO40" s="1066"/>
      <c r="AP40" s="1066"/>
      <c r="AQ40" s="1066"/>
      <c r="AR40" s="1066"/>
      <c r="AS40" s="1067"/>
      <c r="AT40" s="1067"/>
      <c r="AU40" s="1067"/>
      <c r="AV40" s="1066"/>
      <c r="AW40" s="1066"/>
      <c r="AX40" s="1066"/>
      <c r="AY40" s="1066"/>
      <c r="AZ40" s="1066"/>
      <c r="BA40" s="1066"/>
      <c r="BB40" s="1066"/>
      <c r="BC40" s="1068"/>
    </row>
    <row r="41" spans="1:62" ht="35.450000000000003" customHeight="1">
      <c r="E41" s="459">
        <v>15</v>
      </c>
      <c r="T41" s="351" t="b">
        <f t="shared" si="3"/>
        <v>1</v>
      </c>
      <c r="W41" s="515"/>
      <c r="AA41" s="480" t="s">
        <v>172</v>
      </c>
      <c r="AB41" s="1069" t="s">
        <v>869</v>
      </c>
      <c r="AC41" s="1067"/>
      <c r="AD41" s="1067"/>
      <c r="AE41" s="1067"/>
      <c r="AF41" s="1067"/>
      <c r="AG41" s="1067"/>
      <c r="AH41" s="1067"/>
      <c r="AI41" s="1067"/>
      <c r="AJ41" s="1067"/>
      <c r="AK41" s="1067"/>
      <c r="AL41" s="1067"/>
      <c r="AM41" s="1067"/>
      <c r="AN41" s="1067"/>
      <c r="AO41" s="1067"/>
      <c r="AP41" s="1067"/>
      <c r="AQ41" s="1067"/>
      <c r="AR41" s="1067"/>
      <c r="AS41" s="1067"/>
      <c r="AT41" s="1067"/>
      <c r="AU41" s="1067"/>
      <c r="AV41" s="1067"/>
      <c r="AW41" s="1067"/>
      <c r="AX41" s="1067"/>
      <c r="AY41" s="1067"/>
      <c r="AZ41" s="1067"/>
      <c r="BA41" s="1067"/>
      <c r="BB41" s="1067"/>
      <c r="BC41" s="1070"/>
    </row>
    <row r="42" spans="1:62" ht="34.15" customHeight="1">
      <c r="E42" s="459">
        <v>15</v>
      </c>
      <c r="T42" s="351" t="b">
        <f t="shared" si="3"/>
        <v>1</v>
      </c>
      <c r="W42" s="515"/>
      <c r="AA42" s="480" t="s">
        <v>172</v>
      </c>
      <c r="AB42" s="1069" t="s">
        <v>870</v>
      </c>
      <c r="AC42" s="1067"/>
      <c r="AD42" s="1067"/>
      <c r="AE42" s="1067"/>
      <c r="AF42" s="1067"/>
      <c r="AG42" s="1067"/>
      <c r="AH42" s="1067"/>
      <c r="AI42" s="1067"/>
      <c r="AJ42" s="1067"/>
      <c r="AK42" s="1067"/>
      <c r="AL42" s="1067"/>
      <c r="AM42" s="1067"/>
      <c r="AN42" s="1067"/>
      <c r="AO42" s="1067"/>
      <c r="AP42" s="1067"/>
      <c r="AQ42" s="1067"/>
      <c r="AR42" s="1067"/>
      <c r="AS42" s="1067"/>
      <c r="AT42" s="1067"/>
      <c r="AU42" s="1067"/>
      <c r="AV42" s="1067"/>
      <c r="AW42" s="1067"/>
      <c r="AX42" s="1067"/>
      <c r="AY42" s="1067"/>
      <c r="AZ42" s="1067"/>
      <c r="BA42" s="1067"/>
      <c r="BB42" s="1067"/>
      <c r="BC42" s="1070"/>
    </row>
    <row r="43" spans="1:62" ht="26.1" customHeight="1">
      <c r="E43" s="459">
        <v>15</v>
      </c>
      <c r="T43" s="351" t="b">
        <f t="shared" si="3"/>
        <v>1</v>
      </c>
      <c r="W43" s="515"/>
      <c r="AA43" s="480" t="s">
        <v>172</v>
      </c>
      <c r="AB43" s="1069" t="s">
        <v>871</v>
      </c>
      <c r="AC43" s="1067"/>
      <c r="AD43" s="1067"/>
      <c r="AE43" s="1067"/>
      <c r="AF43" s="1067"/>
      <c r="AG43" s="1067"/>
      <c r="AH43" s="1067"/>
      <c r="AI43" s="1067"/>
      <c r="AJ43" s="1067"/>
      <c r="AK43" s="1067"/>
      <c r="AL43" s="1067"/>
      <c r="AM43" s="1067"/>
      <c r="AN43" s="1067"/>
      <c r="AO43" s="1067"/>
      <c r="AP43" s="1067"/>
      <c r="AQ43" s="1067"/>
      <c r="AR43" s="1067"/>
      <c r="AS43" s="1067"/>
      <c r="AT43" s="1067"/>
      <c r="AU43" s="1067"/>
      <c r="AV43" s="1067"/>
      <c r="AW43" s="1067"/>
      <c r="AX43" s="1067"/>
      <c r="AY43" s="1067"/>
      <c r="AZ43" s="1067"/>
      <c r="BA43" s="1067"/>
      <c r="BB43" s="1067"/>
      <c r="BC43" s="1070"/>
    </row>
    <row r="44" spans="1:62" ht="34.15" customHeight="1">
      <c r="E44" s="459">
        <v>15</v>
      </c>
      <c r="T44" s="351" t="b">
        <f t="shared" si="3"/>
        <v>1</v>
      </c>
      <c r="W44" s="515"/>
      <c r="AA44" s="480" t="s">
        <v>172</v>
      </c>
      <c r="AB44" s="1069" t="s">
        <v>872</v>
      </c>
      <c r="AC44" s="1067"/>
      <c r="AD44" s="1067"/>
      <c r="AE44" s="1067"/>
      <c r="AF44" s="1067"/>
      <c r="AG44" s="1067"/>
      <c r="AH44" s="1067"/>
      <c r="AI44" s="1067"/>
      <c r="AJ44" s="1067"/>
      <c r="AK44" s="1067"/>
      <c r="AL44" s="1067"/>
      <c r="AM44" s="1067"/>
      <c r="AN44" s="1067"/>
      <c r="AO44" s="1067"/>
      <c r="AP44" s="1067"/>
      <c r="AQ44" s="1067"/>
      <c r="AR44" s="1067"/>
      <c r="AS44" s="1067"/>
      <c r="AT44" s="1067"/>
      <c r="AU44" s="1067"/>
      <c r="AV44" s="1067"/>
      <c r="AW44" s="1067"/>
      <c r="AX44" s="1067"/>
      <c r="AY44" s="1067"/>
      <c r="AZ44" s="1067"/>
      <c r="BA44" s="1067"/>
      <c r="BB44" s="1067"/>
      <c r="BC44" s="1070"/>
    </row>
    <row r="45" spans="1:62" ht="26.65" customHeight="1">
      <c r="E45" s="459">
        <v>15</v>
      </c>
      <c r="T45" s="351" t="b">
        <f t="shared" si="3"/>
        <v>1</v>
      </c>
      <c r="W45" s="515"/>
      <c r="AA45" s="480" t="s">
        <v>172</v>
      </c>
      <c r="AB45" s="1069" t="s">
        <v>873</v>
      </c>
      <c r="AC45" s="1067"/>
      <c r="AD45" s="1067"/>
      <c r="AE45" s="1067"/>
      <c r="AF45" s="1067"/>
      <c r="AG45" s="1067"/>
      <c r="AH45" s="1067"/>
      <c r="AI45" s="1067"/>
      <c r="AJ45" s="1067"/>
      <c r="AK45" s="1067"/>
      <c r="AL45" s="1067"/>
      <c r="AM45" s="1067"/>
      <c r="AN45" s="1067"/>
      <c r="AO45" s="1067"/>
      <c r="AP45" s="1067"/>
      <c r="AQ45" s="1067"/>
      <c r="AR45" s="1067"/>
      <c r="AS45" s="1067"/>
      <c r="AT45" s="1067"/>
      <c r="AU45" s="1067"/>
      <c r="AV45" s="1067"/>
      <c r="AW45" s="1067"/>
      <c r="AX45" s="1067"/>
      <c r="AY45" s="1067"/>
      <c r="AZ45" s="1067"/>
      <c r="BA45" s="1067"/>
      <c r="BB45" s="1067"/>
      <c r="BC45" s="1070"/>
    </row>
    <row r="46" spans="1:62" ht="42.4" customHeight="1">
      <c r="E46" s="459">
        <v>15</v>
      </c>
      <c r="T46" s="351" t="b">
        <f t="shared" si="3"/>
        <v>1</v>
      </c>
      <c r="W46" s="515"/>
      <c r="AA46" s="480" t="s">
        <v>172</v>
      </c>
      <c r="AB46" s="1069" t="s">
        <v>874</v>
      </c>
      <c r="AC46" s="1067"/>
      <c r="AD46" s="1067"/>
      <c r="AE46" s="1067"/>
      <c r="AF46" s="1067"/>
      <c r="AG46" s="1067"/>
      <c r="AH46" s="1067"/>
      <c r="AI46" s="1067"/>
      <c r="AJ46" s="1067"/>
      <c r="AK46" s="1067"/>
      <c r="AL46" s="1067"/>
      <c r="AM46" s="1067"/>
      <c r="AN46" s="1067"/>
      <c r="AO46" s="1067"/>
      <c r="AP46" s="1067"/>
      <c r="AQ46" s="1067"/>
      <c r="AR46" s="1067"/>
      <c r="AS46" s="1067"/>
      <c r="AT46" s="1067"/>
      <c r="AU46" s="1067"/>
      <c r="AV46" s="1067"/>
      <c r="AW46" s="1067"/>
      <c r="AX46" s="1067"/>
      <c r="AY46" s="1067"/>
      <c r="AZ46" s="1067"/>
      <c r="BA46" s="1067"/>
      <c r="BB46" s="1067"/>
      <c r="BC46" s="1070"/>
    </row>
    <row r="47" spans="1:62" ht="25.35" customHeight="1">
      <c r="E47" s="459">
        <v>15</v>
      </c>
      <c r="T47" s="351" t="b">
        <f t="shared" si="3"/>
        <v>1</v>
      </c>
      <c r="W47" s="515"/>
      <c r="AA47" s="480" t="s">
        <v>172</v>
      </c>
      <c r="AB47" s="1069" t="s">
        <v>875</v>
      </c>
      <c r="AC47" s="1067"/>
      <c r="AD47" s="1067"/>
      <c r="AE47" s="1067"/>
      <c r="AF47" s="1067"/>
      <c r="AG47" s="1067"/>
      <c r="AH47" s="1067"/>
      <c r="AI47" s="1067"/>
      <c r="AJ47" s="1067"/>
      <c r="AK47" s="1067"/>
      <c r="AL47" s="1067"/>
      <c r="AM47" s="1067"/>
      <c r="AN47" s="1067"/>
      <c r="AO47" s="1067"/>
      <c r="AP47" s="1067"/>
      <c r="AQ47" s="1067"/>
      <c r="AR47" s="1067"/>
      <c r="AS47" s="1067"/>
      <c r="AT47" s="1067"/>
      <c r="AU47" s="1067"/>
      <c r="AV47" s="1067"/>
      <c r="AW47" s="1067"/>
      <c r="AX47" s="1067"/>
      <c r="AY47" s="1067"/>
      <c r="AZ47" s="1067"/>
      <c r="BA47" s="1067"/>
      <c r="BB47" s="1067"/>
      <c r="BC47" s="1070"/>
    </row>
    <row r="48" spans="1:62" ht="14.65" customHeight="1">
      <c r="E48" s="459">
        <v>15</v>
      </c>
      <c r="W48" s="515" t="s">
        <v>407</v>
      </c>
      <c r="AB48" s="472"/>
      <c r="AC48" s="380" t="s">
        <v>408</v>
      </c>
      <c r="AD48" s="217"/>
      <c r="AE48" s="217"/>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9"/>
    </row>
    <row r="49" spans="5:5" ht="10.7" customHeight="1">
      <c r="E49" s="459">
        <v>11</v>
      </c>
    </row>
  </sheetData>
  <sheetProtection formatColumns="0" formatRows="0" insertRows="0" deleteColumns="0" deleteRows="0" sort="0" autoFilter="0"/>
  <mergeCells count="18">
    <mergeCell ref="AB47:BC47"/>
    <mergeCell ref="AB42:BC42"/>
    <mergeCell ref="AB43:BC43"/>
    <mergeCell ref="AB44:BC44"/>
    <mergeCell ref="AB45:BC45"/>
    <mergeCell ref="AB46:BC46"/>
    <mergeCell ref="AB40:BC40"/>
    <mergeCell ref="AB39:BC39"/>
    <mergeCell ref="X31:X35"/>
    <mergeCell ref="Z31:Z35"/>
    <mergeCell ref="AB41:BC41"/>
    <mergeCell ref="X27:X30"/>
    <mergeCell ref="Z27:Z30"/>
    <mergeCell ref="AB38:BC38"/>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AE34 AF33:AF34 AG33:AG34 AH33:AH34 AI33:AI34 AJ33:AJ34 AK33:AK34 AL33:AL34 AM33:AM34 AN33:AN34 AO33:AO34 AP33:AP34 AQ33:AQ34 AR33:AR34 AS33:AS34 AT33:AT34 AU33:AU34 AV33:AV34 AW33:AW34 AX33:AX34 AY33:AY34 AZ33:AZ34 BA33:BA34 BB33:BB34"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DF48-E078-29C8-4CDD-B508C6AAA27E}">
  <sheetPr>
    <tabColor rgb="FFFFC000"/>
    <outlinePr summaryBelow="0" summaryRight="0"/>
    <pageSetUpPr fitToPage="1"/>
  </sheetPr>
  <dimension ref="A1:BJ86"/>
  <sheetViews>
    <sheetView showGridLines="0" zoomScale="120" workbookViewId="0">
      <pane xSplit="30" ySplit="25" topLeftCell="AG72" activePane="bottomRight" state="frozen"/>
      <selection pane="topRight" activeCell="AE1" sqref="AE1"/>
      <selection pane="bottomLeft" activeCell="A26" sqref="A26"/>
      <selection pane="bottomRight" activeCell="AB84" sqref="AB84:BC84"/>
    </sheetView>
  </sheetViews>
  <sheetFormatPr defaultColWidth="9.140625" defaultRowHeight="11.25" customHeight="1"/>
  <cols>
    <col min="1" max="1" width="3.5703125" style="17" hidden="1" customWidth="1"/>
    <col min="2" max="2" width="4.42578125" style="46" hidden="1" customWidth="1"/>
    <col min="3" max="3" width="6.7109375" style="363" hidden="1" customWidth="1"/>
    <col min="4" max="4" width="4.5703125" style="17" hidden="1" customWidth="1"/>
    <col min="5" max="5" width="3.5703125" style="459"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2.140625" style="17" customWidth="1"/>
    <col min="30" max="30" width="11.85546875" style="17" customWidth="1"/>
    <col min="31" max="31" width="14.5703125" style="17" customWidth="1"/>
    <col min="32" max="32" width="12.5703125" style="17" customWidth="1"/>
    <col min="33" max="33" width="15" style="17" customWidth="1"/>
    <col min="34" max="34" width="15.5703125" style="17" customWidth="1"/>
    <col min="35" max="35" width="13.85546875" style="17" customWidth="1"/>
    <col min="36" max="36" width="13.28515625" style="17" customWidth="1"/>
    <col min="37" max="37" width="12.85546875" style="17" customWidth="1"/>
    <col min="38" max="44" width="12.5703125" style="17" hidden="1" customWidth="1"/>
    <col min="45" max="47" width="15.42578125" style="17" customWidth="1"/>
    <col min="48" max="54" width="15.42578125" style="17" hidden="1" customWidth="1"/>
    <col min="55" max="55" width="50.5703125" style="17" customWidth="1"/>
    <col min="56" max="56" width="3" style="17" customWidth="1"/>
    <col min="57" max="57" width="9.140625" style="17" hidden="1"/>
    <col min="58" max="60" width="9.140625" style="669" hidden="1"/>
    <col min="61" max="62" width="9.140625" style="459" hidden="1"/>
  </cols>
  <sheetData>
    <row r="1" spans="1:62" ht="11.25" hidden="1" customHeight="1">
      <c r="E1" s="17"/>
      <c r="F1" s="17" t="s">
        <v>309</v>
      </c>
      <c r="G1" s="17" t="s">
        <v>320</v>
      </c>
      <c r="H1" s="17" t="s">
        <v>346</v>
      </c>
      <c r="T1" s="351" t="s">
        <v>92</v>
      </c>
      <c r="U1" s="351" t="s">
        <v>97</v>
      </c>
      <c r="V1" s="351" t="s">
        <v>93</v>
      </c>
      <c r="W1" s="351" t="s">
        <v>94</v>
      </c>
      <c r="X1" s="351" t="s">
        <v>95</v>
      </c>
      <c r="Y1" s="353" t="s">
        <v>311</v>
      </c>
      <c r="Z1" s="351" t="s">
        <v>99</v>
      </c>
      <c r="AA1" s="353" t="s">
        <v>96</v>
      </c>
      <c r="AB1" s="379"/>
      <c r="AC1" s="352" t="s">
        <v>98</v>
      </c>
      <c r="BF1" s="669" t="s">
        <v>312</v>
      </c>
      <c r="BG1" s="669" t="s">
        <v>313</v>
      </c>
      <c r="BH1" s="669" t="s">
        <v>314</v>
      </c>
      <c r="BI1" s="459" t="s">
        <v>317</v>
      </c>
      <c r="BJ1" s="459" t="s">
        <v>318</v>
      </c>
    </row>
    <row r="2" spans="1:62" s="46" customFormat="1" ht="11.25" hidden="1" customHeight="1">
      <c r="B2" s="340" t="s">
        <v>18</v>
      </c>
      <c r="C2" s="364"/>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70"/>
      <c r="BG2" s="670"/>
      <c r="BH2" s="670"/>
      <c r="BI2" s="675"/>
      <c r="BJ2" s="675"/>
    </row>
    <row r="3" spans="1:62" ht="11.25" hidden="1" customHeight="1">
      <c r="E3" s="17"/>
    </row>
    <row r="4" spans="1:62" ht="11.25" hidden="1" customHeight="1">
      <c r="E4" s="17"/>
    </row>
    <row r="5" spans="1:62" s="459" customFormat="1" ht="11.25" hidden="1" customHeight="1">
      <c r="A5" s="17"/>
      <c r="B5" s="46"/>
      <c r="C5" s="363"/>
      <c r="D5" s="17"/>
      <c r="E5" s="459" t="s">
        <v>19</v>
      </c>
      <c r="AA5" s="459">
        <v>3</v>
      </c>
      <c r="AB5" s="459">
        <v>11</v>
      </c>
      <c r="AC5" s="459">
        <v>35</v>
      </c>
      <c r="AD5" s="459">
        <v>12.57</v>
      </c>
      <c r="AE5" s="459">
        <v>14.57</v>
      </c>
      <c r="AF5" s="459">
        <v>12.57</v>
      </c>
      <c r="AG5" s="459">
        <v>15</v>
      </c>
      <c r="AH5" s="459">
        <v>16</v>
      </c>
      <c r="AI5" s="459">
        <v>12.57</v>
      </c>
      <c r="AJ5" s="459">
        <v>12.57</v>
      </c>
      <c r="AK5" s="459">
        <v>12.57</v>
      </c>
      <c r="AL5" s="459">
        <v>12.57</v>
      </c>
      <c r="AM5" s="459">
        <v>12.57</v>
      </c>
      <c r="AN5" s="459">
        <v>12.57</v>
      </c>
      <c r="AO5" s="459">
        <v>12.57</v>
      </c>
      <c r="AP5" s="459">
        <v>12.57</v>
      </c>
      <c r="AQ5" s="459">
        <v>12.57</v>
      </c>
      <c r="AR5" s="459">
        <v>12.57</v>
      </c>
      <c r="AS5" s="459">
        <v>15.43</v>
      </c>
      <c r="AT5" s="459">
        <v>15.43</v>
      </c>
      <c r="AU5" s="459">
        <v>15.43</v>
      </c>
      <c r="AV5" s="459">
        <v>15.43</v>
      </c>
      <c r="AW5" s="459">
        <v>15.43</v>
      </c>
      <c r="AX5" s="459">
        <v>15.43</v>
      </c>
      <c r="AY5" s="459">
        <v>15.43</v>
      </c>
      <c r="AZ5" s="459">
        <v>15.43</v>
      </c>
      <c r="BA5" s="459">
        <v>15.43</v>
      </c>
      <c r="BB5" s="459">
        <v>15.43</v>
      </c>
      <c r="BC5" s="459">
        <v>20</v>
      </c>
      <c r="BD5" s="459">
        <v>3</v>
      </c>
      <c r="BF5" s="669"/>
      <c r="BG5" s="669"/>
      <c r="BH5" s="669"/>
    </row>
    <row r="6" spans="1:62" ht="11.25" hidden="1" customHeight="1">
      <c r="A6" s="17" t="s">
        <v>349</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69" customFormat="1" ht="11.25" hidden="1" customHeight="1">
      <c r="A9" s="669" t="s">
        <v>354</v>
      </c>
      <c r="B9" s="670"/>
      <c r="C9" s="677"/>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I9" s="459"/>
      <c r="BJ9" s="459"/>
    </row>
    <row r="10" spans="1:62" s="669" customFormat="1" ht="11.25" hidden="1" customHeight="1">
      <c r="A10" s="669" t="s">
        <v>355</v>
      </c>
      <c r="B10" s="670"/>
      <c r="C10" s="677"/>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I10" s="459"/>
      <c r="BJ10" s="459"/>
    </row>
    <row r="11" spans="1:62" s="669" customFormat="1" ht="11.25" hidden="1" customHeight="1">
      <c r="A11" s="669" t="s">
        <v>356</v>
      </c>
      <c r="B11" s="670"/>
      <c r="C11" s="677"/>
      <c r="BC11" s="669" t="str" cm="1">
        <f t="array" ref="BC11">BC24</f>
        <v>Ссылка на правовую норму (основание для принятия показателя в расчет тарифа)</v>
      </c>
      <c r="BI11" s="459"/>
      <c r="BJ11" s="459"/>
    </row>
    <row r="12" spans="1:62" s="669" customFormat="1" ht="11.25" hidden="1" customHeight="1">
      <c r="A12" s="669" t="s">
        <v>327</v>
      </c>
      <c r="B12" s="670"/>
      <c r="C12" s="677"/>
      <c r="AC12" s="669" t="s">
        <v>314</v>
      </c>
      <c r="BI12" s="459"/>
      <c r="BJ12" s="459"/>
    </row>
    <row r="13" spans="1:62" ht="11.25" hidden="1" customHeight="1"/>
    <row r="14" spans="1:62" ht="11.25" hidden="1" customHeight="1"/>
    <row r="15" spans="1:62" ht="11.25" hidden="1" customHeight="1"/>
    <row r="16" spans="1:62" ht="11.25" hidden="1" customHeight="1"/>
    <row r="17" spans="2:62" ht="11.25" hidden="1" customHeight="1"/>
    <row r="18" spans="2:62" ht="11.25" hidden="1" customHeight="1">
      <c r="AC18" s="17" t="s">
        <v>192</v>
      </c>
    </row>
    <row r="19" spans="2:62" ht="11.25" hidden="1" customHeight="1"/>
    <row r="20" spans="2:62" ht="11.25" hidden="1" customHeight="1"/>
    <row r="21" spans="2:62" ht="14.65" customHeight="1">
      <c r="E21" s="459">
        <v>15</v>
      </c>
      <c r="AA21" s="59"/>
      <c r="AC21" s="3" t="str" cm="1">
        <f t="array" ref="AC21">tpl_title</f>
        <v>Кемеровская область / 2026 / МУП "Водоканал" (ИНН:4202043124, КПП:420201001) / ДПР: 2026-2028</v>
      </c>
    </row>
    <row r="22" spans="2:62" s="59" customFormat="1" ht="19.5" customHeight="1">
      <c r="B22" s="46"/>
      <c r="C22" s="363"/>
      <c r="E22" s="460">
        <v>20</v>
      </c>
      <c r="AB22" s="225" t="s">
        <v>50</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F22" s="672"/>
      <c r="BG22" s="672"/>
      <c r="BH22" s="672"/>
      <c r="BI22" s="460"/>
      <c r="BJ22" s="460"/>
    </row>
    <row r="23" spans="2:62" s="59" customFormat="1" ht="10.9" customHeight="1">
      <c r="B23" s="46"/>
      <c r="C23" s="363"/>
      <c r="E23" s="460">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2"/>
      <c r="BG23" s="672"/>
      <c r="BH23" s="672"/>
      <c r="BI23" s="460"/>
      <c r="BJ23" s="460"/>
    </row>
    <row r="24" spans="2:62" s="60" customFormat="1" ht="19.5" customHeight="1">
      <c r="B24" s="325"/>
      <c r="C24" s="365"/>
      <c r="E24" s="457">
        <v>15</v>
      </c>
      <c r="AB24" s="1064" t="s">
        <v>21</v>
      </c>
      <c r="AC24" s="1064" t="s">
        <v>358</v>
      </c>
      <c r="AD24" s="1064" t="s">
        <v>359</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9" t="s">
        <v>580</v>
      </c>
      <c r="BF24" s="667"/>
      <c r="BG24" s="667"/>
      <c r="BH24" s="667"/>
      <c r="BI24" s="457"/>
      <c r="BJ24" s="457"/>
    </row>
    <row r="25" spans="2:62" s="60" customFormat="1" ht="48.75" customHeight="1">
      <c r="B25" s="325"/>
      <c r="C25" s="365"/>
      <c r="E25" s="457">
        <v>50</v>
      </c>
      <c r="AB25" s="1064"/>
      <c r="AC25" s="1064"/>
      <c r="AD25" s="1064"/>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29"/>
      <c r="BF25" s="667"/>
      <c r="BG25" s="667"/>
      <c r="BH25" s="667"/>
      <c r="BI25" s="457"/>
      <c r="BJ25" s="457"/>
    </row>
    <row r="26" spans="2:62" s="60" customFormat="1" ht="14.25" hidden="1" customHeight="1">
      <c r="B26" s="325"/>
      <c r="C26" s="365"/>
      <c r="E26" s="457">
        <v>0</v>
      </c>
      <c r="AB26" s="520"/>
      <c r="AC26" s="520"/>
      <c r="AD26" s="520"/>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67"/>
      <c r="BG26" s="667"/>
      <c r="BH26" s="667"/>
      <c r="BI26" s="457"/>
      <c r="BJ26" s="457"/>
    </row>
    <row r="27" spans="2:62" s="60" customFormat="1" ht="14.65" hidden="1" customHeight="1">
      <c r="B27" s="325"/>
      <c r="C27" s="364"/>
      <c r="E27" s="459">
        <v>15</v>
      </c>
      <c r="F27" s="17" cm="1">
        <f t="array" ref="F27">X27</f>
        <v>0</v>
      </c>
      <c r="G27" s="17"/>
      <c r="H27" s="17"/>
      <c r="T27" s="351" t="b">
        <f>X27&gt;0</f>
        <v>0</v>
      </c>
      <c r="V27" s="60" t="s">
        <v>266</v>
      </c>
      <c r="X27" s="998">
        <v>0</v>
      </c>
      <c r="Z27" s="1026"/>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7"/>
      <c r="BG27" s="667"/>
      <c r="BH27" s="667"/>
      <c r="BI27" s="457"/>
      <c r="BJ27" s="457"/>
    </row>
    <row r="28" spans="2:62" s="62" customFormat="1" ht="10.9" hidden="1" customHeight="1">
      <c r="B28" s="325"/>
      <c r="C28" s="362"/>
      <c r="D28" s="364"/>
      <c r="E28" s="178">
        <v>11.25</v>
      </c>
      <c r="F28" s="3" cm="1">
        <f t="array" aca="1" ref="F28" ca="1">OFFSET(E28,-1,1)</f>
        <v>0</v>
      </c>
      <c r="G28" s="42" t="s">
        <v>321</v>
      </c>
      <c r="H28" s="42"/>
      <c r="K28" s="362" t="str">
        <f ca="1">F28&amp;"komm"</f>
        <v>0komm</v>
      </c>
      <c r="L28" s="605" cm="1">
        <f t="array" ref="L28">BC28</f>
        <v>0</v>
      </c>
      <c r="T28" s="351" t="b" cm="1">
        <f t="array" ref="T28">T27</f>
        <v>0</v>
      </c>
      <c r="X28" s="998"/>
      <c r="Z28" s="1026"/>
      <c r="AB28" s="8" t="s">
        <v>277</v>
      </c>
      <c r="AC28" s="54" t="s">
        <v>858</v>
      </c>
      <c r="AD28" s="8" t="s">
        <v>859</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3"/>
      <c r="BF28" s="676" t="s">
        <v>876</v>
      </c>
      <c r="BG28" s="676"/>
      <c r="BH28" s="676"/>
      <c r="BI28" s="178"/>
      <c r="BJ28" s="178"/>
    </row>
    <row r="29" spans="2:62" s="62" customFormat="1" ht="10.9" hidden="1" customHeight="1">
      <c r="B29" s="325"/>
      <c r="C29" s="362"/>
      <c r="E29" s="178">
        <v>11.25</v>
      </c>
      <c r="F29" s="3" cm="1">
        <f t="array" aca="1" ref="F29" ca="1">OFFSET(E29,-1,1)</f>
        <v>0</v>
      </c>
      <c r="G29" s="42" t="s">
        <v>322</v>
      </c>
      <c r="H29" s="42"/>
      <c r="T29" s="351" t="b" cm="1">
        <f t="array" ref="T29">T28</f>
        <v>0</v>
      </c>
      <c r="X29" s="998"/>
      <c r="Z29" s="1026"/>
      <c r="AB29" s="8" t="s">
        <v>435</v>
      </c>
      <c r="AC29" s="54" t="s">
        <v>877</v>
      </c>
      <c r="AD29" s="11" t="s">
        <v>878</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3"/>
      <c r="BF29" s="676" t="s">
        <v>879</v>
      </c>
      <c r="BG29" s="676"/>
      <c r="BH29" s="676"/>
      <c r="BI29" s="178"/>
      <c r="BJ29" s="178"/>
    </row>
    <row r="30" spans="2:62" s="62" customFormat="1" ht="10.9" hidden="1" customHeight="1">
      <c r="B30" s="325"/>
      <c r="C30" s="362"/>
      <c r="E30" s="178">
        <v>11.25</v>
      </c>
      <c r="F30" s="3" cm="1">
        <f t="array" aca="1" ref="F30" ca="1">OFFSET(E30,-1,1)</f>
        <v>0</v>
      </c>
      <c r="G30" s="42" t="s">
        <v>323</v>
      </c>
      <c r="H30" s="42"/>
      <c r="T30" s="351" t="b" cm="1">
        <f t="array" ref="T30">T29</f>
        <v>0</v>
      </c>
      <c r="X30" s="998"/>
      <c r="Z30" s="1026"/>
      <c r="AB30" s="8" t="s">
        <v>319</v>
      </c>
      <c r="AC30" s="54" t="s">
        <v>880</v>
      </c>
      <c r="AD30" s="11" t="s">
        <v>881</v>
      </c>
      <c r="AE30" s="886"/>
      <c r="AF30" s="886"/>
      <c r="AG30" s="886"/>
      <c r="AH30" s="886"/>
      <c r="AI30" s="152"/>
      <c r="AJ30" s="152"/>
      <c r="AK30" s="152"/>
      <c r="AL30" s="886"/>
      <c r="AM30" s="886"/>
      <c r="AN30" s="886"/>
      <c r="AO30" s="886"/>
      <c r="AP30" s="886"/>
      <c r="AQ30" s="886"/>
      <c r="AR30" s="886"/>
      <c r="AS30" s="152"/>
      <c r="AT30" s="152"/>
      <c r="AU30" s="152"/>
      <c r="AV30" s="886"/>
      <c r="AW30" s="886"/>
      <c r="AX30" s="886"/>
      <c r="AY30" s="886"/>
      <c r="AZ30" s="886"/>
      <c r="BA30" s="886"/>
      <c r="BB30" s="886"/>
      <c r="BC30" s="823"/>
      <c r="BF30" s="676" t="s">
        <v>882</v>
      </c>
      <c r="BG30" s="676"/>
      <c r="BH30" s="676"/>
      <c r="BI30" s="178"/>
      <c r="BJ30" s="178"/>
    </row>
    <row r="31" spans="2:62" s="62" customFormat="1" ht="10.9" hidden="1" customHeight="1">
      <c r="B31" s="325"/>
      <c r="C31" s="362"/>
      <c r="E31" s="178">
        <v>11.25</v>
      </c>
      <c r="F31" s="3" cm="1">
        <f t="array" aca="1" ref="F31" ca="1">OFFSET(E31,-1,1)</f>
        <v>0</v>
      </c>
      <c r="G31" s="42" t="s">
        <v>325</v>
      </c>
      <c r="H31" s="42"/>
      <c r="T31" s="351" t="b" cm="1">
        <f t="array" ref="T31">T30</f>
        <v>0</v>
      </c>
      <c r="X31" s="998"/>
      <c r="Z31" s="1026"/>
      <c r="AB31" s="8" t="s">
        <v>438</v>
      </c>
      <c r="AC31" s="54" t="s">
        <v>883</v>
      </c>
      <c r="AD31" s="11" t="s">
        <v>884</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3"/>
      <c r="BF31" s="676" t="s">
        <v>885</v>
      </c>
      <c r="BG31" s="676"/>
      <c r="BH31" s="676"/>
      <c r="BI31" s="178"/>
      <c r="BJ31" s="178"/>
    </row>
    <row r="32" spans="2:62" s="62" customFormat="1" ht="10.9" hidden="1" customHeight="1">
      <c r="B32" s="325"/>
      <c r="C32" s="362"/>
      <c r="E32" s="178">
        <v>11.25</v>
      </c>
      <c r="F32" s="3" cm="1">
        <f t="array" aca="1" ref="F32" ca="1">OFFSET(E32,-1,1)</f>
        <v>0</v>
      </c>
      <c r="G32" s="42" t="s">
        <v>324</v>
      </c>
      <c r="H32" s="42"/>
      <c r="T32" s="351" t="b" cm="1">
        <f t="array" ref="T32">T31</f>
        <v>0</v>
      </c>
      <c r="X32" s="998"/>
      <c r="Z32" s="1026"/>
      <c r="AB32" s="8" t="s">
        <v>440</v>
      </c>
      <c r="AC32" s="54" t="s">
        <v>886</v>
      </c>
      <c r="AD32" s="11" t="s">
        <v>887</v>
      </c>
      <c r="AE32" s="222">
        <f t="shared" ref="AE32:BB32" si="4">IF(AE30=0,0,AE29/AE30)</f>
        <v>0</v>
      </c>
      <c r="AF32" s="222">
        <f t="shared" si="4"/>
        <v>0</v>
      </c>
      <c r="AG32" s="222">
        <f t="shared" si="4"/>
        <v>0</v>
      </c>
      <c r="AH32" s="222">
        <f t="shared" si="4"/>
        <v>0</v>
      </c>
      <c r="AI32" s="222">
        <f t="shared" si="4"/>
        <v>0</v>
      </c>
      <c r="AJ32" s="222">
        <f t="shared" si="4"/>
        <v>0</v>
      </c>
      <c r="AK32" s="222">
        <f t="shared" si="4"/>
        <v>0</v>
      </c>
      <c r="AL32" s="222">
        <f t="shared" si="4"/>
        <v>0</v>
      </c>
      <c r="AM32" s="222">
        <f t="shared" si="4"/>
        <v>0</v>
      </c>
      <c r="AN32" s="222">
        <f t="shared" si="4"/>
        <v>0</v>
      </c>
      <c r="AO32" s="222">
        <f t="shared" si="4"/>
        <v>0</v>
      </c>
      <c r="AP32" s="222">
        <f t="shared" si="4"/>
        <v>0</v>
      </c>
      <c r="AQ32" s="222">
        <f t="shared" si="4"/>
        <v>0</v>
      </c>
      <c r="AR32" s="222">
        <f t="shared" si="4"/>
        <v>0</v>
      </c>
      <c r="AS32" s="222">
        <f t="shared" si="4"/>
        <v>0</v>
      </c>
      <c r="AT32" s="222">
        <f t="shared" si="4"/>
        <v>0</v>
      </c>
      <c r="AU32" s="222">
        <f t="shared" si="4"/>
        <v>0</v>
      </c>
      <c r="AV32" s="222">
        <f t="shared" si="4"/>
        <v>0</v>
      </c>
      <c r="AW32" s="222">
        <f t="shared" si="4"/>
        <v>0</v>
      </c>
      <c r="AX32" s="222">
        <f t="shared" si="4"/>
        <v>0</v>
      </c>
      <c r="AY32" s="222">
        <f t="shared" si="4"/>
        <v>0</v>
      </c>
      <c r="AZ32" s="222">
        <f t="shared" si="4"/>
        <v>0</v>
      </c>
      <c r="BA32" s="222">
        <f t="shared" si="4"/>
        <v>0</v>
      </c>
      <c r="BB32" s="222">
        <f t="shared" si="4"/>
        <v>0</v>
      </c>
      <c r="BC32" s="823"/>
      <c r="BF32" s="676" t="s">
        <v>888</v>
      </c>
      <c r="BG32" s="676"/>
      <c r="BH32" s="676"/>
      <c r="BI32" s="178"/>
      <c r="BJ32" s="178"/>
    </row>
    <row r="33" spans="1:62" s="62" customFormat="1" ht="12.6" hidden="1" customHeight="1">
      <c r="B33" s="325"/>
      <c r="C33" s="362"/>
      <c r="E33" s="178">
        <v>13</v>
      </c>
      <c r="F33" s="3" cm="1">
        <f t="array" aca="1" ref="F33" ca="1">OFFSET(E33,-1,1)</f>
        <v>0</v>
      </c>
      <c r="G33" s="42"/>
      <c r="H33" s="42"/>
      <c r="T33" s="351" t="b" cm="1">
        <f t="array" ref="T33">T32</f>
        <v>0</v>
      </c>
      <c r="X33" s="998"/>
      <c r="Z33" s="1026"/>
      <c r="AB33" s="474"/>
      <c r="AC33" s="177" t="s">
        <v>889</v>
      </c>
      <c r="AD33" s="178"/>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80"/>
      <c r="BF33" s="676"/>
      <c r="BG33" s="676"/>
      <c r="BH33" s="676"/>
      <c r="BI33" s="178"/>
      <c r="BJ33" s="178"/>
    </row>
    <row r="34" spans="1:62" s="62" customFormat="1" ht="10.9" hidden="1" customHeight="1">
      <c r="B34" s="325"/>
      <c r="C34" s="362"/>
      <c r="E34" s="178">
        <v>11.25</v>
      </c>
      <c r="F34" s="3" cm="1">
        <f t="array" aca="1" ref="F34" ca="1">OFFSET(E34,-1,1)</f>
        <v>0</v>
      </c>
      <c r="G34" s="42" t="s">
        <v>557</v>
      </c>
      <c r="H34" s="42" cm="1">
        <f t="array" ref="H34">AC34</f>
        <v>0</v>
      </c>
      <c r="T34" s="351" t="b">
        <f ca="1">AND(F34&gt;0,Y34&gt;0)</f>
        <v>0</v>
      </c>
      <c r="W34" s="515" t="s">
        <v>171</v>
      </c>
      <c r="X34" s="998"/>
      <c r="Y34" s="998">
        <v>0</v>
      </c>
      <c r="Z34" s="1026"/>
      <c r="AA34" s="995" t="s">
        <v>172</v>
      </c>
      <c r="AB34" s="8" t="str">
        <f>"6."&amp;Y34</f>
        <v>6.0</v>
      </c>
      <c r="AC34" s="885"/>
      <c r="AD34" s="8" t="s">
        <v>859</v>
      </c>
      <c r="AE34" s="817"/>
      <c r="AF34" s="817"/>
      <c r="AG34" s="817"/>
      <c r="AH34" s="817"/>
      <c r="AI34" s="57"/>
      <c r="AJ34" s="57"/>
      <c r="AK34" s="57"/>
      <c r="AL34" s="817"/>
      <c r="AM34" s="817"/>
      <c r="AN34" s="817"/>
      <c r="AO34" s="817"/>
      <c r="AP34" s="817"/>
      <c r="AQ34" s="817"/>
      <c r="AR34" s="817"/>
      <c r="AS34" s="57"/>
      <c r="AT34" s="57"/>
      <c r="AU34" s="57"/>
      <c r="AV34" s="817"/>
      <c r="AW34" s="817"/>
      <c r="AX34" s="817"/>
      <c r="AY34" s="817"/>
      <c r="AZ34" s="817"/>
      <c r="BA34" s="817"/>
      <c r="BB34" s="817"/>
      <c r="BC34" s="823"/>
      <c r="BF34" s="676" t="s">
        <v>890</v>
      </c>
      <c r="BG34" s="676" t="s">
        <v>891</v>
      </c>
      <c r="BH34" s="676" cm="1">
        <f t="array" ref="BH34">AC34</f>
        <v>0</v>
      </c>
      <c r="BI34" s="178"/>
      <c r="BJ34" s="178" t="b">
        <v>1</v>
      </c>
    </row>
    <row r="35" spans="1:62" s="62" customFormat="1" ht="10.9" hidden="1" customHeight="1">
      <c r="B35" s="325"/>
      <c r="C35" s="362"/>
      <c r="E35" s="178">
        <v>11.25</v>
      </c>
      <c r="F35" s="3" cm="1">
        <f t="array" aca="1" ref="F35" ca="1">OFFSET(E35,-1,1)</f>
        <v>0</v>
      </c>
      <c r="G35" s="42" t="s">
        <v>721</v>
      </c>
      <c r="H35" s="42" cm="1">
        <f t="array" ref="H35">H34</f>
        <v>0</v>
      </c>
      <c r="T35" s="351" t="b" cm="1">
        <f t="array" aca="1" ref="T35" ca="1">T34</f>
        <v>0</v>
      </c>
      <c r="X35" s="998"/>
      <c r="Y35" s="998"/>
      <c r="Z35" s="1026"/>
      <c r="AA35" s="995"/>
      <c r="AB35" s="8" t="str">
        <f>AB34&amp;".1"</f>
        <v>6.0.1</v>
      </c>
      <c r="AC35" s="105" t="s">
        <v>892</v>
      </c>
      <c r="AD35" s="11" t="s">
        <v>884</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3"/>
      <c r="BF35" s="676" t="s">
        <v>893</v>
      </c>
      <c r="BG35" s="676" t="s">
        <v>891</v>
      </c>
      <c r="BH35" s="676" cm="1">
        <f t="array" ref="BH35">BH34</f>
        <v>0</v>
      </c>
      <c r="BI35" s="178"/>
      <c r="BJ35" s="178"/>
    </row>
    <row r="36" spans="1:62" s="62" customFormat="1" ht="10.9" hidden="1" customHeight="1">
      <c r="B36" s="325"/>
      <c r="C36" s="362"/>
      <c r="E36" s="178">
        <v>11.25</v>
      </c>
      <c r="F36" s="3" cm="1">
        <f t="array" aca="1" ref="F36" ca="1">OFFSET(E36,-1,1)</f>
        <v>0</v>
      </c>
      <c r="G36" s="42" t="s">
        <v>724</v>
      </c>
      <c r="H36" s="42" cm="1">
        <f t="array" ref="H36">H35</f>
        <v>0</v>
      </c>
      <c r="T36" s="351" t="b" cm="1">
        <f t="array" aca="1" ref="T36" ca="1">T35</f>
        <v>0</v>
      </c>
      <c r="X36" s="998"/>
      <c r="Y36" s="998"/>
      <c r="Z36" s="1026"/>
      <c r="AA36" s="995"/>
      <c r="AB36" s="8" t="str">
        <f>AB34&amp;".2"</f>
        <v>6.0.2</v>
      </c>
      <c r="AC36" s="105" t="s">
        <v>894</v>
      </c>
      <c r="AD36" s="11" t="s">
        <v>878</v>
      </c>
      <c r="AE36" s="817"/>
      <c r="AF36" s="817"/>
      <c r="AG36" s="817"/>
      <c r="AH36" s="817"/>
      <c r="AI36" s="57"/>
      <c r="AJ36" s="57"/>
      <c r="AK36" s="57"/>
      <c r="AL36" s="817"/>
      <c r="AM36" s="817"/>
      <c r="AN36" s="817"/>
      <c r="AO36" s="817"/>
      <c r="AP36" s="817"/>
      <c r="AQ36" s="817"/>
      <c r="AR36" s="817"/>
      <c r="AS36" s="57"/>
      <c r="AT36" s="57"/>
      <c r="AU36" s="57"/>
      <c r="AV36" s="817"/>
      <c r="AW36" s="817"/>
      <c r="AX36" s="817"/>
      <c r="AY36" s="817"/>
      <c r="AZ36" s="817"/>
      <c r="BA36" s="817"/>
      <c r="BB36" s="817"/>
      <c r="BC36" s="823"/>
      <c r="BF36" s="676" t="s">
        <v>895</v>
      </c>
      <c r="BG36" s="676" t="s">
        <v>891</v>
      </c>
      <c r="BH36" s="676" cm="1">
        <f t="array" ref="BH36">BH35</f>
        <v>0</v>
      </c>
      <c r="BI36" s="178"/>
      <c r="BJ36" s="178"/>
    </row>
    <row r="37" spans="1:62" s="59" customFormat="1" ht="14.65" hidden="1" customHeight="1">
      <c r="B37" s="46"/>
      <c r="C37" s="362"/>
      <c r="E37" s="460">
        <v>15</v>
      </c>
      <c r="F37" s="3" cm="1">
        <f t="array" aca="1" ref="F37" ca="1">OFFSET(E37,-1,1)</f>
        <v>0</v>
      </c>
      <c r="H37" s="630" t="s">
        <v>896</v>
      </c>
      <c r="T37" s="351" t="b">
        <f ca="1">F37&gt;0</f>
        <v>0</v>
      </c>
      <c r="W37" s="515" t="s">
        <v>388</v>
      </c>
      <c r="X37" s="998"/>
      <c r="Z37" s="1026"/>
      <c r="AB37" s="475"/>
      <c r="AC37" s="92" t="s">
        <v>175</v>
      </c>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101"/>
      <c r="BF37" s="672"/>
      <c r="BG37" s="672"/>
      <c r="BH37" s="672"/>
      <c r="BI37" s="460" t="s">
        <v>891</v>
      </c>
      <c r="BJ37" s="460"/>
    </row>
    <row r="38" spans="1:62" s="62" customFormat="1" ht="12.6" hidden="1" customHeight="1">
      <c r="B38" s="325"/>
      <c r="C38" s="362"/>
      <c r="E38" s="178">
        <v>13</v>
      </c>
      <c r="F38" s="3" cm="1">
        <f t="array" aca="1" ref="F38" ca="1">OFFSET(E38,-1,1)</f>
        <v>0</v>
      </c>
      <c r="G38" s="42"/>
      <c r="H38" s="42"/>
      <c r="T38" s="351" t="b" cm="1">
        <f t="array" aca="1" ref="T38" ca="1">T37</f>
        <v>0</v>
      </c>
      <c r="X38" s="998"/>
      <c r="Z38" s="1026"/>
      <c r="AB38" s="474"/>
      <c r="AC38" s="177" t="s">
        <v>897</v>
      </c>
      <c r="AD38" s="178"/>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80"/>
      <c r="BF38" s="676"/>
      <c r="BG38" s="676"/>
      <c r="BH38" s="676"/>
      <c r="BI38" s="178"/>
      <c r="BJ38" s="178"/>
    </row>
    <row r="39" spans="1:62" s="62" customFormat="1" ht="10.9" hidden="1" customHeight="1">
      <c r="B39" s="325"/>
      <c r="C39" s="362"/>
      <c r="E39" s="178">
        <v>11.25</v>
      </c>
      <c r="F39" s="3" cm="1">
        <f t="array" aca="1" ref="F39" ca="1">OFFSET(E39,-1,1)</f>
        <v>0</v>
      </c>
      <c r="G39" s="42" t="s">
        <v>557</v>
      </c>
      <c r="H39" s="42" cm="1">
        <f t="array" ref="H39">AC39</f>
        <v>0</v>
      </c>
      <c r="T39" s="351" t="b">
        <f ca="1">AND(F39&gt;0,Y39&gt;0)</f>
        <v>0</v>
      </c>
      <c r="W39" s="515" t="s">
        <v>171</v>
      </c>
      <c r="X39" s="998"/>
      <c r="Y39" s="998">
        <v>0</v>
      </c>
      <c r="Z39" s="1026"/>
      <c r="AA39" s="995" t="s">
        <v>172</v>
      </c>
      <c r="AB39" s="8" t="str">
        <f>"7."&amp;Y39</f>
        <v>7.0</v>
      </c>
      <c r="AC39" s="885"/>
      <c r="AD39" s="8" t="s">
        <v>859</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3"/>
      <c r="BF39" s="676" t="s">
        <v>898</v>
      </c>
      <c r="BG39" s="676" t="s">
        <v>899</v>
      </c>
      <c r="BH39" s="676" cm="1">
        <f t="array" ref="BH39">AC39</f>
        <v>0</v>
      </c>
      <c r="BI39" s="178"/>
      <c r="BJ39" s="178"/>
    </row>
    <row r="40" spans="1:62" s="62" customFormat="1" ht="10.9" hidden="1" customHeight="1">
      <c r="B40" s="325"/>
      <c r="C40" s="362"/>
      <c r="E40" s="178">
        <v>11.25</v>
      </c>
      <c r="F40" s="3" cm="1">
        <f t="array" aca="1" ref="F40" ca="1">OFFSET(E40,-1,1)</f>
        <v>0</v>
      </c>
      <c r="G40" s="42" t="s">
        <v>728</v>
      </c>
      <c r="H40" s="42" cm="1">
        <f t="array" ref="H40">H39</f>
        <v>0</v>
      </c>
      <c r="T40" s="351" t="b" cm="1">
        <f t="array" aca="1" ref="T40" ca="1">T39</f>
        <v>0</v>
      </c>
      <c r="X40" s="998"/>
      <c r="Y40" s="998"/>
      <c r="Z40" s="1026"/>
      <c r="AA40" s="995"/>
      <c r="AB40" s="8" t="str">
        <f>AB39&amp;".1"</f>
        <v>7.0.1</v>
      </c>
      <c r="AC40" s="105" t="s">
        <v>900</v>
      </c>
      <c r="AD40" s="8" t="s">
        <v>901</v>
      </c>
      <c r="AE40" s="817"/>
      <c r="AF40" s="817"/>
      <c r="AG40" s="817"/>
      <c r="AH40" s="817"/>
      <c r="AI40" s="57"/>
      <c r="AJ40" s="57"/>
      <c r="AK40" s="57"/>
      <c r="AL40" s="817"/>
      <c r="AM40" s="817"/>
      <c r="AN40" s="817"/>
      <c r="AO40" s="817"/>
      <c r="AP40" s="817"/>
      <c r="AQ40" s="817"/>
      <c r="AR40" s="817"/>
      <c r="AS40" s="57"/>
      <c r="AT40" s="57"/>
      <c r="AU40" s="57"/>
      <c r="AV40" s="817"/>
      <c r="AW40" s="817"/>
      <c r="AX40" s="817"/>
      <c r="AY40" s="817"/>
      <c r="AZ40" s="817"/>
      <c r="BA40" s="817"/>
      <c r="BB40" s="817"/>
      <c r="BC40" s="823"/>
      <c r="BF40" s="676" t="s">
        <v>902</v>
      </c>
      <c r="BG40" s="676" t="s">
        <v>899</v>
      </c>
      <c r="BH40" s="676" cm="1">
        <f t="array" ref="BH40">BH39</f>
        <v>0</v>
      </c>
      <c r="BI40" s="178"/>
      <c r="BJ40" s="178"/>
    </row>
    <row r="41" spans="1:62" s="62" customFormat="1" ht="10.9" hidden="1" customHeight="1">
      <c r="B41" s="325"/>
      <c r="C41" s="362"/>
      <c r="E41" s="178">
        <v>11.25</v>
      </c>
      <c r="F41" s="3" cm="1">
        <f t="array" aca="1" ref="F41" ca="1">OFFSET(E41,-1,1)</f>
        <v>0</v>
      </c>
      <c r="G41" s="42" t="s">
        <v>903</v>
      </c>
      <c r="H41" s="42" cm="1">
        <f t="array" ref="H41">H40</f>
        <v>0</v>
      </c>
      <c r="T41" s="351" t="b" cm="1">
        <f t="array" aca="1" ref="T41" ca="1">T40</f>
        <v>0</v>
      </c>
      <c r="X41" s="998"/>
      <c r="Y41" s="998"/>
      <c r="Z41" s="1026"/>
      <c r="AA41" s="995"/>
      <c r="AB41" s="8" t="str">
        <f>AB39&amp;".1.1"</f>
        <v>7.0.1.1</v>
      </c>
      <c r="AC41" s="236" t="s">
        <v>892</v>
      </c>
      <c r="AD41" s="11" t="s">
        <v>884</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3"/>
      <c r="BF41" s="676" t="s">
        <v>904</v>
      </c>
      <c r="BG41" s="676" t="s">
        <v>899</v>
      </c>
      <c r="BH41" s="676" cm="1">
        <f t="array" ref="BH41">BH40</f>
        <v>0</v>
      </c>
      <c r="BI41" s="178"/>
      <c r="BJ41" s="178"/>
    </row>
    <row r="42" spans="1:62" s="62" customFormat="1" ht="10.9" hidden="1" customHeight="1">
      <c r="B42" s="325"/>
      <c r="C42" s="362"/>
      <c r="E42" s="178">
        <v>11.25</v>
      </c>
      <c r="F42" s="3" cm="1">
        <f t="array" aca="1" ref="F42" ca="1">OFFSET(E42,-1,1)</f>
        <v>0</v>
      </c>
      <c r="G42" s="42" t="s">
        <v>905</v>
      </c>
      <c r="H42" s="42" cm="1">
        <f t="array" ref="H42">H41</f>
        <v>0</v>
      </c>
      <c r="T42" s="351" t="b" cm="1">
        <f t="array" aca="1" ref="T42" ca="1">T41</f>
        <v>0</v>
      </c>
      <c r="X42" s="998"/>
      <c r="Y42" s="998"/>
      <c r="Z42" s="1026"/>
      <c r="AA42" s="995"/>
      <c r="AB42" s="8" t="str">
        <f>AB39&amp;".1.2"</f>
        <v>7.0.1.2</v>
      </c>
      <c r="AC42" s="236" t="s">
        <v>894</v>
      </c>
      <c r="AD42" s="11" t="s">
        <v>878</v>
      </c>
      <c r="AE42" s="817"/>
      <c r="AF42" s="817"/>
      <c r="AG42" s="817"/>
      <c r="AH42" s="817"/>
      <c r="AI42" s="57"/>
      <c r="AJ42" s="57"/>
      <c r="AK42" s="57"/>
      <c r="AL42" s="817"/>
      <c r="AM42" s="817"/>
      <c r="AN42" s="817"/>
      <c r="AO42" s="817"/>
      <c r="AP42" s="817"/>
      <c r="AQ42" s="817"/>
      <c r="AR42" s="817"/>
      <c r="AS42" s="57"/>
      <c r="AT42" s="57"/>
      <c r="AU42" s="57"/>
      <c r="AV42" s="817"/>
      <c r="AW42" s="817"/>
      <c r="AX42" s="817"/>
      <c r="AY42" s="817"/>
      <c r="AZ42" s="817"/>
      <c r="BA42" s="817"/>
      <c r="BB42" s="817"/>
      <c r="BC42" s="823"/>
      <c r="BF42" s="676" t="s">
        <v>906</v>
      </c>
      <c r="BG42" s="676" t="s">
        <v>899</v>
      </c>
      <c r="BH42" s="676" cm="1">
        <f t="array" ref="BH42">BH41</f>
        <v>0</v>
      </c>
      <c r="BI42" s="178"/>
      <c r="BJ42" s="178"/>
    </row>
    <row r="43" spans="1:62" s="62" customFormat="1" ht="10.9" hidden="1" customHeight="1">
      <c r="B43" s="325"/>
      <c r="C43" s="362"/>
      <c r="E43" s="178">
        <v>11.25</v>
      </c>
      <c r="F43" s="3" cm="1">
        <f t="array" aca="1" ref="F43" ca="1">OFFSET(E43,-1,1)</f>
        <v>0</v>
      </c>
      <c r="G43" s="42" t="s">
        <v>731</v>
      </c>
      <c r="H43" s="42" cm="1">
        <f t="array" ref="H43">H42</f>
        <v>0</v>
      </c>
      <c r="T43" s="351" t="b" cm="1">
        <f t="array" aca="1" ref="T43" ca="1">T42</f>
        <v>0</v>
      </c>
      <c r="X43" s="998"/>
      <c r="Y43" s="998"/>
      <c r="Z43" s="1026"/>
      <c r="AA43" s="995"/>
      <c r="AB43" s="8" t="str">
        <f>AB39&amp;".2"</f>
        <v>7.0.2</v>
      </c>
      <c r="AC43" s="105" t="s">
        <v>907</v>
      </c>
      <c r="AD43" s="8" t="s">
        <v>901</v>
      </c>
      <c r="AE43" s="817"/>
      <c r="AF43" s="817"/>
      <c r="AG43" s="817"/>
      <c r="AH43" s="817"/>
      <c r="AI43" s="57"/>
      <c r="AJ43" s="57"/>
      <c r="AK43" s="57"/>
      <c r="AL43" s="817"/>
      <c r="AM43" s="817"/>
      <c r="AN43" s="817"/>
      <c r="AO43" s="817"/>
      <c r="AP43" s="817"/>
      <c r="AQ43" s="817"/>
      <c r="AR43" s="817"/>
      <c r="AS43" s="57"/>
      <c r="AT43" s="57"/>
      <c r="AU43" s="57"/>
      <c r="AV43" s="817"/>
      <c r="AW43" s="817"/>
      <c r="AX43" s="817"/>
      <c r="AY43" s="817"/>
      <c r="AZ43" s="817"/>
      <c r="BA43" s="817"/>
      <c r="BB43" s="817"/>
      <c r="BC43" s="823"/>
      <c r="BF43" s="676" t="s">
        <v>908</v>
      </c>
      <c r="BG43" s="676" t="s">
        <v>899</v>
      </c>
      <c r="BH43" s="676" cm="1">
        <f t="array" ref="BH43">BH42</f>
        <v>0</v>
      </c>
      <c r="BI43" s="178"/>
      <c r="BJ43" s="178"/>
    </row>
    <row r="44" spans="1:62" s="62" customFormat="1" ht="10.9" hidden="1" customHeight="1">
      <c r="B44" s="325"/>
      <c r="C44" s="362"/>
      <c r="E44" s="178">
        <v>11.25</v>
      </c>
      <c r="F44" s="3" cm="1">
        <f t="array" aca="1" ref="F44" ca="1">OFFSET(E44,-1,1)</f>
        <v>0</v>
      </c>
      <c r="G44" s="42" t="s">
        <v>909</v>
      </c>
      <c r="H44" s="42" cm="1">
        <f t="array" ref="H44">H43</f>
        <v>0</v>
      </c>
      <c r="T44" s="351" t="b" cm="1">
        <f t="array" aca="1" ref="T44" ca="1">T43</f>
        <v>0</v>
      </c>
      <c r="X44" s="998"/>
      <c r="Y44" s="998"/>
      <c r="Z44" s="1026"/>
      <c r="AA44" s="995"/>
      <c r="AB44" s="8" t="str">
        <f>AB39&amp;".2.1"</f>
        <v>7.0.2.1</v>
      </c>
      <c r="AC44" s="236" t="s">
        <v>910</v>
      </c>
      <c r="AD44" s="11" t="s">
        <v>911</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3"/>
      <c r="BF44" s="676" t="s">
        <v>912</v>
      </c>
      <c r="BG44" s="676" t="s">
        <v>899</v>
      </c>
      <c r="BH44" s="676" cm="1">
        <f t="array" ref="BH44">BH43</f>
        <v>0</v>
      </c>
      <c r="BI44" s="178"/>
      <c r="BJ44" s="178"/>
    </row>
    <row r="45" spans="1:62" s="62" customFormat="1" ht="10.9" hidden="1" customHeight="1">
      <c r="B45" s="325"/>
      <c r="C45" s="362"/>
      <c r="E45" s="178">
        <v>11.25</v>
      </c>
      <c r="F45" s="3" cm="1">
        <f t="array" aca="1" ref="F45" ca="1">OFFSET(E45,-1,1)</f>
        <v>0</v>
      </c>
      <c r="G45" s="42" t="s">
        <v>913</v>
      </c>
      <c r="H45" s="42" cm="1">
        <f t="array" ref="H45">H44</f>
        <v>0</v>
      </c>
      <c r="T45" s="351" t="b" cm="1">
        <f t="array" aca="1" ref="T45" ca="1">T44</f>
        <v>0</v>
      </c>
      <c r="X45" s="998"/>
      <c r="Y45" s="998"/>
      <c r="Z45" s="1026"/>
      <c r="AA45" s="995"/>
      <c r="AB45" s="8" t="str">
        <f>AB39&amp;".2.2"</f>
        <v>7.0.2.2</v>
      </c>
      <c r="AC45" s="236" t="s">
        <v>914</v>
      </c>
      <c r="AD45" s="11" t="s">
        <v>915</v>
      </c>
      <c r="AE45" s="817"/>
      <c r="AF45" s="817"/>
      <c r="AG45" s="817"/>
      <c r="AH45" s="817"/>
      <c r="AI45" s="57"/>
      <c r="AJ45" s="57"/>
      <c r="AK45" s="57"/>
      <c r="AL45" s="817"/>
      <c r="AM45" s="817"/>
      <c r="AN45" s="817"/>
      <c r="AO45" s="817"/>
      <c r="AP45" s="817"/>
      <c r="AQ45" s="817"/>
      <c r="AR45" s="817"/>
      <c r="AS45" s="57"/>
      <c r="AT45" s="57"/>
      <c r="AU45" s="57"/>
      <c r="AV45" s="817"/>
      <c r="AW45" s="817"/>
      <c r="AX45" s="817"/>
      <c r="AY45" s="817"/>
      <c r="AZ45" s="817"/>
      <c r="BA45" s="817"/>
      <c r="BB45" s="817"/>
      <c r="BC45" s="823"/>
      <c r="BF45" s="676" t="s">
        <v>916</v>
      </c>
      <c r="BG45" s="676" t="s">
        <v>899</v>
      </c>
      <c r="BH45" s="676" cm="1">
        <f t="array" ref="BH45">BH44</f>
        <v>0</v>
      </c>
      <c r="BI45" s="178"/>
      <c r="BJ45" s="178"/>
    </row>
    <row r="46" spans="1:62" s="59" customFormat="1" ht="14.65" hidden="1" customHeight="1">
      <c r="B46" s="46"/>
      <c r="C46" s="362"/>
      <c r="E46" s="460">
        <v>15</v>
      </c>
      <c r="F46" s="3" cm="1">
        <f t="array" aca="1" ref="F46" ca="1">OFFSET(E46,-1,1)</f>
        <v>0</v>
      </c>
      <c r="H46" s="630" t="s">
        <v>917</v>
      </c>
      <c r="T46" s="351" t="b">
        <f ca="1">F46&gt;0</f>
        <v>0</v>
      </c>
      <c r="W46" s="515" t="s">
        <v>918</v>
      </c>
      <c r="X46" s="998"/>
      <c r="Z46" s="1026"/>
      <c r="AB46" s="89"/>
      <c r="AC46" s="92" t="s">
        <v>919</v>
      </c>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101"/>
      <c r="BF46" s="672"/>
      <c r="BG46" s="672"/>
      <c r="BH46" s="672"/>
      <c r="BI46" s="460" t="s">
        <v>899</v>
      </c>
      <c r="BJ46" s="460"/>
    </row>
    <row r="47" spans="1:62" s="835" customFormat="1" ht="30.75" customHeight="1">
      <c r="A47" s="60"/>
      <c r="B47" s="325"/>
      <c r="C47" s="364"/>
      <c r="D47" s="60"/>
      <c r="E47" s="459">
        <v>15</v>
      </c>
      <c r="F47" s="17" t="str" cm="1">
        <f t="array" ref="F47">X47</f>
        <v>1</v>
      </c>
      <c r="G47" s="17"/>
      <c r="H47" s="17"/>
      <c r="I47" s="60"/>
      <c r="J47" s="60"/>
      <c r="K47" s="60"/>
      <c r="L47" s="60"/>
      <c r="M47" s="60"/>
      <c r="N47" s="60"/>
      <c r="O47" s="60"/>
      <c r="P47" s="60"/>
      <c r="Q47" s="60"/>
      <c r="R47" s="60"/>
      <c r="S47" s="60"/>
      <c r="T47" s="351" t="b">
        <f>X47&gt;0</f>
        <v>1</v>
      </c>
      <c r="U47" s="60"/>
      <c r="V47" s="60" t="str" cm="1">
        <f t="array" ref="V47">'Сырье и материалы'!$AB$31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47" s="60"/>
      <c r="X47" s="998" t="s">
        <v>277</v>
      </c>
      <c r="Y47" s="60"/>
      <c r="Z47" s="1026"/>
      <c r="AA47" s="60"/>
      <c r="AB47" s="97" t="str" cm="1">
        <f t="array" ref="AB47">'Сырье и материалы'!$AB$31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60"/>
      <c r="BE47" s="60"/>
      <c r="BF47" s="667"/>
      <c r="BG47" s="667"/>
      <c r="BH47" s="667"/>
      <c r="BI47" s="457"/>
      <c r="BJ47" s="457"/>
    </row>
    <row r="48" spans="1:62" s="325" customFormat="1" ht="41.1" customHeight="1">
      <c r="A48" s="62"/>
      <c r="C48" s="362"/>
      <c r="D48" s="364"/>
      <c r="E48" s="178">
        <v>11.25</v>
      </c>
      <c r="F48" s="3" t="str" cm="1">
        <f t="array" aca="1" ref="F48" ca="1">OFFSET(E48,-1,1)</f>
        <v>1</v>
      </c>
      <c r="G48" s="42" t="s">
        <v>321</v>
      </c>
      <c r="H48" s="42"/>
      <c r="I48" s="62"/>
      <c r="J48" s="62"/>
      <c r="K48" s="362" t="str">
        <f ca="1">F48&amp;"komm"</f>
        <v>1komm</v>
      </c>
      <c r="L48" s="605" t="str" cm="1">
        <f t="array" ref="L48">BC48</f>
        <v>1) Пункты 22 - 23 Основ ценообразования  2)  П. 16, 20, 33 Методических указаний ФСТ России № 1746-э.</v>
      </c>
      <c r="M48" s="62"/>
      <c r="N48" s="62"/>
      <c r="O48" s="62"/>
      <c r="P48" s="62"/>
      <c r="Q48" s="62"/>
      <c r="R48" s="62"/>
      <c r="S48" s="62"/>
      <c r="T48" s="351" t="b" cm="1">
        <f t="array" ref="T48">T47</f>
        <v>1</v>
      </c>
      <c r="U48" s="62"/>
      <c r="V48" s="62"/>
      <c r="W48" s="62"/>
      <c r="X48" s="998"/>
      <c r="Y48" s="62"/>
      <c r="Z48" s="1026"/>
      <c r="AA48" s="62"/>
      <c r="AB48" s="8" t="s">
        <v>277</v>
      </c>
      <c r="AC48" s="54" t="s">
        <v>858</v>
      </c>
      <c r="AD48" s="8" t="s">
        <v>859</v>
      </c>
      <c r="AE48" s="58">
        <f t="shared" ref="AE48:BB48" si="9">IF(COUNTIF(AE53:AE73,"Ошибка")&gt;0,"Ошибка",SUMIF($AD53:$AD73,$AD48,AE53:AE73))</f>
        <v>4821.1499999999996</v>
      </c>
      <c r="AF48" s="58">
        <f t="shared" si="9"/>
        <v>11407.5</v>
      </c>
      <c r="AG48" s="58">
        <f t="shared" si="9"/>
        <v>11407.5</v>
      </c>
      <c r="AH48" s="58">
        <f t="shared" si="9"/>
        <v>99499.73</v>
      </c>
      <c r="AI48" s="58">
        <f t="shared" si="9"/>
        <v>116563.89</v>
      </c>
      <c r="AJ48" s="58">
        <f t="shared" si="9"/>
        <v>127171.20999999999</v>
      </c>
      <c r="AK48" s="58">
        <f t="shared" si="9"/>
        <v>133402.6</v>
      </c>
      <c r="AL48" s="58">
        <f t="shared" si="9"/>
        <v>0</v>
      </c>
      <c r="AM48" s="58">
        <f t="shared" si="9"/>
        <v>0</v>
      </c>
      <c r="AN48" s="58">
        <f t="shared" si="9"/>
        <v>0</v>
      </c>
      <c r="AO48" s="58">
        <f t="shared" si="9"/>
        <v>0</v>
      </c>
      <c r="AP48" s="58">
        <f t="shared" si="9"/>
        <v>0</v>
      </c>
      <c r="AQ48" s="58">
        <f t="shared" si="9"/>
        <v>0</v>
      </c>
      <c r="AR48" s="58">
        <f t="shared" si="9"/>
        <v>0</v>
      </c>
      <c r="AS48" s="58">
        <f t="shared" si="9"/>
        <v>116149.25</v>
      </c>
      <c r="AT48" s="58">
        <f t="shared" si="9"/>
        <v>126718.84</v>
      </c>
      <c r="AU48" s="58">
        <f t="shared" si="9"/>
        <v>132928.06</v>
      </c>
      <c r="AV48" s="58">
        <f t="shared" si="9"/>
        <v>0</v>
      </c>
      <c r="AW48" s="58">
        <f t="shared" si="9"/>
        <v>0</v>
      </c>
      <c r="AX48" s="58">
        <f t="shared" si="9"/>
        <v>0</v>
      </c>
      <c r="AY48" s="58">
        <f t="shared" si="9"/>
        <v>0</v>
      </c>
      <c r="AZ48" s="58">
        <f t="shared" si="9"/>
        <v>0</v>
      </c>
      <c r="BA48" s="58">
        <f t="shared" si="9"/>
        <v>0</v>
      </c>
      <c r="BB48" s="58">
        <f t="shared" si="9"/>
        <v>0</v>
      </c>
      <c r="BC48" s="113" t="s">
        <v>920</v>
      </c>
      <c r="BD48" s="62"/>
      <c r="BE48" s="62"/>
      <c r="BF48" s="676" t="s">
        <v>876</v>
      </c>
      <c r="BG48" s="676"/>
      <c r="BH48" s="676"/>
      <c r="BI48" s="178"/>
      <c r="BJ48" s="178"/>
    </row>
    <row r="49" spans="1:62" s="325" customFormat="1" ht="30.75" customHeight="1">
      <c r="A49" s="62"/>
      <c r="C49" s="362"/>
      <c r="D49" s="62"/>
      <c r="E49" s="178">
        <v>11.25</v>
      </c>
      <c r="F49" s="3" t="str" cm="1">
        <f t="array" aca="1" ref="F49" ca="1">OFFSET(E49,-1,1)</f>
        <v>1</v>
      </c>
      <c r="G49" s="42" t="s">
        <v>322</v>
      </c>
      <c r="H49" s="42"/>
      <c r="I49" s="62"/>
      <c r="J49" s="62"/>
      <c r="K49" s="62"/>
      <c r="L49" s="62"/>
      <c r="M49" s="62"/>
      <c r="N49" s="62"/>
      <c r="O49" s="62"/>
      <c r="P49" s="62"/>
      <c r="Q49" s="62"/>
      <c r="R49" s="62"/>
      <c r="S49" s="62"/>
      <c r="T49" s="351" t="b" cm="1">
        <f t="array" ref="T49">T48</f>
        <v>1</v>
      </c>
      <c r="U49" s="62"/>
      <c r="V49" s="62"/>
      <c r="W49" s="62"/>
      <c r="X49" s="998"/>
      <c r="Y49" s="62"/>
      <c r="Z49" s="1026"/>
      <c r="AA49" s="62"/>
      <c r="AB49" s="8" t="s">
        <v>435</v>
      </c>
      <c r="AC49" s="54" t="s">
        <v>877</v>
      </c>
      <c r="AD49" s="11" t="s">
        <v>878</v>
      </c>
      <c r="AE49" s="58">
        <f>SUMIF(AD53:AD73,AD49,AE53:AE73)</f>
        <v>817.33</v>
      </c>
      <c r="AF49" s="58">
        <f>SUMIF(AD53:AD73,AD49,AF53:AF73)</f>
        <v>1813.03</v>
      </c>
      <c r="AG49" s="58">
        <f>SUMIF(AD53:AD73,AD49,AG53:AG73)</f>
        <v>1813.03</v>
      </c>
      <c r="AH49" s="58">
        <f>SUMIF(AD53:AD73,AD49,AH53:AH73)</f>
        <v>18300.43</v>
      </c>
      <c r="AI49" s="58">
        <f>SUMIF(AD53:AD73,AD49,AI53:AI73)</f>
        <v>18300.43</v>
      </c>
      <c r="AJ49" s="58">
        <f>SUMIF(AD53:AD73,AD49,AJ53:AJ73)</f>
        <v>18300.43</v>
      </c>
      <c r="AK49" s="58">
        <f>SUMIF(AD53:AD73,AD49,AK53:AK73)</f>
        <v>18300.43</v>
      </c>
      <c r="AL49" s="58">
        <f>SUMIF(AD53:AD73,AD49,AL53:AL73)</f>
        <v>0</v>
      </c>
      <c r="AM49" s="58">
        <f>SUMIF(AD53:AD73,AD49,AM53:AM73)</f>
        <v>0</v>
      </c>
      <c r="AN49" s="58">
        <f>SUMIF(AD53:AD73,AD49,AN53:AN73)</f>
        <v>0</v>
      </c>
      <c r="AO49" s="58">
        <f>SUMIF(AD53:AD73,AD49,AO53:AO73)</f>
        <v>0</v>
      </c>
      <c r="AP49" s="58">
        <f>SUMIF(AD53:AD73,AD49,AP53:AP73)</f>
        <v>0</v>
      </c>
      <c r="AQ49" s="58">
        <f>SUMIF(AD53:AD73,AD49,AQ53:AQ73)</f>
        <v>0</v>
      </c>
      <c r="AR49" s="58">
        <f>SUMIF(AD53:AD73,AD49,AR53:AR73)</f>
        <v>0</v>
      </c>
      <c r="AS49" s="58">
        <f>SUMIF(AD53:AD73,AD49,AS53:AS73)</f>
        <v>18198.37</v>
      </c>
      <c r="AT49" s="58">
        <f>SUMIF(AD53:AD73,AD49,AT53:AT73)</f>
        <v>18198.37</v>
      </c>
      <c r="AU49" s="58">
        <f>SUMIF(AD53:AD73,AD49,AU53:AU73)</f>
        <v>18198.37</v>
      </c>
      <c r="AV49" s="58">
        <f>SUMIF(AD53:AD73,AD49,AV53:AV73)</f>
        <v>0</v>
      </c>
      <c r="AW49" s="58">
        <f>SUMIF(AD53:AD73,AD49,AW53:AW73)</f>
        <v>0</v>
      </c>
      <c r="AX49" s="58">
        <f>SUMIF(AD53:AD73,AD49,AX53:AX73)</f>
        <v>0</v>
      </c>
      <c r="AY49" s="58">
        <f>SUMIF(AD53:AD73,AD49,AY53:AY73)</f>
        <v>0</v>
      </c>
      <c r="AZ49" s="58">
        <f>SUMIF(AD53:AD73,AD49,AZ53:AZ73)</f>
        <v>0</v>
      </c>
      <c r="BA49" s="58">
        <f>SUMIF(AD53:AD73,AD49,BA53:BA73)</f>
        <v>0</v>
      </c>
      <c r="BB49" s="58">
        <f>SUMIF(AD53:AD73,AD49,BB53:BB73)</f>
        <v>0</v>
      </c>
      <c r="BC49" s="113"/>
      <c r="BD49" s="62"/>
      <c r="BE49" s="62"/>
      <c r="BF49" s="676" t="s">
        <v>879</v>
      </c>
      <c r="BG49" s="676"/>
      <c r="BH49" s="676"/>
      <c r="BI49" s="178"/>
      <c r="BJ49" s="178"/>
    </row>
    <row r="50" spans="1:62" s="325" customFormat="1" ht="23.25" customHeight="1">
      <c r="A50" s="62"/>
      <c r="C50" s="362"/>
      <c r="D50" s="62"/>
      <c r="E50" s="178">
        <v>11.25</v>
      </c>
      <c r="F50" s="3" t="str" cm="1">
        <f t="array" aca="1" ref="F50" ca="1">OFFSET(E50,-1,1)</f>
        <v>1</v>
      </c>
      <c r="G50" s="42" t="s">
        <v>323</v>
      </c>
      <c r="H50" s="42"/>
      <c r="I50" s="62"/>
      <c r="J50" s="62"/>
      <c r="K50" s="62"/>
      <c r="L50" s="62"/>
      <c r="M50" s="62"/>
      <c r="N50" s="62"/>
      <c r="O50" s="62"/>
      <c r="P50" s="62"/>
      <c r="Q50" s="62"/>
      <c r="R50" s="62"/>
      <c r="S50" s="62"/>
      <c r="T50" s="351" t="b" cm="1">
        <f t="array" ref="T50">T49</f>
        <v>1</v>
      </c>
      <c r="U50" s="62"/>
      <c r="V50" s="62"/>
      <c r="W50" s="62"/>
      <c r="X50" s="998"/>
      <c r="Y50" s="62"/>
      <c r="Z50" s="1026"/>
      <c r="AA50" s="62"/>
      <c r="AB50" s="8" t="s">
        <v>319</v>
      </c>
      <c r="AC50" s="54" t="s">
        <v>880</v>
      </c>
      <c r="AD50" s="11" t="s">
        <v>881</v>
      </c>
      <c r="AE50" s="152" cm="1">
        <f t="array" ref="AE50">Баланс!AE120</f>
        <v>261.710194</v>
      </c>
      <c r="AF50" s="152" cm="1">
        <f t="array" ref="AF50">Баланс!AF120</f>
        <v>1537.7940000000001</v>
      </c>
      <c r="AG50" s="152" cm="1">
        <f t="array" ref="AG50">Баланс!AG120</f>
        <v>1537.7940000000001</v>
      </c>
      <c r="AH50" s="152">
        <v>6752.9270910969999</v>
      </c>
      <c r="AI50" s="152" cm="1">
        <f t="array" ref="AI50">Баланс!AI120</f>
        <v>6715.2669999999998</v>
      </c>
      <c r="AJ50" s="152" cm="1">
        <f t="array" ref="AJ50">Баланс!AJ120</f>
        <v>6715.2669999999998</v>
      </c>
      <c r="AK50" s="152" cm="1">
        <f t="array" ref="AK50">Баланс!AK120</f>
        <v>6715.2669999999998</v>
      </c>
      <c r="AL50" s="152"/>
      <c r="AM50" s="152"/>
      <c r="AN50" s="152"/>
      <c r="AO50" s="152"/>
      <c r="AP50" s="152"/>
      <c r="AQ50" s="152"/>
      <c r="AR50" s="152"/>
      <c r="AS50" s="152" cm="1">
        <f t="array" ref="AS50">Баланс!AS120</f>
        <v>6715.26667</v>
      </c>
      <c r="AT50" s="152" cm="1">
        <f t="array" ref="AT50">Баланс!AT120</f>
        <v>6715.26667</v>
      </c>
      <c r="AU50" s="152" cm="1">
        <f t="array" ref="AU50">Баланс!AU120</f>
        <v>6715.26667</v>
      </c>
      <c r="AV50" s="152"/>
      <c r="AW50" s="152"/>
      <c r="AX50" s="152"/>
      <c r="AY50" s="152"/>
      <c r="AZ50" s="152"/>
      <c r="BA50" s="152"/>
      <c r="BB50" s="152"/>
      <c r="BC50" s="113"/>
      <c r="BD50" s="62"/>
      <c r="BE50" s="62"/>
      <c r="BF50" s="676" t="s">
        <v>882</v>
      </c>
      <c r="BG50" s="676"/>
      <c r="BH50" s="676"/>
      <c r="BI50" s="178"/>
      <c r="BJ50" s="178"/>
    </row>
    <row r="51" spans="1:62" s="325" customFormat="1" ht="26.65" customHeight="1">
      <c r="A51" s="62"/>
      <c r="C51" s="362"/>
      <c r="D51" s="62"/>
      <c r="E51" s="178">
        <v>11.25</v>
      </c>
      <c r="F51" s="3" t="str" cm="1">
        <f t="array" aca="1" ref="F51" ca="1">OFFSET(E51,-1,1)</f>
        <v>1</v>
      </c>
      <c r="G51" s="42" t="s">
        <v>325</v>
      </c>
      <c r="H51" s="42"/>
      <c r="I51" s="62"/>
      <c r="J51" s="62"/>
      <c r="K51" s="62"/>
      <c r="L51" s="62"/>
      <c r="M51" s="62"/>
      <c r="N51" s="62"/>
      <c r="O51" s="62"/>
      <c r="P51" s="62"/>
      <c r="Q51" s="62"/>
      <c r="R51" s="62"/>
      <c r="S51" s="62"/>
      <c r="T51" s="351" t="b" cm="1">
        <f t="array" ref="T51">T50</f>
        <v>1</v>
      </c>
      <c r="U51" s="62"/>
      <c r="V51" s="62"/>
      <c r="W51" s="62"/>
      <c r="X51" s="998"/>
      <c r="Y51" s="62"/>
      <c r="Z51" s="1026"/>
      <c r="AA51" s="62"/>
      <c r="AB51" s="8" t="s">
        <v>438</v>
      </c>
      <c r="AC51" s="54" t="s">
        <v>883</v>
      </c>
      <c r="AD51" s="11" t="s">
        <v>884</v>
      </c>
      <c r="AE51" s="58">
        <f t="shared" ref="AE51:BB51" si="10">IF(AE49=0,0,AE48/AE49)</f>
        <v>5.8986578248687795</v>
      </c>
      <c r="AF51" s="58">
        <f t="shared" si="10"/>
        <v>6.2919532495325505</v>
      </c>
      <c r="AG51" s="58">
        <f t="shared" si="10"/>
        <v>6.2919532495325505</v>
      </c>
      <c r="AH51" s="58">
        <f t="shared" si="10"/>
        <v>5.43701596082715</v>
      </c>
      <c r="AI51" s="58">
        <f t="shared" si="10"/>
        <v>6.3694618104601917</v>
      </c>
      <c r="AJ51" s="58">
        <f t="shared" si="10"/>
        <v>6.9490831636196519</v>
      </c>
      <c r="AK51" s="58">
        <f t="shared" si="10"/>
        <v>7.2895882774339187</v>
      </c>
      <c r="AL51" s="58">
        <f t="shared" si="10"/>
        <v>0</v>
      </c>
      <c r="AM51" s="58">
        <f t="shared" si="10"/>
        <v>0</v>
      </c>
      <c r="AN51" s="58">
        <f t="shared" si="10"/>
        <v>0</v>
      </c>
      <c r="AO51" s="58">
        <f t="shared" si="10"/>
        <v>0</v>
      </c>
      <c r="AP51" s="58">
        <f t="shared" si="10"/>
        <v>0</v>
      </c>
      <c r="AQ51" s="58">
        <f t="shared" si="10"/>
        <v>0</v>
      </c>
      <c r="AR51" s="58">
        <f t="shared" si="10"/>
        <v>0</v>
      </c>
      <c r="AS51" s="58">
        <f t="shared" si="10"/>
        <v>6.3823985334950333</v>
      </c>
      <c r="AT51" s="58">
        <f t="shared" si="10"/>
        <v>6.9631972533803852</v>
      </c>
      <c r="AU51" s="58">
        <f t="shared" si="10"/>
        <v>7.3043937451540994</v>
      </c>
      <c r="AV51" s="58">
        <f t="shared" si="10"/>
        <v>0</v>
      </c>
      <c r="AW51" s="58">
        <f t="shared" si="10"/>
        <v>0</v>
      </c>
      <c r="AX51" s="58">
        <f t="shared" si="10"/>
        <v>0</v>
      </c>
      <c r="AY51" s="58">
        <f t="shared" si="10"/>
        <v>0</v>
      </c>
      <c r="AZ51" s="58">
        <f t="shared" si="10"/>
        <v>0</v>
      </c>
      <c r="BA51" s="58">
        <f t="shared" si="10"/>
        <v>0</v>
      </c>
      <c r="BB51" s="58">
        <f t="shared" si="10"/>
        <v>0</v>
      </c>
      <c r="BC51" s="113"/>
      <c r="BD51" s="62"/>
      <c r="BE51" s="62"/>
      <c r="BF51" s="676" t="s">
        <v>885</v>
      </c>
      <c r="BG51" s="676"/>
      <c r="BH51" s="676"/>
      <c r="BI51" s="178"/>
      <c r="BJ51" s="178"/>
    </row>
    <row r="52" spans="1:62" s="325" customFormat="1" ht="89.45" customHeight="1">
      <c r="A52" s="62"/>
      <c r="C52" s="362"/>
      <c r="D52" s="62"/>
      <c r="E52" s="178">
        <v>11.25</v>
      </c>
      <c r="F52" s="3" t="str" cm="1">
        <f t="array" aca="1" ref="F52" ca="1">OFFSET(E52,-1,1)</f>
        <v>1</v>
      </c>
      <c r="G52" s="42" t="s">
        <v>324</v>
      </c>
      <c r="H52" s="42"/>
      <c r="I52" s="62"/>
      <c r="J52" s="62"/>
      <c r="K52" s="62"/>
      <c r="L52" s="62"/>
      <c r="M52" s="62"/>
      <c r="N52" s="62"/>
      <c r="O52" s="62"/>
      <c r="P52" s="62"/>
      <c r="Q52" s="62"/>
      <c r="R52" s="62"/>
      <c r="S52" s="62"/>
      <c r="T52" s="351" t="b" cm="1">
        <f t="array" ref="T52">T51</f>
        <v>1</v>
      </c>
      <c r="U52" s="62"/>
      <c r="V52" s="62"/>
      <c r="W52" s="62"/>
      <c r="X52" s="998"/>
      <c r="Y52" s="62"/>
      <c r="Z52" s="1026"/>
      <c r="AA52" s="62"/>
      <c r="AB52" s="8" t="s">
        <v>440</v>
      </c>
      <c r="AC52" s="54" t="s">
        <v>886</v>
      </c>
      <c r="AD52" s="11" t="s">
        <v>887</v>
      </c>
      <c r="AE52" s="222">
        <f t="shared" ref="AE52:BB52" si="11">IF(AE50=0,0,AE49/AE50)</f>
        <v>3.1230346342565474</v>
      </c>
      <c r="AF52" s="222">
        <f t="shared" si="11"/>
        <v>1.1789810598818826</v>
      </c>
      <c r="AG52" s="222">
        <f t="shared" si="11"/>
        <v>1.1789810598818826</v>
      </c>
      <c r="AH52" s="222">
        <f t="shared" si="11"/>
        <v>2.709999642099961</v>
      </c>
      <c r="AI52" s="222">
        <f t="shared" si="11"/>
        <v>2.7251976727060891</v>
      </c>
      <c r="AJ52" s="222">
        <f t="shared" si="11"/>
        <v>2.7251976727060891</v>
      </c>
      <c r="AK52" s="222">
        <f t="shared" si="11"/>
        <v>2.7251976727060891</v>
      </c>
      <c r="AL52" s="222">
        <f t="shared" si="11"/>
        <v>0</v>
      </c>
      <c r="AM52" s="222">
        <f t="shared" si="11"/>
        <v>0</v>
      </c>
      <c r="AN52" s="222">
        <f t="shared" si="11"/>
        <v>0</v>
      </c>
      <c r="AO52" s="222">
        <f t="shared" si="11"/>
        <v>0</v>
      </c>
      <c r="AP52" s="222">
        <f t="shared" si="11"/>
        <v>0</v>
      </c>
      <c r="AQ52" s="222">
        <f t="shared" si="11"/>
        <v>0</v>
      </c>
      <c r="AR52" s="222">
        <f t="shared" si="11"/>
        <v>0</v>
      </c>
      <c r="AS52" s="222">
        <f t="shared" si="11"/>
        <v>2.7099996015497028</v>
      </c>
      <c r="AT52" s="222">
        <f t="shared" si="11"/>
        <v>2.7099996015497028</v>
      </c>
      <c r="AU52" s="222">
        <f t="shared" si="11"/>
        <v>2.7099996015497028</v>
      </c>
      <c r="AV52" s="222">
        <f t="shared" si="11"/>
        <v>0</v>
      </c>
      <c r="AW52" s="222">
        <f t="shared" si="11"/>
        <v>0</v>
      </c>
      <c r="AX52" s="222">
        <f t="shared" si="11"/>
        <v>0</v>
      </c>
      <c r="AY52" s="222">
        <f t="shared" si="11"/>
        <v>0</v>
      </c>
      <c r="AZ52" s="222">
        <f t="shared" si="11"/>
        <v>0</v>
      </c>
      <c r="BA52" s="222">
        <f t="shared" si="11"/>
        <v>0</v>
      </c>
      <c r="BB52" s="222">
        <f t="shared" si="11"/>
        <v>0</v>
      </c>
      <c r="BC52" s="113" t="s">
        <v>921</v>
      </c>
      <c r="BD52" s="62"/>
      <c r="BE52" s="62"/>
      <c r="BF52" s="676" t="s">
        <v>888</v>
      </c>
      <c r="BG52" s="676"/>
      <c r="BH52" s="676"/>
      <c r="BI52" s="178"/>
      <c r="BJ52" s="178"/>
    </row>
    <row r="53" spans="1:62" s="325" customFormat="1" ht="18.75" customHeight="1">
      <c r="A53" s="62"/>
      <c r="C53" s="362"/>
      <c r="D53" s="62"/>
      <c r="E53" s="178">
        <v>13</v>
      </c>
      <c r="F53" s="3" t="str" cm="1">
        <f t="array" aca="1" ref="F53" ca="1">OFFSET(E53,-1,1)</f>
        <v>1</v>
      </c>
      <c r="G53" s="42"/>
      <c r="H53" s="42"/>
      <c r="I53" s="62"/>
      <c r="J53" s="62"/>
      <c r="K53" s="62"/>
      <c r="L53" s="62"/>
      <c r="M53" s="62"/>
      <c r="N53" s="62"/>
      <c r="O53" s="62"/>
      <c r="P53" s="62"/>
      <c r="Q53" s="62"/>
      <c r="R53" s="62"/>
      <c r="S53" s="62"/>
      <c r="T53" s="351" t="b" cm="1">
        <f t="array" ref="T53">T52</f>
        <v>1</v>
      </c>
      <c r="U53" s="62"/>
      <c r="V53" s="62"/>
      <c r="W53" s="62"/>
      <c r="X53" s="998"/>
      <c r="Y53" s="62"/>
      <c r="Z53" s="1026"/>
      <c r="AA53" s="62"/>
      <c r="AB53" s="474"/>
      <c r="AC53" s="177" t="s">
        <v>889</v>
      </c>
      <c r="AD53" s="178"/>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80"/>
      <c r="BD53" s="62"/>
      <c r="BE53" s="62"/>
      <c r="BF53" s="676"/>
      <c r="BG53" s="676"/>
      <c r="BH53" s="676"/>
      <c r="BI53" s="178"/>
      <c r="BJ53" s="178"/>
    </row>
    <row r="54" spans="1:62" s="325" customFormat="1" ht="10.5" hidden="1" customHeight="1">
      <c r="A54" s="62"/>
      <c r="C54" s="362"/>
      <c r="D54" s="62"/>
      <c r="E54" s="178">
        <v>11.25</v>
      </c>
      <c r="F54" s="3" t="str" cm="1">
        <f t="array" aca="1" ref="F54" ca="1">OFFSET(E54,-1,1)</f>
        <v>1</v>
      </c>
      <c r="G54" s="42" t="s">
        <v>557</v>
      </c>
      <c r="H54" s="42" cm="1">
        <f t="array" ref="H54">AC54</f>
        <v>0</v>
      </c>
      <c r="I54" s="62"/>
      <c r="J54" s="62"/>
      <c r="K54" s="62"/>
      <c r="L54" s="62"/>
      <c r="M54" s="62"/>
      <c r="N54" s="62"/>
      <c r="O54" s="62"/>
      <c r="P54" s="62"/>
      <c r="Q54" s="62"/>
      <c r="R54" s="62"/>
      <c r="S54" s="62"/>
      <c r="T54" s="351" t="b">
        <f ca="1">AND(F54&gt;0,Y54&gt;0)</f>
        <v>0</v>
      </c>
      <c r="U54" s="62"/>
      <c r="V54" s="62"/>
      <c r="W54" s="515" t="s">
        <v>171</v>
      </c>
      <c r="X54" s="998"/>
      <c r="Y54" s="998">
        <v>0</v>
      </c>
      <c r="Z54" s="1026"/>
      <c r="AA54" s="995" t="s">
        <v>172</v>
      </c>
      <c r="AB54" s="8" t="str">
        <f>"6."&amp;Y54</f>
        <v>6.0</v>
      </c>
      <c r="AC54" s="885"/>
      <c r="AD54" s="8" t="s">
        <v>859</v>
      </c>
      <c r="AE54" s="817"/>
      <c r="AF54" s="817"/>
      <c r="AG54" s="817"/>
      <c r="AH54" s="817"/>
      <c r="AI54" s="57"/>
      <c r="AJ54" s="57"/>
      <c r="AK54" s="57"/>
      <c r="AL54" s="817"/>
      <c r="AM54" s="817"/>
      <c r="AN54" s="817"/>
      <c r="AO54" s="817"/>
      <c r="AP54" s="817"/>
      <c r="AQ54" s="817"/>
      <c r="AR54" s="817"/>
      <c r="AS54" s="57"/>
      <c r="AT54" s="57"/>
      <c r="AU54" s="57"/>
      <c r="AV54" s="817"/>
      <c r="AW54" s="817"/>
      <c r="AX54" s="817"/>
      <c r="AY54" s="817"/>
      <c r="AZ54" s="817"/>
      <c r="BA54" s="817"/>
      <c r="BB54" s="817"/>
      <c r="BC54" s="823"/>
      <c r="BD54" s="62"/>
      <c r="BE54" s="62"/>
      <c r="BF54" s="676" t="s">
        <v>890</v>
      </c>
      <c r="BG54" s="676" t="s">
        <v>891</v>
      </c>
      <c r="BH54" s="676" cm="1">
        <f t="array" ref="BH54">AC54</f>
        <v>0</v>
      </c>
      <c r="BI54" s="178"/>
      <c r="BJ54" s="178" t="b">
        <v>1</v>
      </c>
    </row>
    <row r="55" spans="1:62" s="325" customFormat="1" ht="10.5" hidden="1" customHeight="1">
      <c r="A55" s="62"/>
      <c r="C55" s="362"/>
      <c r="D55" s="62"/>
      <c r="E55" s="178">
        <v>11.25</v>
      </c>
      <c r="F55" s="3" t="str" cm="1">
        <f t="array" aca="1" ref="F55" ca="1">OFFSET(E55,-1,1)</f>
        <v>1</v>
      </c>
      <c r="G55" s="42" t="s">
        <v>721</v>
      </c>
      <c r="H55" s="42" cm="1">
        <f t="array" ref="H55">H54</f>
        <v>0</v>
      </c>
      <c r="I55" s="62"/>
      <c r="J55" s="62"/>
      <c r="K55" s="62"/>
      <c r="L55" s="62"/>
      <c r="M55" s="62"/>
      <c r="N55" s="62"/>
      <c r="O55" s="62"/>
      <c r="P55" s="62"/>
      <c r="Q55" s="62"/>
      <c r="R55" s="62"/>
      <c r="S55" s="62"/>
      <c r="T55" s="351" t="b" cm="1">
        <f t="array" aca="1" ref="T55" ca="1">T54</f>
        <v>0</v>
      </c>
      <c r="U55" s="62"/>
      <c r="V55" s="62"/>
      <c r="W55" s="62"/>
      <c r="X55" s="998"/>
      <c r="Y55" s="998"/>
      <c r="Z55" s="1026"/>
      <c r="AA55" s="995"/>
      <c r="AB55" s="8" t="str">
        <f>AB54&amp;".1"</f>
        <v>6.0.1</v>
      </c>
      <c r="AC55" s="105" t="s">
        <v>892</v>
      </c>
      <c r="AD55" s="11" t="s">
        <v>884</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3"/>
      <c r="BD55" s="62"/>
      <c r="BE55" s="62"/>
      <c r="BF55" s="676" t="s">
        <v>893</v>
      </c>
      <c r="BG55" s="676" t="s">
        <v>891</v>
      </c>
      <c r="BH55" s="676" cm="1">
        <f t="array" ref="BH55">BH54</f>
        <v>0</v>
      </c>
      <c r="BI55" s="178"/>
      <c r="BJ55" s="178"/>
    </row>
    <row r="56" spans="1:62" s="325" customFormat="1" ht="10.5" hidden="1" customHeight="1">
      <c r="A56" s="62"/>
      <c r="C56" s="362"/>
      <c r="D56" s="62"/>
      <c r="E56" s="178">
        <v>11.25</v>
      </c>
      <c r="F56" s="3" t="str" cm="1">
        <f t="array" aca="1" ref="F56" ca="1">OFFSET(E56,-1,1)</f>
        <v>1</v>
      </c>
      <c r="G56" s="42" t="s">
        <v>724</v>
      </c>
      <c r="H56" s="42" cm="1">
        <f t="array" ref="H56">H55</f>
        <v>0</v>
      </c>
      <c r="I56" s="62"/>
      <c r="J56" s="62"/>
      <c r="K56" s="62"/>
      <c r="L56" s="62"/>
      <c r="M56" s="62"/>
      <c r="N56" s="62"/>
      <c r="O56" s="62"/>
      <c r="P56" s="62"/>
      <c r="Q56" s="62"/>
      <c r="R56" s="62"/>
      <c r="S56" s="62"/>
      <c r="T56" s="351" t="b" cm="1">
        <f t="array" aca="1" ref="T56" ca="1">T55</f>
        <v>0</v>
      </c>
      <c r="U56" s="62"/>
      <c r="V56" s="62"/>
      <c r="W56" s="62"/>
      <c r="X56" s="998"/>
      <c r="Y56" s="998"/>
      <c r="Z56" s="1026"/>
      <c r="AA56" s="995"/>
      <c r="AB56" s="8" t="str">
        <f>AB54&amp;".2"</f>
        <v>6.0.2</v>
      </c>
      <c r="AC56" s="105" t="s">
        <v>894</v>
      </c>
      <c r="AD56" s="11" t="s">
        <v>878</v>
      </c>
      <c r="AE56" s="817"/>
      <c r="AF56" s="817"/>
      <c r="AG56" s="817"/>
      <c r="AH56" s="817"/>
      <c r="AI56" s="57"/>
      <c r="AJ56" s="57"/>
      <c r="AK56" s="57"/>
      <c r="AL56" s="817"/>
      <c r="AM56" s="817"/>
      <c r="AN56" s="817"/>
      <c r="AO56" s="817"/>
      <c r="AP56" s="817"/>
      <c r="AQ56" s="817"/>
      <c r="AR56" s="817"/>
      <c r="AS56" s="57"/>
      <c r="AT56" s="57"/>
      <c r="AU56" s="57"/>
      <c r="AV56" s="817"/>
      <c r="AW56" s="817"/>
      <c r="AX56" s="817"/>
      <c r="AY56" s="817"/>
      <c r="AZ56" s="817"/>
      <c r="BA56" s="817"/>
      <c r="BB56" s="817"/>
      <c r="BC56" s="823"/>
      <c r="BD56" s="62"/>
      <c r="BE56" s="62"/>
      <c r="BF56" s="676" t="s">
        <v>895</v>
      </c>
      <c r="BG56" s="676" t="s">
        <v>891</v>
      </c>
      <c r="BH56" s="676" cm="1">
        <f t="array" ref="BH56">BH55</f>
        <v>0</v>
      </c>
      <c r="BI56" s="178"/>
      <c r="BJ56" s="178"/>
    </row>
    <row r="57" spans="1:62" s="59" customFormat="1" ht="14.25" customHeight="1">
      <c r="B57" s="46"/>
      <c r="C57" s="362"/>
      <c r="E57" s="460">
        <v>15</v>
      </c>
      <c r="F57" s="3" t="str" cm="1">
        <f t="array" aca="1" ref="F57" ca="1">OFFSET(E57,-1,1)</f>
        <v>1</v>
      </c>
      <c r="H57" s="630" t="s">
        <v>896</v>
      </c>
      <c r="T57" s="351" t="b">
        <f ca="1">F57&gt;0</f>
        <v>1</v>
      </c>
      <c r="W57" s="515" t="s">
        <v>388</v>
      </c>
      <c r="X57" s="998"/>
      <c r="Z57" s="1026"/>
      <c r="AB57" s="475"/>
      <c r="AC57" s="92" t="s">
        <v>175</v>
      </c>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101"/>
      <c r="BF57" s="672"/>
      <c r="BG57" s="672"/>
      <c r="BH57" s="672"/>
      <c r="BI57" s="460" t="s">
        <v>891</v>
      </c>
      <c r="BJ57" s="460"/>
    </row>
    <row r="58" spans="1:62" s="325" customFormat="1" ht="21.95" customHeight="1">
      <c r="A58" s="62"/>
      <c r="C58" s="362"/>
      <c r="D58" s="62"/>
      <c r="E58" s="178">
        <v>13</v>
      </c>
      <c r="F58" s="3" t="str" cm="1">
        <f t="array" aca="1" ref="F58" ca="1">OFFSET(E58,-1,1)</f>
        <v>1</v>
      </c>
      <c r="G58" s="42"/>
      <c r="H58" s="42"/>
      <c r="I58" s="62"/>
      <c r="J58" s="62"/>
      <c r="K58" s="62"/>
      <c r="L58" s="62"/>
      <c r="M58" s="62"/>
      <c r="N58" s="62"/>
      <c r="O58" s="62"/>
      <c r="P58" s="62"/>
      <c r="Q58" s="62"/>
      <c r="R58" s="62"/>
      <c r="S58" s="62"/>
      <c r="T58" s="351" t="b" cm="1">
        <f t="array" aca="1" ref="T58" ca="1">T57</f>
        <v>1</v>
      </c>
      <c r="U58" s="62"/>
      <c r="V58" s="62"/>
      <c r="W58" s="62"/>
      <c r="X58" s="998"/>
      <c r="Y58" s="62"/>
      <c r="Z58" s="1026"/>
      <c r="AA58" s="62"/>
      <c r="AB58" s="474"/>
      <c r="AC58" s="177" t="s">
        <v>897</v>
      </c>
      <c r="AD58" s="178"/>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80"/>
      <c r="BD58" s="62"/>
      <c r="BE58" s="62"/>
      <c r="BF58" s="676"/>
      <c r="BG58" s="676"/>
      <c r="BH58" s="676"/>
      <c r="BI58" s="178"/>
      <c r="BJ58" s="178"/>
    </row>
    <row r="59" spans="1:62" s="325" customFormat="1" ht="10.5" hidden="1" customHeight="1">
      <c r="A59" s="62"/>
      <c r="C59" s="362"/>
      <c r="D59" s="62"/>
      <c r="E59" s="178">
        <v>11.25</v>
      </c>
      <c r="F59" s="3" t="str" cm="1">
        <f t="array" aca="1" ref="F59" ca="1">OFFSET(E59,-1,1)</f>
        <v>1</v>
      </c>
      <c r="G59" s="42" t="s">
        <v>557</v>
      </c>
      <c r="H59" s="42" cm="1">
        <f t="array" ref="H59">AC59</f>
        <v>0</v>
      </c>
      <c r="I59" s="62"/>
      <c r="J59" s="62"/>
      <c r="K59" s="62"/>
      <c r="L59" s="62"/>
      <c r="M59" s="62"/>
      <c r="N59" s="62"/>
      <c r="O59" s="62"/>
      <c r="P59" s="62"/>
      <c r="Q59" s="62"/>
      <c r="R59" s="62"/>
      <c r="S59" s="62"/>
      <c r="T59" s="351" t="b">
        <f ca="1">AND(F59&gt;0,Y59&gt;0)</f>
        <v>0</v>
      </c>
      <c r="U59" s="62"/>
      <c r="V59" s="62"/>
      <c r="W59" s="515" t="s">
        <v>171</v>
      </c>
      <c r="X59" s="998"/>
      <c r="Y59" s="998">
        <v>0</v>
      </c>
      <c r="Z59" s="1026"/>
      <c r="AA59" s="995" t="s">
        <v>172</v>
      </c>
      <c r="AB59" s="8" t="str">
        <f>"7."&amp;Y59</f>
        <v>7.0</v>
      </c>
      <c r="AC59" s="885"/>
      <c r="AD59" s="8" t="s">
        <v>859</v>
      </c>
      <c r="AE59" s="58">
        <f t="shared" ref="AE59:BB59" si="13">AE60+AE63</f>
        <v>0</v>
      </c>
      <c r="AF59" s="58">
        <f t="shared" si="13"/>
        <v>0</v>
      </c>
      <c r="AG59" s="58">
        <f t="shared" si="13"/>
        <v>0</v>
      </c>
      <c r="AH59" s="58">
        <f t="shared" si="13"/>
        <v>0</v>
      </c>
      <c r="AI59" s="58">
        <f t="shared" si="13"/>
        <v>0</v>
      </c>
      <c r="AJ59" s="58">
        <f t="shared" si="13"/>
        <v>0</v>
      </c>
      <c r="AK59" s="58">
        <f t="shared" si="13"/>
        <v>0</v>
      </c>
      <c r="AL59" s="58">
        <f t="shared" si="13"/>
        <v>0</v>
      </c>
      <c r="AM59" s="58">
        <f t="shared" si="13"/>
        <v>0</v>
      </c>
      <c r="AN59" s="58">
        <f t="shared" si="13"/>
        <v>0</v>
      </c>
      <c r="AO59" s="58">
        <f t="shared" si="13"/>
        <v>0</v>
      </c>
      <c r="AP59" s="58">
        <f t="shared" si="13"/>
        <v>0</v>
      </c>
      <c r="AQ59" s="58">
        <f t="shared" si="13"/>
        <v>0</v>
      </c>
      <c r="AR59" s="58">
        <f t="shared" si="13"/>
        <v>0</v>
      </c>
      <c r="AS59" s="58">
        <f t="shared" si="13"/>
        <v>0</v>
      </c>
      <c r="AT59" s="58">
        <f t="shared" si="13"/>
        <v>0</v>
      </c>
      <c r="AU59" s="58">
        <f t="shared" si="13"/>
        <v>0</v>
      </c>
      <c r="AV59" s="58">
        <f t="shared" si="13"/>
        <v>0</v>
      </c>
      <c r="AW59" s="58">
        <f t="shared" si="13"/>
        <v>0</v>
      </c>
      <c r="AX59" s="58">
        <f t="shared" si="13"/>
        <v>0</v>
      </c>
      <c r="AY59" s="58">
        <f t="shared" si="13"/>
        <v>0</v>
      </c>
      <c r="AZ59" s="58">
        <f t="shared" si="13"/>
        <v>0</v>
      </c>
      <c r="BA59" s="58">
        <f t="shared" si="13"/>
        <v>0</v>
      </c>
      <c r="BB59" s="58">
        <f t="shared" si="13"/>
        <v>0</v>
      </c>
      <c r="BC59" s="823"/>
      <c r="BD59" s="62"/>
      <c r="BE59" s="62"/>
      <c r="BF59" s="676" t="s">
        <v>898</v>
      </c>
      <c r="BG59" s="676" t="s">
        <v>899</v>
      </c>
      <c r="BH59" s="676" cm="1">
        <f t="array" ref="BH59">AC59</f>
        <v>0</v>
      </c>
      <c r="BI59" s="178"/>
      <c r="BJ59" s="178"/>
    </row>
    <row r="60" spans="1:62" s="325" customFormat="1" ht="10.5" hidden="1" customHeight="1">
      <c r="A60" s="62"/>
      <c r="C60" s="362"/>
      <c r="D60" s="62"/>
      <c r="E60" s="178">
        <v>11.25</v>
      </c>
      <c r="F60" s="3" t="str" cm="1">
        <f t="array" aca="1" ref="F60" ca="1">OFFSET(E60,-1,1)</f>
        <v>1</v>
      </c>
      <c r="G60" s="42" t="s">
        <v>728</v>
      </c>
      <c r="H60" s="42" cm="1">
        <f t="array" ref="H60">H59</f>
        <v>0</v>
      </c>
      <c r="I60" s="62"/>
      <c r="J60" s="62"/>
      <c r="K60" s="62"/>
      <c r="L60" s="62"/>
      <c r="M60" s="62"/>
      <c r="N60" s="62"/>
      <c r="O60" s="62"/>
      <c r="P60" s="62"/>
      <c r="Q60" s="62"/>
      <c r="R60" s="62"/>
      <c r="S60" s="62"/>
      <c r="T60" s="351" t="b" cm="1">
        <f t="array" aca="1" ref="T60" ca="1">T59</f>
        <v>0</v>
      </c>
      <c r="U60" s="62"/>
      <c r="V60" s="62"/>
      <c r="W60" s="62"/>
      <c r="X60" s="998"/>
      <c r="Y60" s="998"/>
      <c r="Z60" s="1026"/>
      <c r="AA60" s="995"/>
      <c r="AB60" s="8" t="str">
        <f>AB59&amp;".1"</f>
        <v>7.0.1</v>
      </c>
      <c r="AC60" s="105" t="s">
        <v>900</v>
      </c>
      <c r="AD60" s="8" t="s">
        <v>901</v>
      </c>
      <c r="AE60" s="817"/>
      <c r="AF60" s="817"/>
      <c r="AG60" s="817"/>
      <c r="AH60" s="817"/>
      <c r="AI60" s="57"/>
      <c r="AJ60" s="57"/>
      <c r="AK60" s="57"/>
      <c r="AL60" s="817"/>
      <c r="AM60" s="817"/>
      <c r="AN60" s="817"/>
      <c r="AO60" s="817"/>
      <c r="AP60" s="817"/>
      <c r="AQ60" s="817"/>
      <c r="AR60" s="817"/>
      <c r="AS60" s="57"/>
      <c r="AT60" s="57"/>
      <c r="AU60" s="57"/>
      <c r="AV60" s="817"/>
      <c r="AW60" s="817"/>
      <c r="AX60" s="817"/>
      <c r="AY60" s="817"/>
      <c r="AZ60" s="817"/>
      <c r="BA60" s="817"/>
      <c r="BB60" s="817"/>
      <c r="BC60" s="823"/>
      <c r="BD60" s="62"/>
      <c r="BE60" s="62"/>
      <c r="BF60" s="676" t="s">
        <v>902</v>
      </c>
      <c r="BG60" s="676" t="s">
        <v>899</v>
      </c>
      <c r="BH60" s="676" cm="1">
        <f t="array" ref="BH60">BH59</f>
        <v>0</v>
      </c>
      <c r="BI60" s="178"/>
      <c r="BJ60" s="178"/>
    </row>
    <row r="61" spans="1:62" s="325" customFormat="1" ht="10.5" hidden="1" customHeight="1">
      <c r="A61" s="62"/>
      <c r="C61" s="362"/>
      <c r="D61" s="62"/>
      <c r="E61" s="178">
        <v>11.25</v>
      </c>
      <c r="F61" s="3" t="str" cm="1">
        <f t="array" aca="1" ref="F61" ca="1">OFFSET(E61,-1,1)</f>
        <v>1</v>
      </c>
      <c r="G61" s="42" t="s">
        <v>903</v>
      </c>
      <c r="H61" s="42" cm="1">
        <f t="array" ref="H61">H60</f>
        <v>0</v>
      </c>
      <c r="I61" s="62"/>
      <c r="J61" s="62"/>
      <c r="K61" s="62"/>
      <c r="L61" s="62"/>
      <c r="M61" s="62"/>
      <c r="N61" s="62"/>
      <c r="O61" s="62"/>
      <c r="P61" s="62"/>
      <c r="Q61" s="62"/>
      <c r="R61" s="62"/>
      <c r="S61" s="62"/>
      <c r="T61" s="351" t="b" cm="1">
        <f t="array" aca="1" ref="T61" ca="1">T60</f>
        <v>0</v>
      </c>
      <c r="U61" s="62"/>
      <c r="V61" s="62"/>
      <c r="W61" s="62"/>
      <c r="X61" s="998"/>
      <c r="Y61" s="998"/>
      <c r="Z61" s="1026"/>
      <c r="AA61" s="995"/>
      <c r="AB61" s="8" t="str">
        <f>AB59&amp;".1.1"</f>
        <v>7.0.1.1</v>
      </c>
      <c r="AC61" s="236" t="s">
        <v>892</v>
      </c>
      <c r="AD61" s="11" t="s">
        <v>884</v>
      </c>
      <c r="AE61" s="58">
        <f t="shared" ref="AE61:BB61" si="14">IF(OR(AND(AE60&lt;&gt;0,AE62=0),AND(AE60=0,AE62&lt;&gt;0)),"Ошибка",IF(AE62=0,0,AE60/AE62))</f>
        <v>0</v>
      </c>
      <c r="AF61" s="58">
        <f t="shared" si="14"/>
        <v>0</v>
      </c>
      <c r="AG61" s="58">
        <f t="shared" si="14"/>
        <v>0</v>
      </c>
      <c r="AH61" s="58">
        <f t="shared" si="14"/>
        <v>0</v>
      </c>
      <c r="AI61" s="58">
        <f t="shared" si="14"/>
        <v>0</v>
      </c>
      <c r="AJ61" s="58">
        <f t="shared" si="14"/>
        <v>0</v>
      </c>
      <c r="AK61" s="58">
        <f t="shared" si="14"/>
        <v>0</v>
      </c>
      <c r="AL61" s="58">
        <f t="shared" si="14"/>
        <v>0</v>
      </c>
      <c r="AM61" s="58">
        <f t="shared" si="14"/>
        <v>0</v>
      </c>
      <c r="AN61" s="58">
        <f t="shared" si="14"/>
        <v>0</v>
      </c>
      <c r="AO61" s="58">
        <f t="shared" si="14"/>
        <v>0</v>
      </c>
      <c r="AP61" s="58">
        <f t="shared" si="14"/>
        <v>0</v>
      </c>
      <c r="AQ61" s="58">
        <f t="shared" si="14"/>
        <v>0</v>
      </c>
      <c r="AR61" s="58">
        <f t="shared" si="14"/>
        <v>0</v>
      </c>
      <c r="AS61" s="58">
        <f t="shared" si="14"/>
        <v>0</v>
      </c>
      <c r="AT61" s="58">
        <f t="shared" si="14"/>
        <v>0</v>
      </c>
      <c r="AU61" s="58">
        <f t="shared" si="14"/>
        <v>0</v>
      </c>
      <c r="AV61" s="58">
        <f t="shared" si="14"/>
        <v>0</v>
      </c>
      <c r="AW61" s="58">
        <f t="shared" si="14"/>
        <v>0</v>
      </c>
      <c r="AX61" s="58">
        <f t="shared" si="14"/>
        <v>0</v>
      </c>
      <c r="AY61" s="58">
        <f t="shared" si="14"/>
        <v>0</v>
      </c>
      <c r="AZ61" s="58">
        <f t="shared" si="14"/>
        <v>0</v>
      </c>
      <c r="BA61" s="58">
        <f t="shared" si="14"/>
        <v>0</v>
      </c>
      <c r="BB61" s="58">
        <f t="shared" si="14"/>
        <v>0</v>
      </c>
      <c r="BC61" s="823"/>
      <c r="BD61" s="62"/>
      <c r="BE61" s="62"/>
      <c r="BF61" s="676" t="s">
        <v>904</v>
      </c>
      <c r="BG61" s="676" t="s">
        <v>899</v>
      </c>
      <c r="BH61" s="676" cm="1">
        <f t="array" ref="BH61">BH60</f>
        <v>0</v>
      </c>
      <c r="BI61" s="178"/>
      <c r="BJ61" s="178"/>
    </row>
    <row r="62" spans="1:62" s="325" customFormat="1" ht="10.5" hidden="1" customHeight="1">
      <c r="A62" s="62"/>
      <c r="C62" s="362"/>
      <c r="D62" s="62"/>
      <c r="E62" s="178">
        <v>11.25</v>
      </c>
      <c r="F62" s="3" t="str" cm="1">
        <f t="array" aca="1" ref="F62" ca="1">OFFSET(E62,-1,1)</f>
        <v>1</v>
      </c>
      <c r="G62" s="42" t="s">
        <v>905</v>
      </c>
      <c r="H62" s="42" cm="1">
        <f t="array" ref="H62">H61</f>
        <v>0</v>
      </c>
      <c r="I62" s="62"/>
      <c r="J62" s="62"/>
      <c r="K62" s="62"/>
      <c r="L62" s="62"/>
      <c r="M62" s="62"/>
      <c r="N62" s="62"/>
      <c r="O62" s="62"/>
      <c r="P62" s="62"/>
      <c r="Q62" s="62"/>
      <c r="R62" s="62"/>
      <c r="S62" s="62"/>
      <c r="T62" s="351" t="b" cm="1">
        <f t="array" aca="1" ref="T62" ca="1">T61</f>
        <v>0</v>
      </c>
      <c r="U62" s="62"/>
      <c r="V62" s="62"/>
      <c r="W62" s="62"/>
      <c r="X62" s="998"/>
      <c r="Y62" s="998"/>
      <c r="Z62" s="1026"/>
      <c r="AA62" s="995"/>
      <c r="AB62" s="8" t="str">
        <f>AB59&amp;".1.2"</f>
        <v>7.0.1.2</v>
      </c>
      <c r="AC62" s="236" t="s">
        <v>894</v>
      </c>
      <c r="AD62" s="11" t="s">
        <v>878</v>
      </c>
      <c r="AE62" s="817"/>
      <c r="AF62" s="817"/>
      <c r="AG62" s="817"/>
      <c r="AH62" s="817"/>
      <c r="AI62" s="57"/>
      <c r="AJ62" s="57"/>
      <c r="AK62" s="57"/>
      <c r="AL62" s="817"/>
      <c r="AM62" s="817"/>
      <c r="AN62" s="817"/>
      <c r="AO62" s="817"/>
      <c r="AP62" s="817"/>
      <c r="AQ62" s="817"/>
      <c r="AR62" s="817"/>
      <c r="AS62" s="57"/>
      <c r="AT62" s="57"/>
      <c r="AU62" s="57"/>
      <c r="AV62" s="817"/>
      <c r="AW62" s="817"/>
      <c r="AX62" s="817"/>
      <c r="AY62" s="817"/>
      <c r="AZ62" s="817"/>
      <c r="BA62" s="817"/>
      <c r="BB62" s="817"/>
      <c r="BC62" s="823"/>
      <c r="BD62" s="62"/>
      <c r="BE62" s="62"/>
      <c r="BF62" s="676" t="s">
        <v>906</v>
      </c>
      <c r="BG62" s="676" t="s">
        <v>899</v>
      </c>
      <c r="BH62" s="676" cm="1">
        <f t="array" ref="BH62">BH61</f>
        <v>0</v>
      </c>
      <c r="BI62" s="178"/>
      <c r="BJ62" s="178"/>
    </row>
    <row r="63" spans="1:62" s="325" customFormat="1" ht="10.5" hidden="1" customHeight="1">
      <c r="A63" s="62"/>
      <c r="C63" s="362"/>
      <c r="D63" s="62"/>
      <c r="E63" s="178">
        <v>11.25</v>
      </c>
      <c r="F63" s="3" t="str" cm="1">
        <f t="array" aca="1" ref="F63" ca="1">OFFSET(E63,-1,1)</f>
        <v>1</v>
      </c>
      <c r="G63" s="42" t="s">
        <v>731</v>
      </c>
      <c r="H63" s="42" cm="1">
        <f t="array" ref="H63">H62</f>
        <v>0</v>
      </c>
      <c r="I63" s="62"/>
      <c r="J63" s="62"/>
      <c r="K63" s="62"/>
      <c r="L63" s="62"/>
      <c r="M63" s="62"/>
      <c r="N63" s="62"/>
      <c r="O63" s="62"/>
      <c r="P63" s="62"/>
      <c r="Q63" s="62"/>
      <c r="R63" s="62"/>
      <c r="S63" s="62"/>
      <c r="T63" s="351" t="b" cm="1">
        <f t="array" aca="1" ref="T63" ca="1">T62</f>
        <v>0</v>
      </c>
      <c r="U63" s="62"/>
      <c r="V63" s="62"/>
      <c r="W63" s="62"/>
      <c r="X63" s="998"/>
      <c r="Y63" s="998"/>
      <c r="Z63" s="1026"/>
      <c r="AA63" s="995"/>
      <c r="AB63" s="8" t="str">
        <f>AB59&amp;".2"</f>
        <v>7.0.2</v>
      </c>
      <c r="AC63" s="105" t="s">
        <v>907</v>
      </c>
      <c r="AD63" s="8" t="s">
        <v>901</v>
      </c>
      <c r="AE63" s="817"/>
      <c r="AF63" s="817"/>
      <c r="AG63" s="817"/>
      <c r="AH63" s="817"/>
      <c r="AI63" s="57"/>
      <c r="AJ63" s="57"/>
      <c r="AK63" s="57"/>
      <c r="AL63" s="817"/>
      <c r="AM63" s="817"/>
      <c r="AN63" s="817"/>
      <c r="AO63" s="817"/>
      <c r="AP63" s="817"/>
      <c r="AQ63" s="817"/>
      <c r="AR63" s="817"/>
      <c r="AS63" s="57"/>
      <c r="AT63" s="57"/>
      <c r="AU63" s="57"/>
      <c r="AV63" s="817"/>
      <c r="AW63" s="817"/>
      <c r="AX63" s="817"/>
      <c r="AY63" s="817"/>
      <c r="AZ63" s="817"/>
      <c r="BA63" s="817"/>
      <c r="BB63" s="817"/>
      <c r="BC63" s="823"/>
      <c r="BD63" s="62"/>
      <c r="BE63" s="62"/>
      <c r="BF63" s="676" t="s">
        <v>908</v>
      </c>
      <c r="BG63" s="676" t="s">
        <v>899</v>
      </c>
      <c r="BH63" s="676" cm="1">
        <f t="array" ref="BH63">BH62</f>
        <v>0</v>
      </c>
      <c r="BI63" s="178"/>
      <c r="BJ63" s="178"/>
    </row>
    <row r="64" spans="1:62" s="325" customFormat="1" ht="10.5" hidden="1" customHeight="1">
      <c r="A64" s="62"/>
      <c r="C64" s="362"/>
      <c r="D64" s="62"/>
      <c r="E64" s="178">
        <v>11.25</v>
      </c>
      <c r="F64" s="3" t="str" cm="1">
        <f t="array" aca="1" ref="F64" ca="1">OFFSET(E64,-1,1)</f>
        <v>1</v>
      </c>
      <c r="G64" s="42" t="s">
        <v>909</v>
      </c>
      <c r="H64" s="42" cm="1">
        <f t="array" ref="H64">H63</f>
        <v>0</v>
      </c>
      <c r="I64" s="62"/>
      <c r="J64" s="62"/>
      <c r="K64" s="62"/>
      <c r="L64" s="62"/>
      <c r="M64" s="62"/>
      <c r="N64" s="62"/>
      <c r="O64" s="62"/>
      <c r="P64" s="62"/>
      <c r="Q64" s="62"/>
      <c r="R64" s="62"/>
      <c r="S64" s="62"/>
      <c r="T64" s="351" t="b" cm="1">
        <f t="array" aca="1" ref="T64" ca="1">T63</f>
        <v>0</v>
      </c>
      <c r="U64" s="62"/>
      <c r="V64" s="62"/>
      <c r="W64" s="62"/>
      <c r="X64" s="998"/>
      <c r="Y64" s="998"/>
      <c r="Z64" s="1026"/>
      <c r="AA64" s="995"/>
      <c r="AB64" s="8" t="str">
        <f>AB59&amp;".2.1"</f>
        <v>7.0.2.1</v>
      </c>
      <c r="AC64" s="236" t="s">
        <v>910</v>
      </c>
      <c r="AD64" s="11" t="s">
        <v>911</v>
      </c>
      <c r="AE64" s="58">
        <f t="shared" ref="AE64:BB64" si="15">IF(OR(AND(AE63&lt;&gt;0,AE65=0),AND(AE63=0,AE65&lt;&gt;0)),"Ошибка",IF(AE65=0,0,AE63/AE65*1000/12))</f>
        <v>0</v>
      </c>
      <c r="AF64" s="58">
        <f t="shared" si="15"/>
        <v>0</v>
      </c>
      <c r="AG64" s="58">
        <f t="shared" si="15"/>
        <v>0</v>
      </c>
      <c r="AH64" s="58">
        <f t="shared" si="15"/>
        <v>0</v>
      </c>
      <c r="AI64" s="58">
        <f t="shared" si="15"/>
        <v>0</v>
      </c>
      <c r="AJ64" s="58">
        <f t="shared" si="15"/>
        <v>0</v>
      </c>
      <c r="AK64" s="58">
        <f t="shared" si="15"/>
        <v>0</v>
      </c>
      <c r="AL64" s="58">
        <f t="shared" si="15"/>
        <v>0</v>
      </c>
      <c r="AM64" s="58">
        <f t="shared" si="15"/>
        <v>0</v>
      </c>
      <c r="AN64" s="58">
        <f t="shared" si="15"/>
        <v>0</v>
      </c>
      <c r="AO64" s="58">
        <f t="shared" si="15"/>
        <v>0</v>
      </c>
      <c r="AP64" s="58">
        <f t="shared" si="15"/>
        <v>0</v>
      </c>
      <c r="AQ64" s="58">
        <f t="shared" si="15"/>
        <v>0</v>
      </c>
      <c r="AR64" s="58">
        <f t="shared" si="15"/>
        <v>0</v>
      </c>
      <c r="AS64" s="58">
        <f t="shared" si="15"/>
        <v>0</v>
      </c>
      <c r="AT64" s="58">
        <f t="shared" si="15"/>
        <v>0</v>
      </c>
      <c r="AU64" s="58">
        <f t="shared" si="15"/>
        <v>0</v>
      </c>
      <c r="AV64" s="58">
        <f t="shared" si="15"/>
        <v>0</v>
      </c>
      <c r="AW64" s="58">
        <f t="shared" si="15"/>
        <v>0</v>
      </c>
      <c r="AX64" s="58">
        <f t="shared" si="15"/>
        <v>0</v>
      </c>
      <c r="AY64" s="58">
        <f t="shared" si="15"/>
        <v>0</v>
      </c>
      <c r="AZ64" s="58">
        <f t="shared" si="15"/>
        <v>0</v>
      </c>
      <c r="BA64" s="58">
        <f t="shared" si="15"/>
        <v>0</v>
      </c>
      <c r="BB64" s="58">
        <f t="shared" si="15"/>
        <v>0</v>
      </c>
      <c r="BC64" s="823"/>
      <c r="BD64" s="62"/>
      <c r="BE64" s="62"/>
      <c r="BF64" s="676" t="s">
        <v>912</v>
      </c>
      <c r="BG64" s="676" t="s">
        <v>899</v>
      </c>
      <c r="BH64" s="676" cm="1">
        <f t="array" ref="BH64">BH63</f>
        <v>0</v>
      </c>
      <c r="BI64" s="178"/>
      <c r="BJ64" s="178"/>
    </row>
    <row r="65" spans="1:62" s="325" customFormat="1" ht="10.5" hidden="1" customHeight="1">
      <c r="A65" s="62"/>
      <c r="C65" s="362"/>
      <c r="D65" s="62"/>
      <c r="E65" s="178">
        <v>11.25</v>
      </c>
      <c r="F65" s="3" t="str" cm="1">
        <f t="array" aca="1" ref="F65" ca="1">OFFSET(E65,-1,1)</f>
        <v>1</v>
      </c>
      <c r="G65" s="42" t="s">
        <v>913</v>
      </c>
      <c r="H65" s="42" cm="1">
        <f t="array" ref="H65">H64</f>
        <v>0</v>
      </c>
      <c r="I65" s="62"/>
      <c r="J65" s="62"/>
      <c r="K65" s="62"/>
      <c r="L65" s="62"/>
      <c r="M65" s="62"/>
      <c r="N65" s="62"/>
      <c r="O65" s="62"/>
      <c r="P65" s="62"/>
      <c r="Q65" s="62"/>
      <c r="R65" s="62"/>
      <c r="S65" s="62"/>
      <c r="T65" s="351" t="b" cm="1">
        <f t="array" aca="1" ref="T65" ca="1">T64</f>
        <v>0</v>
      </c>
      <c r="U65" s="62"/>
      <c r="V65" s="62"/>
      <c r="W65" s="62"/>
      <c r="X65" s="998"/>
      <c r="Y65" s="998"/>
      <c r="Z65" s="1026"/>
      <c r="AA65" s="995"/>
      <c r="AB65" s="8" t="str">
        <f>AB59&amp;".2.2"</f>
        <v>7.0.2.2</v>
      </c>
      <c r="AC65" s="236" t="s">
        <v>914</v>
      </c>
      <c r="AD65" s="11" t="s">
        <v>915</v>
      </c>
      <c r="AE65" s="817"/>
      <c r="AF65" s="817"/>
      <c r="AG65" s="817"/>
      <c r="AH65" s="817"/>
      <c r="AI65" s="57"/>
      <c r="AJ65" s="57"/>
      <c r="AK65" s="57"/>
      <c r="AL65" s="817"/>
      <c r="AM65" s="817"/>
      <c r="AN65" s="817"/>
      <c r="AO65" s="817"/>
      <c r="AP65" s="817"/>
      <c r="AQ65" s="817"/>
      <c r="AR65" s="817"/>
      <c r="AS65" s="57"/>
      <c r="AT65" s="57"/>
      <c r="AU65" s="57"/>
      <c r="AV65" s="817"/>
      <c r="AW65" s="817"/>
      <c r="AX65" s="817"/>
      <c r="AY65" s="817"/>
      <c r="AZ65" s="817"/>
      <c r="BA65" s="817"/>
      <c r="BB65" s="817"/>
      <c r="BC65" s="823"/>
      <c r="BD65" s="62"/>
      <c r="BE65" s="62"/>
      <c r="BF65" s="676" t="s">
        <v>916</v>
      </c>
      <c r="BG65" s="676" t="s">
        <v>899</v>
      </c>
      <c r="BH65" s="676" cm="1">
        <f t="array" ref="BH65">BH64</f>
        <v>0</v>
      </c>
      <c r="BI65" s="178"/>
      <c r="BJ65" s="178"/>
    </row>
    <row r="66" spans="1:62" s="325" customFormat="1" ht="36.4" customHeight="1">
      <c r="A66" s="62"/>
      <c r="C66" s="362"/>
      <c r="D66" s="62"/>
      <c r="E66" s="178">
        <v>11.25</v>
      </c>
      <c r="F66" s="3" t="str" cm="1">
        <f t="array" aca="1" ref="F66" ca="1">OFFSET(E66,-1,1)</f>
        <v>1</v>
      </c>
      <c r="G66" s="42" t="s">
        <v>557</v>
      </c>
      <c r="H66" s="42" t="str" cm="1">
        <f t="array" ref="H66">AC66</f>
        <v>СН2</v>
      </c>
      <c r="I66" s="62"/>
      <c r="J66" s="62"/>
      <c r="K66" s="62"/>
      <c r="L66" s="62"/>
      <c r="M66" s="62"/>
      <c r="N66" s="62"/>
      <c r="O66" s="62"/>
      <c r="P66" s="62"/>
      <c r="Q66" s="62"/>
      <c r="R66" s="62"/>
      <c r="S66" s="62"/>
      <c r="T66" s="351" t="b">
        <f ca="1">AND(F66&gt;0,Y66&gt;0)</f>
        <v>1</v>
      </c>
      <c r="U66" s="62"/>
      <c r="V66" s="62"/>
      <c r="W66" s="515"/>
      <c r="X66" s="998"/>
      <c r="Y66" s="998" t="s">
        <v>277</v>
      </c>
      <c r="Z66" s="1026"/>
      <c r="AA66" s="995" t="s">
        <v>172</v>
      </c>
      <c r="AB66" s="8" t="str">
        <f>"7."&amp;Y66</f>
        <v>7.1</v>
      </c>
      <c r="AC66" s="112" t="s">
        <v>922</v>
      </c>
      <c r="AD66" s="8" t="s">
        <v>859</v>
      </c>
      <c r="AE66" s="58">
        <f t="shared" ref="AE66:BB66" si="16">AE67+AE70</f>
        <v>4821.1499999999996</v>
      </c>
      <c r="AF66" s="58">
        <f t="shared" si="16"/>
        <v>11407.5</v>
      </c>
      <c r="AG66" s="58">
        <f t="shared" si="16"/>
        <v>11407.5</v>
      </c>
      <c r="AH66" s="58">
        <f t="shared" si="16"/>
        <v>99499.73</v>
      </c>
      <c r="AI66" s="58">
        <f t="shared" si="16"/>
        <v>116563.89</v>
      </c>
      <c r="AJ66" s="58">
        <f t="shared" si="16"/>
        <v>127171.20999999999</v>
      </c>
      <c r="AK66" s="58">
        <f t="shared" si="16"/>
        <v>133402.6</v>
      </c>
      <c r="AL66" s="58">
        <f t="shared" si="16"/>
        <v>0</v>
      </c>
      <c r="AM66" s="58">
        <f t="shared" si="16"/>
        <v>0</v>
      </c>
      <c r="AN66" s="58">
        <f t="shared" si="16"/>
        <v>0</v>
      </c>
      <c r="AO66" s="58">
        <f t="shared" si="16"/>
        <v>0</v>
      </c>
      <c r="AP66" s="58">
        <f t="shared" si="16"/>
        <v>0</v>
      </c>
      <c r="AQ66" s="58">
        <f t="shared" si="16"/>
        <v>0</v>
      </c>
      <c r="AR66" s="58">
        <f t="shared" si="16"/>
        <v>0</v>
      </c>
      <c r="AS66" s="58">
        <f t="shared" si="16"/>
        <v>116149.25</v>
      </c>
      <c r="AT66" s="58">
        <f t="shared" si="16"/>
        <v>126718.84</v>
      </c>
      <c r="AU66" s="58">
        <f t="shared" si="16"/>
        <v>132928.06</v>
      </c>
      <c r="AV66" s="58">
        <f t="shared" si="16"/>
        <v>0</v>
      </c>
      <c r="AW66" s="58">
        <f t="shared" si="16"/>
        <v>0</v>
      </c>
      <c r="AX66" s="58">
        <f t="shared" si="16"/>
        <v>0</v>
      </c>
      <c r="AY66" s="58">
        <f t="shared" si="16"/>
        <v>0</v>
      </c>
      <c r="AZ66" s="58">
        <f t="shared" si="16"/>
        <v>0</v>
      </c>
      <c r="BA66" s="58">
        <f t="shared" si="16"/>
        <v>0</v>
      </c>
      <c r="BB66" s="58">
        <f t="shared" si="16"/>
        <v>0</v>
      </c>
      <c r="BC66" s="113" t="s">
        <v>920</v>
      </c>
      <c r="BD66" s="62"/>
      <c r="BE66" s="62"/>
      <c r="BF66" s="676" t="s">
        <v>898</v>
      </c>
      <c r="BG66" s="676" t="s">
        <v>899</v>
      </c>
      <c r="BH66" s="676" t="str" cm="1">
        <f t="array" ref="BH66">AC66</f>
        <v>СН2</v>
      </c>
      <c r="BI66" s="178"/>
      <c r="BJ66" s="178"/>
    </row>
    <row r="67" spans="1:62" s="325" customFormat="1" ht="21.4" customHeight="1">
      <c r="A67" s="62"/>
      <c r="C67" s="362"/>
      <c r="D67" s="62"/>
      <c r="E67" s="178">
        <v>11.25</v>
      </c>
      <c r="F67" s="3" t="str" cm="1">
        <f t="array" aca="1" ref="F67" ca="1">OFFSET(E67,-1,1)</f>
        <v>1</v>
      </c>
      <c r="G67" s="42" t="s">
        <v>728</v>
      </c>
      <c r="H67" s="42" t="str" cm="1">
        <f t="array" ref="H67">H66</f>
        <v>СН2</v>
      </c>
      <c r="I67" s="62"/>
      <c r="J67" s="62"/>
      <c r="K67" s="62"/>
      <c r="L67" s="62"/>
      <c r="M67" s="62"/>
      <c r="N67" s="62"/>
      <c r="O67" s="62"/>
      <c r="P67" s="62"/>
      <c r="Q67" s="62"/>
      <c r="R67" s="62"/>
      <c r="S67" s="62"/>
      <c r="T67" s="351" t="b" cm="1">
        <f t="array" aca="1" ref="T67" ca="1">T66</f>
        <v>1</v>
      </c>
      <c r="U67" s="62"/>
      <c r="V67" s="62"/>
      <c r="W67" s="62"/>
      <c r="X67" s="998"/>
      <c r="Y67" s="998"/>
      <c r="Z67" s="1026"/>
      <c r="AA67" s="995"/>
      <c r="AB67" s="8" t="str">
        <f>AB66&amp;".1"</f>
        <v>7.1.1</v>
      </c>
      <c r="AC67" s="105" t="s">
        <v>900</v>
      </c>
      <c r="AD67" s="8" t="s">
        <v>901</v>
      </c>
      <c r="AE67" s="57">
        <v>2014.52</v>
      </c>
      <c r="AF67" s="57">
        <v>5482.92</v>
      </c>
      <c r="AG67" s="57">
        <v>5482.92</v>
      </c>
      <c r="AH67" s="57">
        <v>41272.199999999997</v>
      </c>
      <c r="AI67" s="57">
        <v>54271.67</v>
      </c>
      <c r="AJ67" s="57">
        <v>59210.400000000001</v>
      </c>
      <c r="AK67" s="57">
        <v>62111.71</v>
      </c>
      <c r="AL67" s="57"/>
      <c r="AM67" s="57"/>
      <c r="AN67" s="57"/>
      <c r="AO67" s="57"/>
      <c r="AP67" s="57"/>
      <c r="AQ67" s="57"/>
      <c r="AR67" s="57"/>
      <c r="AS67" s="57">
        <v>53969.01</v>
      </c>
      <c r="AT67" s="57">
        <v>58880.19</v>
      </c>
      <c r="AU67" s="57">
        <v>61765.32</v>
      </c>
      <c r="AV67" s="57"/>
      <c r="AW67" s="57"/>
      <c r="AX67" s="57"/>
      <c r="AY67" s="57"/>
      <c r="AZ67" s="57"/>
      <c r="BA67" s="57"/>
      <c r="BB67" s="57"/>
      <c r="BC67" s="113"/>
      <c r="BD67" s="62"/>
      <c r="BE67" s="62"/>
      <c r="BF67" s="676" t="s">
        <v>902</v>
      </c>
      <c r="BG67" s="676" t="s">
        <v>899</v>
      </c>
      <c r="BH67" s="676" t="str" cm="1">
        <f t="array" ref="BH67">BH66</f>
        <v>СН2</v>
      </c>
      <c r="BI67" s="178"/>
      <c r="BJ67" s="178"/>
    </row>
    <row r="68" spans="1:62" s="325" customFormat="1" ht="18.2" customHeight="1">
      <c r="A68" s="62"/>
      <c r="C68" s="362"/>
      <c r="D68" s="62"/>
      <c r="E68" s="178">
        <v>11.25</v>
      </c>
      <c r="F68" s="3" t="str" cm="1">
        <f t="array" aca="1" ref="F68" ca="1">OFFSET(E68,-1,1)</f>
        <v>1</v>
      </c>
      <c r="G68" s="42" t="s">
        <v>903</v>
      </c>
      <c r="H68" s="42" t="str" cm="1">
        <f t="array" ref="H68">H67</f>
        <v>СН2</v>
      </c>
      <c r="I68" s="62"/>
      <c r="J68" s="62"/>
      <c r="K68" s="62"/>
      <c r="L68" s="62"/>
      <c r="M68" s="62"/>
      <c r="N68" s="62"/>
      <c r="O68" s="62"/>
      <c r="P68" s="62"/>
      <c r="Q68" s="62"/>
      <c r="R68" s="62"/>
      <c r="S68" s="62"/>
      <c r="T68" s="351" t="b" cm="1">
        <f t="array" aca="1" ref="T68" ca="1">T67</f>
        <v>1</v>
      </c>
      <c r="U68" s="62"/>
      <c r="V68" s="62"/>
      <c r="W68" s="62"/>
      <c r="X68" s="998"/>
      <c r="Y68" s="998"/>
      <c r="Z68" s="1026"/>
      <c r="AA68" s="995"/>
      <c r="AB68" s="8" t="str">
        <f>AB66&amp;".1.1"</f>
        <v>7.1.1.1</v>
      </c>
      <c r="AC68" s="236" t="s">
        <v>892</v>
      </c>
      <c r="AD68" s="11" t="s">
        <v>884</v>
      </c>
      <c r="AE68" s="58">
        <f t="shared" ref="AE68:BB68" si="17">IF(OR(AND(AE67&lt;&gt;0,AE69=0),AND(AE67=0,AE69&lt;&gt;0)),"Ошибка",IF(AE69=0,0,AE67/AE69))</f>
        <v>2.4647571972153228</v>
      </c>
      <c r="AF68" s="58">
        <f t="shared" si="17"/>
        <v>3.0241749998621095</v>
      </c>
      <c r="AG68" s="58">
        <f t="shared" si="17"/>
        <v>3.0241749998621095</v>
      </c>
      <c r="AH68" s="58">
        <f t="shared" si="17"/>
        <v>2.2552584829973941</v>
      </c>
      <c r="AI68" s="58">
        <f t="shared" si="17"/>
        <v>2.9655953439345413</v>
      </c>
      <c r="AJ68" s="58">
        <f t="shared" si="17"/>
        <v>3.2354649590200886</v>
      </c>
      <c r="AK68" s="58">
        <f t="shared" si="17"/>
        <v>3.3940027638694827</v>
      </c>
      <c r="AL68" s="58">
        <f t="shared" si="17"/>
        <v>0</v>
      </c>
      <c r="AM68" s="58">
        <f t="shared" si="17"/>
        <v>0</v>
      </c>
      <c r="AN68" s="58">
        <f t="shared" si="17"/>
        <v>0</v>
      </c>
      <c r="AO68" s="58">
        <f t="shared" si="17"/>
        <v>0</v>
      </c>
      <c r="AP68" s="58">
        <f t="shared" si="17"/>
        <v>0</v>
      </c>
      <c r="AQ68" s="58">
        <f t="shared" si="17"/>
        <v>0</v>
      </c>
      <c r="AR68" s="58">
        <f t="shared" si="17"/>
        <v>0</v>
      </c>
      <c r="AS68" s="58">
        <f t="shared" si="17"/>
        <v>2.965595819845404</v>
      </c>
      <c r="AT68" s="58">
        <f t="shared" si="17"/>
        <v>3.2354650443968338</v>
      </c>
      <c r="AU68" s="58">
        <f t="shared" si="17"/>
        <v>3.3940028694877622</v>
      </c>
      <c r="AV68" s="58">
        <f t="shared" si="17"/>
        <v>0</v>
      </c>
      <c r="AW68" s="58">
        <f t="shared" si="17"/>
        <v>0</v>
      </c>
      <c r="AX68" s="58">
        <f t="shared" si="17"/>
        <v>0</v>
      </c>
      <c r="AY68" s="58">
        <f t="shared" si="17"/>
        <v>0</v>
      </c>
      <c r="AZ68" s="58">
        <f t="shared" si="17"/>
        <v>0</v>
      </c>
      <c r="BA68" s="58">
        <f t="shared" si="17"/>
        <v>0</v>
      </c>
      <c r="BB68" s="58">
        <f t="shared" si="17"/>
        <v>0</v>
      </c>
      <c r="BC68" s="113"/>
      <c r="BD68" s="62"/>
      <c r="BE68" s="62"/>
      <c r="BF68" s="676" t="s">
        <v>904</v>
      </c>
      <c r="BG68" s="676" t="s">
        <v>899</v>
      </c>
      <c r="BH68" s="676" t="str" cm="1">
        <f t="array" ref="BH68">BH67</f>
        <v>СН2</v>
      </c>
      <c r="BI68" s="178"/>
      <c r="BJ68" s="178"/>
    </row>
    <row r="69" spans="1:62" s="325" customFormat="1" ht="20.65" customHeight="1">
      <c r="A69" s="62"/>
      <c r="C69" s="362"/>
      <c r="D69" s="62"/>
      <c r="E69" s="178">
        <v>11.25</v>
      </c>
      <c r="F69" s="3" t="str" cm="1">
        <f t="array" aca="1" ref="F69" ca="1">OFFSET(E69,-1,1)</f>
        <v>1</v>
      </c>
      <c r="G69" s="42" t="s">
        <v>905</v>
      </c>
      <c r="H69" s="42" t="str" cm="1">
        <f t="array" ref="H69">H68</f>
        <v>СН2</v>
      </c>
      <c r="I69" s="62"/>
      <c r="J69" s="62"/>
      <c r="K69" s="62"/>
      <c r="L69" s="62"/>
      <c r="M69" s="62"/>
      <c r="N69" s="62"/>
      <c r="O69" s="62"/>
      <c r="P69" s="62"/>
      <c r="Q69" s="62"/>
      <c r="R69" s="62"/>
      <c r="S69" s="62"/>
      <c r="T69" s="351" t="b" cm="1">
        <f t="array" aca="1" ref="T69" ca="1">T68</f>
        <v>1</v>
      </c>
      <c r="U69" s="62"/>
      <c r="V69" s="62"/>
      <c r="W69" s="62"/>
      <c r="X69" s="998"/>
      <c r="Y69" s="998"/>
      <c r="Z69" s="1026"/>
      <c r="AA69" s="995"/>
      <c r="AB69" s="8" t="str">
        <f>AB66&amp;".1.2"</f>
        <v>7.1.1.2</v>
      </c>
      <c r="AC69" s="236" t="s">
        <v>894</v>
      </c>
      <c r="AD69" s="11" t="s">
        <v>878</v>
      </c>
      <c r="AE69" s="57">
        <v>817.33</v>
      </c>
      <c r="AF69" s="57">
        <v>1813.03</v>
      </c>
      <c r="AG69" s="57">
        <v>1813.03</v>
      </c>
      <c r="AH69" s="57">
        <v>18300.43</v>
      </c>
      <c r="AI69" s="57">
        <v>18300.43</v>
      </c>
      <c r="AJ69" s="57">
        <v>18300.43</v>
      </c>
      <c r="AK69" s="57">
        <v>18300.43</v>
      </c>
      <c r="AL69" s="57"/>
      <c r="AM69" s="57"/>
      <c r="AN69" s="57"/>
      <c r="AO69" s="57"/>
      <c r="AP69" s="57"/>
      <c r="AQ69" s="57"/>
      <c r="AR69" s="57"/>
      <c r="AS69" s="57">
        <v>18198.37</v>
      </c>
      <c r="AT69" s="57">
        <v>18198.37</v>
      </c>
      <c r="AU69" s="57">
        <v>18198.37</v>
      </c>
      <c r="AV69" s="57"/>
      <c r="AW69" s="57"/>
      <c r="AX69" s="57"/>
      <c r="AY69" s="57"/>
      <c r="AZ69" s="57"/>
      <c r="BA69" s="57"/>
      <c r="BB69" s="57"/>
      <c r="BC69" s="113"/>
      <c r="BD69" s="62"/>
      <c r="BE69" s="62"/>
      <c r="BF69" s="676" t="s">
        <v>906</v>
      </c>
      <c r="BG69" s="676" t="s">
        <v>899</v>
      </c>
      <c r="BH69" s="676" t="str" cm="1">
        <f t="array" ref="BH69">BH68</f>
        <v>СН2</v>
      </c>
      <c r="BI69" s="178"/>
      <c r="BJ69" s="178"/>
    </row>
    <row r="70" spans="1:62" s="325" customFormat="1" ht="20.65" customHeight="1">
      <c r="A70" s="62"/>
      <c r="C70" s="362"/>
      <c r="D70" s="62"/>
      <c r="E70" s="178">
        <v>11.25</v>
      </c>
      <c r="F70" s="3" t="str" cm="1">
        <f t="array" aca="1" ref="F70" ca="1">OFFSET(E70,-1,1)</f>
        <v>1</v>
      </c>
      <c r="G70" s="42" t="s">
        <v>731</v>
      </c>
      <c r="H70" s="42" t="str" cm="1">
        <f t="array" ref="H70">H69</f>
        <v>СН2</v>
      </c>
      <c r="I70" s="62"/>
      <c r="J70" s="62"/>
      <c r="K70" s="62"/>
      <c r="L70" s="62"/>
      <c r="M70" s="62"/>
      <c r="N70" s="62"/>
      <c r="O70" s="62"/>
      <c r="P70" s="62"/>
      <c r="Q70" s="62"/>
      <c r="R70" s="62"/>
      <c r="S70" s="62"/>
      <c r="T70" s="351" t="b" cm="1">
        <f t="array" aca="1" ref="T70" ca="1">T69</f>
        <v>1</v>
      </c>
      <c r="U70" s="62"/>
      <c r="V70" s="62"/>
      <c r="W70" s="62"/>
      <c r="X70" s="998"/>
      <c r="Y70" s="998"/>
      <c r="Z70" s="1026"/>
      <c r="AA70" s="995"/>
      <c r="AB70" s="8" t="str">
        <f>AB66&amp;".2"</f>
        <v>7.1.2</v>
      </c>
      <c r="AC70" s="105" t="s">
        <v>907</v>
      </c>
      <c r="AD70" s="8" t="s">
        <v>901</v>
      </c>
      <c r="AE70" s="57">
        <v>2806.63</v>
      </c>
      <c r="AF70" s="57">
        <v>5924.58</v>
      </c>
      <c r="AG70" s="57">
        <v>5924.58</v>
      </c>
      <c r="AH70" s="57">
        <v>58227.53</v>
      </c>
      <c r="AI70" s="57">
        <v>62292.22</v>
      </c>
      <c r="AJ70" s="57">
        <v>67960.81</v>
      </c>
      <c r="AK70" s="57">
        <v>71290.89</v>
      </c>
      <c r="AL70" s="57"/>
      <c r="AM70" s="57"/>
      <c r="AN70" s="57"/>
      <c r="AO70" s="57"/>
      <c r="AP70" s="57"/>
      <c r="AQ70" s="57"/>
      <c r="AR70" s="57"/>
      <c r="AS70" s="57">
        <v>62180.24</v>
      </c>
      <c r="AT70" s="57">
        <v>67838.649999999994</v>
      </c>
      <c r="AU70" s="57">
        <v>71162.740000000005</v>
      </c>
      <c r="AV70" s="57"/>
      <c r="AW70" s="57"/>
      <c r="AX70" s="57"/>
      <c r="AY70" s="57"/>
      <c r="AZ70" s="57"/>
      <c r="BA70" s="57"/>
      <c r="BB70" s="57"/>
      <c r="BC70" s="113"/>
      <c r="BD70" s="62"/>
      <c r="BE70" s="62"/>
      <c r="BF70" s="676" t="s">
        <v>908</v>
      </c>
      <c r="BG70" s="676" t="s">
        <v>899</v>
      </c>
      <c r="BH70" s="676" t="str" cm="1">
        <f t="array" ref="BH70">BH69</f>
        <v>СН2</v>
      </c>
      <c r="BI70" s="178"/>
      <c r="BJ70" s="178"/>
    </row>
    <row r="71" spans="1:62" s="325" customFormat="1" ht="21.95" customHeight="1">
      <c r="A71" s="62"/>
      <c r="C71" s="362"/>
      <c r="D71" s="62"/>
      <c r="E71" s="178">
        <v>11.25</v>
      </c>
      <c r="F71" s="3" t="str" cm="1">
        <f t="array" aca="1" ref="F71" ca="1">OFFSET(E71,-1,1)</f>
        <v>1</v>
      </c>
      <c r="G71" s="42" t="s">
        <v>909</v>
      </c>
      <c r="H71" s="42" t="str" cm="1">
        <f t="array" ref="H71">H70</f>
        <v>СН2</v>
      </c>
      <c r="I71" s="62"/>
      <c r="J71" s="62"/>
      <c r="K71" s="62"/>
      <c r="L71" s="62"/>
      <c r="M71" s="62"/>
      <c r="N71" s="62"/>
      <c r="O71" s="62"/>
      <c r="P71" s="62"/>
      <c r="Q71" s="62"/>
      <c r="R71" s="62"/>
      <c r="S71" s="62"/>
      <c r="T71" s="351" t="b" cm="1">
        <f t="array" aca="1" ref="T71" ca="1">T70</f>
        <v>1</v>
      </c>
      <c r="U71" s="62"/>
      <c r="V71" s="62"/>
      <c r="W71" s="62"/>
      <c r="X71" s="998"/>
      <c r="Y71" s="998"/>
      <c r="Z71" s="1026"/>
      <c r="AA71" s="995"/>
      <c r="AB71" s="8" t="str">
        <f>AB66&amp;".2.1"</f>
        <v>7.1.2.1</v>
      </c>
      <c r="AC71" s="236" t="s">
        <v>910</v>
      </c>
      <c r="AD71" s="11" t="s">
        <v>911</v>
      </c>
      <c r="AE71" s="58">
        <f t="shared" ref="AE71:BB71" si="18">IF(OR(AND(AE70&lt;&gt;0,AE72=0),AND(AE70=0,AE72&lt;&gt;0)),"Ошибка",IF(AE72=0,0,AE70/AE72*1000/12))</f>
        <v>212623.48484848486</v>
      </c>
      <c r="AF71" s="58">
        <f t="shared" si="18"/>
        <v>699596.15384615387</v>
      </c>
      <c r="AG71" s="58">
        <f t="shared" si="18"/>
        <v>699596.15384615387</v>
      </c>
      <c r="AH71" s="58">
        <f t="shared" si="18"/>
        <v>2338455.020080321</v>
      </c>
      <c r="AI71" s="58">
        <f t="shared" si="18"/>
        <v>2501695.5823293175</v>
      </c>
      <c r="AJ71" s="58">
        <f t="shared" si="18"/>
        <v>2729349.7991967872</v>
      </c>
      <c r="AK71" s="58">
        <f t="shared" si="18"/>
        <v>2863087.9518072293</v>
      </c>
      <c r="AL71" s="58">
        <f t="shared" si="18"/>
        <v>0</v>
      </c>
      <c r="AM71" s="58">
        <f t="shared" si="18"/>
        <v>0</v>
      </c>
      <c r="AN71" s="58">
        <f t="shared" si="18"/>
        <v>0</v>
      </c>
      <c r="AO71" s="58">
        <f t="shared" si="18"/>
        <v>0</v>
      </c>
      <c r="AP71" s="58">
        <f t="shared" si="18"/>
        <v>0</v>
      </c>
      <c r="AQ71" s="58">
        <f t="shared" si="18"/>
        <v>0</v>
      </c>
      <c r="AR71" s="58">
        <f t="shared" si="18"/>
        <v>0</v>
      </c>
      <c r="AS71" s="58">
        <f t="shared" si="18"/>
        <v>2497198.3935742974</v>
      </c>
      <c r="AT71" s="58">
        <f t="shared" si="18"/>
        <v>2724443.7751004016</v>
      </c>
      <c r="AU71" s="58">
        <f t="shared" si="18"/>
        <v>2857941.3654618482</v>
      </c>
      <c r="AV71" s="58">
        <f t="shared" si="18"/>
        <v>0</v>
      </c>
      <c r="AW71" s="58">
        <f t="shared" si="18"/>
        <v>0</v>
      </c>
      <c r="AX71" s="58">
        <f t="shared" si="18"/>
        <v>0</v>
      </c>
      <c r="AY71" s="58">
        <f t="shared" si="18"/>
        <v>0</v>
      </c>
      <c r="AZ71" s="58">
        <f t="shared" si="18"/>
        <v>0</v>
      </c>
      <c r="BA71" s="58">
        <f t="shared" si="18"/>
        <v>0</v>
      </c>
      <c r="BB71" s="58">
        <f t="shared" si="18"/>
        <v>0</v>
      </c>
      <c r="BC71" s="113"/>
      <c r="BD71" s="62"/>
      <c r="BE71" s="62"/>
      <c r="BF71" s="676" t="s">
        <v>912</v>
      </c>
      <c r="BG71" s="676" t="s">
        <v>899</v>
      </c>
      <c r="BH71" s="676" t="str" cm="1">
        <f t="array" ref="BH71">BH70</f>
        <v>СН2</v>
      </c>
      <c r="BI71" s="178"/>
      <c r="BJ71" s="178"/>
    </row>
    <row r="72" spans="1:62" s="325" customFormat="1" ht="21.4" customHeight="1">
      <c r="A72" s="62"/>
      <c r="C72" s="362"/>
      <c r="D72" s="62"/>
      <c r="E72" s="178">
        <v>11.25</v>
      </c>
      <c r="F72" s="3" t="str" cm="1">
        <f t="array" aca="1" ref="F72" ca="1">OFFSET(E72,-1,1)</f>
        <v>1</v>
      </c>
      <c r="G72" s="42" t="s">
        <v>913</v>
      </c>
      <c r="H72" s="42" t="str" cm="1">
        <f t="array" ref="H72">H71</f>
        <v>СН2</v>
      </c>
      <c r="I72" s="62"/>
      <c r="J72" s="62"/>
      <c r="K72" s="62"/>
      <c r="L72" s="62"/>
      <c r="M72" s="62"/>
      <c r="N72" s="62"/>
      <c r="O72" s="62"/>
      <c r="P72" s="62"/>
      <c r="Q72" s="62"/>
      <c r="R72" s="62"/>
      <c r="S72" s="62"/>
      <c r="T72" s="351" t="b" cm="1">
        <f t="array" aca="1" ref="T72" ca="1">T71</f>
        <v>1</v>
      </c>
      <c r="U72" s="62"/>
      <c r="V72" s="62"/>
      <c r="W72" s="62"/>
      <c r="X72" s="998"/>
      <c r="Y72" s="998"/>
      <c r="Z72" s="1026"/>
      <c r="AA72" s="995"/>
      <c r="AB72" s="8" t="str">
        <f>AB66&amp;".2.2"</f>
        <v>7.1.2.2</v>
      </c>
      <c r="AC72" s="236" t="s">
        <v>914</v>
      </c>
      <c r="AD72" s="11" t="s">
        <v>915</v>
      </c>
      <c r="AE72" s="57">
        <f>1.1</f>
        <v>1.1000000000000001</v>
      </c>
      <c r="AF72" s="57">
        <f>2.47/3.5</f>
        <v>0.70571428571428574</v>
      </c>
      <c r="AG72" s="57" cm="1">
        <f t="array" ref="AG72">AF72</f>
        <v>0.70571428571428574</v>
      </c>
      <c r="AH72" s="57">
        <v>2.0750000000000002</v>
      </c>
      <c r="AI72" s="57">
        <f>24.9/12</f>
        <v>2.0749999999999997</v>
      </c>
      <c r="AJ72" s="57">
        <f>24.9/12</f>
        <v>2.0749999999999997</v>
      </c>
      <c r="AK72" s="57">
        <f>24.9/12</f>
        <v>2.0749999999999997</v>
      </c>
      <c r="AL72" s="57"/>
      <c r="AM72" s="57"/>
      <c r="AN72" s="57"/>
      <c r="AO72" s="57"/>
      <c r="AP72" s="57"/>
      <c r="AQ72" s="57"/>
      <c r="AR72" s="57"/>
      <c r="AS72" s="57">
        <f>24.9/12</f>
        <v>2.0749999999999997</v>
      </c>
      <c r="AT72" s="57">
        <f>24.9/12</f>
        <v>2.0749999999999997</v>
      </c>
      <c r="AU72" s="57">
        <f>24.9/12</f>
        <v>2.0749999999999997</v>
      </c>
      <c r="AV72" s="57"/>
      <c r="AW72" s="57"/>
      <c r="AX72" s="57"/>
      <c r="AY72" s="57"/>
      <c r="AZ72" s="57"/>
      <c r="BA72" s="57"/>
      <c r="BB72" s="57"/>
      <c r="BC72" s="113"/>
      <c r="BD72" s="62"/>
      <c r="BE72" s="62"/>
      <c r="BF72" s="676" t="s">
        <v>916</v>
      </c>
      <c r="BG72" s="676" t="s">
        <v>899</v>
      </c>
      <c r="BH72" s="676" t="str" cm="1">
        <f t="array" ref="BH72">BH71</f>
        <v>СН2</v>
      </c>
      <c r="BI72" s="178"/>
      <c r="BJ72" s="178"/>
    </row>
    <row r="73" spans="1:62" s="59" customFormat="1" ht="14.25" customHeight="1">
      <c r="B73" s="46"/>
      <c r="C73" s="362"/>
      <c r="E73" s="460">
        <v>15</v>
      </c>
      <c r="F73" s="3" t="str" cm="1">
        <f t="array" aca="1" ref="F73" ca="1">OFFSET(E73,-1,1)</f>
        <v>1</v>
      </c>
      <c r="H73" s="630" t="s">
        <v>917</v>
      </c>
      <c r="T73" s="351" t="b">
        <f ca="1">F73&gt;0</f>
        <v>1</v>
      </c>
      <c r="W73" s="515" t="s">
        <v>918</v>
      </c>
      <c r="X73" s="998"/>
      <c r="Z73" s="1026"/>
      <c r="AB73" s="89"/>
      <c r="AC73" s="92" t="s">
        <v>919</v>
      </c>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101"/>
      <c r="BF73" s="672"/>
      <c r="BG73" s="672"/>
      <c r="BH73" s="672"/>
      <c r="BI73" s="460" t="s">
        <v>899</v>
      </c>
      <c r="BJ73" s="460"/>
    </row>
    <row r="74" spans="1:62" ht="10.9" customHeight="1">
      <c r="E74" s="478">
        <v>11.25</v>
      </c>
      <c r="U74" s="17" t="s">
        <v>175</v>
      </c>
      <c r="V74" s="56" t="s">
        <v>923</v>
      </c>
    </row>
    <row r="75" spans="1:62" ht="14.65" customHeight="1">
      <c r="E75" s="459">
        <v>15</v>
      </c>
      <c r="AB75" s="1071" t="s">
        <v>396</v>
      </c>
      <c r="AC75" s="1072"/>
      <c r="AD75" s="1072"/>
      <c r="AE75" s="1072"/>
      <c r="AF75" s="1072"/>
      <c r="AG75" s="1072"/>
      <c r="AH75" s="1072"/>
      <c r="AI75" s="1072"/>
      <c r="AJ75" s="1072"/>
      <c r="AK75" s="1072"/>
      <c r="AL75" s="1072"/>
      <c r="AM75" s="1072"/>
      <c r="AN75" s="1072"/>
      <c r="AO75" s="1072"/>
      <c r="AP75" s="1072"/>
      <c r="AQ75" s="1072"/>
      <c r="AR75" s="1072"/>
      <c r="AS75" s="1072"/>
      <c r="AT75" s="1072"/>
      <c r="AU75" s="1072"/>
      <c r="AV75" s="1072"/>
      <c r="AW75" s="1072"/>
      <c r="AX75" s="1072"/>
      <c r="AY75" s="1072"/>
      <c r="AZ75" s="1072"/>
      <c r="BA75" s="1072"/>
      <c r="BB75" s="1072"/>
      <c r="BC75" s="1073"/>
    </row>
    <row r="76" spans="1:62" ht="20.65" customHeight="1">
      <c r="E76" s="459">
        <v>15</v>
      </c>
      <c r="AA76" s="479"/>
      <c r="AB76" s="1069" t="s">
        <v>924</v>
      </c>
      <c r="AC76" s="1067"/>
      <c r="AD76" s="1067"/>
      <c r="AE76" s="1067"/>
      <c r="AF76" s="1067"/>
      <c r="AG76" s="1067"/>
      <c r="AH76" s="1067"/>
      <c r="AI76" s="1067"/>
      <c r="AJ76" s="1067"/>
      <c r="AK76" s="1067"/>
      <c r="AL76" s="1066"/>
      <c r="AM76" s="1066"/>
      <c r="AN76" s="1066"/>
      <c r="AO76" s="1066"/>
      <c r="AP76" s="1066"/>
      <c r="AQ76" s="1066"/>
      <c r="AR76" s="1066"/>
      <c r="AS76" s="1067"/>
      <c r="AT76" s="1067"/>
      <c r="AU76" s="1067"/>
      <c r="AV76" s="1066"/>
      <c r="AW76" s="1066"/>
      <c r="AX76" s="1066"/>
      <c r="AY76" s="1066"/>
      <c r="AZ76" s="1066"/>
      <c r="BA76" s="1066"/>
      <c r="BB76" s="1066"/>
      <c r="BC76" s="1070"/>
    </row>
    <row r="77" spans="1:62" ht="14.65" hidden="1" customHeight="1">
      <c r="E77" s="459">
        <v>15</v>
      </c>
      <c r="T77" s="351" t="b">
        <f t="shared" ref="T77:T84" si="19">ROW(W77)&gt;ROW(W$77)</f>
        <v>0</v>
      </c>
      <c r="W77" s="515" t="s">
        <v>171</v>
      </c>
      <c r="AA77" s="487" t="s">
        <v>172</v>
      </c>
      <c r="AB77" s="1065" t="s">
        <v>124</v>
      </c>
      <c r="AC77" s="1066"/>
      <c r="AD77" s="1066"/>
      <c r="AE77" s="1066"/>
      <c r="AF77" s="1066"/>
      <c r="AG77" s="1066"/>
      <c r="AH77" s="1066"/>
      <c r="AI77" s="1067"/>
      <c r="AJ77" s="1067"/>
      <c r="AK77" s="1067"/>
      <c r="AL77" s="1066"/>
      <c r="AM77" s="1066"/>
      <c r="AN77" s="1066"/>
      <c r="AO77" s="1066"/>
      <c r="AP77" s="1066"/>
      <c r="AQ77" s="1066"/>
      <c r="AR77" s="1066"/>
      <c r="AS77" s="1067"/>
      <c r="AT77" s="1067"/>
      <c r="AU77" s="1067"/>
      <c r="AV77" s="1066"/>
      <c r="AW77" s="1066"/>
      <c r="AX77" s="1066"/>
      <c r="AY77" s="1066"/>
      <c r="AZ77" s="1066"/>
      <c r="BA77" s="1066"/>
      <c r="BB77" s="1066"/>
      <c r="BC77" s="1068"/>
    </row>
    <row r="78" spans="1:62" ht="32.65" customHeight="1">
      <c r="E78" s="459">
        <v>15</v>
      </c>
      <c r="T78" s="351" t="b">
        <f t="shared" si="19"/>
        <v>1</v>
      </c>
      <c r="W78" s="515"/>
      <c r="Y78" s="17" t="s">
        <v>124</v>
      </c>
      <c r="AA78" s="487" t="s">
        <v>172</v>
      </c>
      <c r="AB78" s="1069" t="s">
        <v>925</v>
      </c>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7"/>
      <c r="BA78" s="1067"/>
      <c r="BB78" s="1067"/>
      <c r="BC78" s="1070"/>
    </row>
    <row r="79" spans="1:62" ht="20.65" customHeight="1">
      <c r="E79" s="459">
        <v>15</v>
      </c>
      <c r="T79" s="351" t="b">
        <f t="shared" si="19"/>
        <v>1</v>
      </c>
      <c r="W79" s="515"/>
      <c r="Y79" s="17" t="s">
        <v>124</v>
      </c>
      <c r="AA79" s="487" t="s">
        <v>172</v>
      </c>
      <c r="AB79" s="1069" t="s">
        <v>926</v>
      </c>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7"/>
      <c r="BA79" s="1067"/>
      <c r="BB79" s="1067"/>
      <c r="BC79" s="1070"/>
    </row>
    <row r="80" spans="1:62" ht="28.9" customHeight="1">
      <c r="E80" s="459">
        <v>15</v>
      </c>
      <c r="T80" s="351" t="b">
        <f t="shared" si="19"/>
        <v>1</v>
      </c>
      <c r="W80" s="515"/>
      <c r="Y80" s="17" t="s">
        <v>124</v>
      </c>
      <c r="AA80" s="487" t="s">
        <v>172</v>
      </c>
      <c r="AB80" s="1069" t="s">
        <v>927</v>
      </c>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7"/>
      <c r="BA80" s="1067"/>
      <c r="BB80" s="1067"/>
      <c r="BC80" s="1070"/>
    </row>
    <row r="81" spans="5:56" ht="24.4" customHeight="1">
      <c r="E81" s="459">
        <v>15</v>
      </c>
      <c r="T81" s="351" t="b">
        <f t="shared" si="19"/>
        <v>1</v>
      </c>
      <c r="W81" s="515"/>
      <c r="Y81" s="17" t="s">
        <v>124</v>
      </c>
      <c r="AA81" s="487" t="s">
        <v>172</v>
      </c>
      <c r="AB81" s="1069" t="s">
        <v>928</v>
      </c>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70"/>
    </row>
    <row r="82" spans="5:56" ht="20.65" customHeight="1">
      <c r="E82" s="459">
        <v>15</v>
      </c>
      <c r="T82" s="351" t="b">
        <f t="shared" si="19"/>
        <v>1</v>
      </c>
      <c r="W82" s="515"/>
      <c r="Y82" s="17" t="s">
        <v>124</v>
      </c>
      <c r="AA82" s="487" t="s">
        <v>172</v>
      </c>
      <c r="AB82" s="1069" t="s">
        <v>929</v>
      </c>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7"/>
      <c r="BA82" s="1067"/>
      <c r="BB82" s="1067"/>
      <c r="BC82" s="1070"/>
    </row>
    <row r="83" spans="5:56" ht="26.25" customHeight="1">
      <c r="E83" s="459">
        <v>15</v>
      </c>
      <c r="T83" s="351" t="b">
        <f t="shared" si="19"/>
        <v>1</v>
      </c>
      <c r="W83" s="515"/>
      <c r="Y83" s="17" t="s">
        <v>124</v>
      </c>
      <c r="AA83" s="487" t="s">
        <v>172</v>
      </c>
      <c r="AB83" s="1069" t="s">
        <v>930</v>
      </c>
      <c r="AC83" s="1067"/>
      <c r="AD83" s="1067"/>
      <c r="AE83" s="1067"/>
      <c r="AF83" s="1067"/>
      <c r="AG83" s="1067"/>
      <c r="AH83" s="1067"/>
      <c r="AI83" s="1067"/>
      <c r="AJ83" s="1067"/>
      <c r="AK83" s="1067"/>
      <c r="AL83" s="1067"/>
      <c r="AM83" s="1067"/>
      <c r="AN83" s="1067"/>
      <c r="AO83" s="1067"/>
      <c r="AP83" s="1067"/>
      <c r="AQ83" s="1067"/>
      <c r="AR83" s="1067"/>
      <c r="AS83" s="1067"/>
      <c r="AT83" s="1067"/>
      <c r="AU83" s="1067"/>
      <c r="AV83" s="1067"/>
      <c r="AW83" s="1067"/>
      <c r="AX83" s="1067"/>
      <c r="AY83" s="1067"/>
      <c r="AZ83" s="1067"/>
      <c r="BA83" s="1067"/>
      <c r="BB83" s="1067"/>
      <c r="BC83" s="1070"/>
    </row>
    <row r="84" spans="5:56" ht="21.4" customHeight="1">
      <c r="E84" s="459">
        <v>15</v>
      </c>
      <c r="T84" s="351" t="b">
        <f t="shared" si="19"/>
        <v>1</v>
      </c>
      <c r="W84" s="515"/>
      <c r="Y84" s="17" t="s">
        <v>124</v>
      </c>
      <c r="AA84" s="487" t="s">
        <v>172</v>
      </c>
      <c r="AB84" s="1069" t="s">
        <v>931</v>
      </c>
      <c r="AC84" s="1067"/>
      <c r="AD84" s="1067"/>
      <c r="AE84" s="1067"/>
      <c r="AF84" s="1067"/>
      <c r="AG84" s="1067"/>
      <c r="AH84" s="1067"/>
      <c r="AI84" s="1067"/>
      <c r="AJ84" s="1067"/>
      <c r="AK84" s="1067"/>
      <c r="AL84" s="1067"/>
      <c r="AM84" s="1067"/>
      <c r="AN84" s="1067"/>
      <c r="AO84" s="1067"/>
      <c r="AP84" s="1067"/>
      <c r="AQ84" s="1067"/>
      <c r="AR84" s="1067"/>
      <c r="AS84" s="1067"/>
      <c r="AT84" s="1067"/>
      <c r="AU84" s="1067"/>
      <c r="AV84" s="1067"/>
      <c r="AW84" s="1067"/>
      <c r="AX84" s="1067"/>
      <c r="AY84" s="1067"/>
      <c r="AZ84" s="1067"/>
      <c r="BA84" s="1067"/>
      <c r="BB84" s="1067"/>
      <c r="BC84" s="1070"/>
    </row>
    <row r="85" spans="5:56" ht="14.65" customHeight="1">
      <c r="E85" s="459">
        <v>15</v>
      </c>
      <c r="W85" s="515" t="s">
        <v>407</v>
      </c>
      <c r="AA85" s="488"/>
      <c r="AB85" s="472"/>
      <c r="AC85" s="380" t="s">
        <v>408</v>
      </c>
      <c r="AD85" s="217"/>
      <c r="AE85" s="217"/>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9"/>
    </row>
    <row r="86" spans="5:56" ht="10.9" customHeight="1">
      <c r="E86" s="459">
        <v>11.25</v>
      </c>
      <c r="AA86" s="524"/>
      <c r="AB86" s="525"/>
      <c r="BD86" s="22"/>
    </row>
  </sheetData>
  <sheetProtection formatColumns="0" formatRows="0" insertRows="0" deleteColumns="0" deleteRows="0" sort="0" autoFilter="0"/>
  <mergeCells count="28">
    <mergeCell ref="AB83:BC83"/>
    <mergeCell ref="AB84:BC84"/>
    <mergeCell ref="AB78:BC78"/>
    <mergeCell ref="AB79:BC79"/>
    <mergeCell ref="AB80:BC80"/>
    <mergeCell ref="AB81:BC81"/>
    <mergeCell ref="AB82:BC82"/>
    <mergeCell ref="X27:X46"/>
    <mergeCell ref="Z27:Z46"/>
    <mergeCell ref="AB75:BC75"/>
    <mergeCell ref="AB76:BC76"/>
    <mergeCell ref="AA34:AA36"/>
    <mergeCell ref="AA39:AA45"/>
    <mergeCell ref="Y34:Y36"/>
    <mergeCell ref="Y39:Y45"/>
    <mergeCell ref="X47:X73"/>
    <mergeCell ref="Z47:Z73"/>
    <mergeCell ref="AA54:AA56"/>
    <mergeCell ref="AA59:AA65"/>
    <mergeCell ref="Y54:Y56"/>
    <mergeCell ref="Y59:Y65"/>
    <mergeCell ref="AA66:AA72"/>
    <mergeCell ref="Y66:Y72"/>
    <mergeCell ref="AB77:BC77"/>
    <mergeCell ref="AB24:AB25"/>
    <mergeCell ref="AC24:AC25"/>
    <mergeCell ref="AD24:AD25"/>
    <mergeCell ref="BC24:BC25"/>
  </mergeCells>
  <dataValidations count="3">
    <dataValidation type="list" allowBlank="1" showInputMessage="1" showErrorMessage="1" errorTitle="Ошибка" error="Выберите значение из списка" prompt="Выберите значение из списка" sqref="AC39 AC59 AC66" xr:uid="{00000000-0002-0000-0D00-000000000000}">
      <formula1>VOLTAGE_LEVEL2_list</formula1>
    </dataValidation>
    <dataValidation type="list" allowBlank="1" showInputMessage="1" showErrorMessage="1" errorTitle="Ошибка" error="Выберите значение из списка" prompt="Выберите значение из списка" sqref="AC34 AC54" xr:uid="{00000000-0002-0000-0D00-000001000000}">
      <formula1>VOLTAGE_LEVEL_list</formula1>
    </dataValidation>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E67 AE69:AE70 AE72 AF65 AF67 AF69:AF70 AF72 AG65 AG67 AG69:AG70 AG72 AH65 AH67 AH69:AH70 AH72 AI65 AI67 AI69:AI70 AI72 AJ65 AJ67 AJ69:AJ70 AJ72 AK65 AK67 AK69:AK70 AK72 AL65 AL67 AL69:AL70 AL72 AM65 AM67 AM69:AM70 AM72 AN65 AN67 AN69:AN70 AN72 AO65 AO67 AO69:AO70 AO72 AP65 AP67 AP69:AP70 AP72 AQ65 AQ67 AQ69:AQ70 AQ72 AR65 AR67 AR69:AR70 AR72 AS65 AS67 AS69:AS70 AS72 AT65 AT67 AT69:AT70 AT72 AU65 AU67 AU69:AU70 AU72 AV65 AV67 AV69:AV70 AV72 AW65 AW67 AW69:AW70 AW72 AX65 AX67 AX69:AX70 AX72 AY65 AY67 AY69:AY70 AY72 AZ65 AZ67 AZ69:AZ70 AZ72 BA65 BA67 BA69:BA70 BA72 BB65 BB67 BB69:BB70 BB72" xr:uid="{00000000-0002-0000-0D00-000002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D951-CA68-45BB-73EC-DEAD5B568071}">
  <sheetPr>
    <tabColor rgb="FF002060"/>
    <outlinePr summaryBelow="0" summaryRight="0"/>
    <pageSetUpPr fitToPage="1"/>
  </sheetPr>
  <dimension ref="A1:BF130"/>
  <sheetViews>
    <sheetView showGridLines="0" workbookViewId="0">
      <pane xSplit="30" ySplit="25" topLeftCell="AE106" activePane="bottomRight" state="frozen"/>
      <selection pane="topRight" activeCell="AE1" sqref="AE1"/>
      <selection pane="bottomLeft" activeCell="A26" sqref="A26"/>
      <selection pane="bottomRight" activeCell="AB129" sqref="AB129"/>
    </sheetView>
  </sheetViews>
  <sheetFormatPr defaultColWidth="8.7109375" defaultRowHeight="11.25" customHeight="1"/>
  <cols>
    <col min="1" max="1" width="3.5703125" style="22" hidden="1" customWidth="1"/>
    <col min="2" max="2" width="6.7109375" style="43" hidden="1" customWidth="1"/>
    <col min="3" max="4" width="3.5703125" style="22" hidden="1" customWidth="1"/>
    <col min="5" max="5" width="7.85546875" style="447"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41.7109375" style="22" customWidth="1"/>
    <col min="30" max="30" width="11" style="44" customWidth="1"/>
    <col min="31" max="37" width="12.5703125" style="44" customWidth="1"/>
    <col min="38" max="44" width="12.5703125" style="44" hidden="1" customWidth="1"/>
    <col min="45" max="47" width="12.5703125" style="44" customWidth="1"/>
    <col min="48" max="54" width="12.5703125" style="44" hidden="1" customWidth="1"/>
    <col min="55" max="55" width="20" style="22" customWidth="1"/>
    <col min="56" max="56" width="3" style="22" customWidth="1"/>
    <col min="57" max="57" width="8.7109375" style="22" hidden="1"/>
    <col min="58" max="58" width="8.7109375" style="656" hidden="1"/>
  </cols>
  <sheetData>
    <row r="1" spans="1:58" ht="11.25" hidden="1" customHeight="1">
      <c r="E1" s="22"/>
      <c r="F1" s="22" t="s">
        <v>309</v>
      </c>
      <c r="G1" s="22" t="s">
        <v>320</v>
      </c>
      <c r="T1" s="351" t="s">
        <v>92</v>
      </c>
      <c r="U1" s="351" t="s">
        <v>97</v>
      </c>
      <c r="V1" s="351" t="s">
        <v>93</v>
      </c>
      <c r="W1" s="351" t="s">
        <v>94</v>
      </c>
      <c r="X1" s="351" t="s">
        <v>95</v>
      </c>
      <c r="Y1" s="353" t="s">
        <v>311</v>
      </c>
      <c r="Z1" s="351" t="s">
        <v>99</v>
      </c>
      <c r="AA1" s="352" t="s">
        <v>96</v>
      </c>
      <c r="AB1" s="4"/>
      <c r="AC1" s="352" t="s">
        <v>98</v>
      </c>
      <c r="BF1" s="656" t="s">
        <v>312</v>
      </c>
    </row>
    <row r="2" spans="1:58" s="43" customFormat="1" ht="11.25" hidden="1" customHeight="1">
      <c r="B2" s="341" t="s">
        <v>18</v>
      </c>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63"/>
    </row>
    <row r="3" spans="1:58" ht="11.25" hidden="1" customHeight="1">
      <c r="E3" s="22"/>
    </row>
    <row r="4" spans="1:58" ht="11.25" hidden="1" customHeight="1">
      <c r="E4" s="22"/>
    </row>
    <row r="5" spans="1:58" s="447" customFormat="1" ht="11.25" hidden="1" customHeight="1">
      <c r="A5" s="22"/>
      <c r="B5" s="43"/>
      <c r="C5" s="22"/>
      <c r="D5" s="22"/>
      <c r="E5" s="447" t="s">
        <v>19</v>
      </c>
      <c r="AA5" s="447">
        <v>3</v>
      </c>
      <c r="AB5" s="447">
        <v>11</v>
      </c>
      <c r="AC5" s="447">
        <v>41.71</v>
      </c>
      <c r="AD5" s="473">
        <v>11</v>
      </c>
      <c r="AE5" s="473">
        <v>12.57</v>
      </c>
      <c r="AF5" s="473">
        <v>12.57</v>
      </c>
      <c r="AG5" s="473">
        <v>12.57</v>
      </c>
      <c r="AH5" s="473">
        <v>12.57</v>
      </c>
      <c r="AI5" s="473">
        <v>12.57</v>
      </c>
      <c r="AJ5" s="473">
        <v>12.57</v>
      </c>
      <c r="AK5" s="473">
        <v>12.57</v>
      </c>
      <c r="AL5" s="473">
        <v>12.57</v>
      </c>
      <c r="AM5" s="473">
        <v>12.57</v>
      </c>
      <c r="AN5" s="473">
        <v>12.57</v>
      </c>
      <c r="AO5" s="473">
        <v>12.57</v>
      </c>
      <c r="AP5" s="473">
        <v>12.57</v>
      </c>
      <c r="AQ5" s="473">
        <v>12.57</v>
      </c>
      <c r="AR5" s="473">
        <v>12.57</v>
      </c>
      <c r="AS5" s="473">
        <v>12.57</v>
      </c>
      <c r="AT5" s="473">
        <v>12.57</v>
      </c>
      <c r="AU5" s="473">
        <v>12.57</v>
      </c>
      <c r="AV5" s="473">
        <v>12.57</v>
      </c>
      <c r="AW5" s="473">
        <v>12.57</v>
      </c>
      <c r="AX5" s="473">
        <v>12.57</v>
      </c>
      <c r="AY5" s="473">
        <v>12.57</v>
      </c>
      <c r="AZ5" s="473">
        <v>12.57</v>
      </c>
      <c r="BA5" s="473">
        <v>12.57</v>
      </c>
      <c r="BB5" s="473">
        <v>12.57</v>
      </c>
      <c r="BC5" s="447">
        <v>20</v>
      </c>
      <c r="BD5" s="447">
        <v>3</v>
      </c>
      <c r="BF5" s="656"/>
    </row>
    <row r="6" spans="1:58" ht="11.25" hidden="1" customHeight="1">
      <c r="A6" s="22" t="s">
        <v>349</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2" t="s">
        <v>350</v>
      </c>
      <c r="AE7" s="273" t="str" cm="1">
        <f t="array" ref="AE7">AE25</f>
        <v>Принято органом регулирования</v>
      </c>
      <c r="AF7" s="273" t="str" cm="1">
        <f t="array" ref="AF7">AF25</f>
        <v>Факт по данным организации</v>
      </c>
      <c r="AG7" s="273" t="str" cm="1">
        <f t="array" ref="AG7">AG25</f>
        <v>Факт, принятый органом регулирования</v>
      </c>
      <c r="AH7" s="273" t="str" cm="1">
        <f t="array" ref="AH7">AH25</f>
        <v>Принято органом регулирования</v>
      </c>
      <c r="AI7" s="273" t="str" cm="1">
        <f t="array" ref="AI7">AI25</f>
        <v>Предложение организации</v>
      </c>
      <c r="AJ7" s="273" t="str" cm="1">
        <f t="array" ref="AJ7">AJ25</f>
        <v>Предложение организации</v>
      </c>
      <c r="AK7" s="273" t="str" cm="1">
        <f t="array" ref="AK7">AK25</f>
        <v>Предложение организации</v>
      </c>
      <c r="AL7" s="273" t="str" cm="1">
        <f t="array" ref="AL7">AL25</f>
        <v>Предложение организации</v>
      </c>
      <c r="AM7" s="273" t="str" cm="1">
        <f t="array" ref="AM7">AM25</f>
        <v>Предложение организации</v>
      </c>
      <c r="AN7" s="273" t="str" cm="1">
        <f t="array" ref="AN7">AN25</f>
        <v>Предложение организации</v>
      </c>
      <c r="AO7" s="273" t="str" cm="1">
        <f t="array" ref="AO7">AO25</f>
        <v>Предложение организации</v>
      </c>
      <c r="AP7" s="273" t="str" cm="1">
        <f t="array" ref="AP7">AP25</f>
        <v>Предложение организации</v>
      </c>
      <c r="AQ7" s="273" t="str" cm="1">
        <f t="array" ref="AQ7">AQ25</f>
        <v>Предложение организации</v>
      </c>
      <c r="AR7" s="273" t="str" cm="1">
        <f t="array" ref="AR7">AR25</f>
        <v>Предложение организации</v>
      </c>
      <c r="AS7" s="273" t="str" cm="1">
        <f t="array" ref="AS7">AS25</f>
        <v>Принято органом регулирования</v>
      </c>
      <c r="AT7" s="273" t="str" cm="1">
        <f t="array" ref="AT7">AT25</f>
        <v>Принято органом регулирования</v>
      </c>
      <c r="AU7" s="273" t="str" cm="1">
        <f t="array" ref="AU7">AU25</f>
        <v>Принято органом регулирования</v>
      </c>
      <c r="AV7" s="273" t="str" cm="1">
        <f t="array" ref="AV7">AV25</f>
        <v>Принято органом регулирования</v>
      </c>
      <c r="AW7" s="273" t="str" cm="1">
        <f t="array" ref="AW7">AW25</f>
        <v>Принято органом регулирования</v>
      </c>
      <c r="AX7" s="273" t="str" cm="1">
        <f t="array" ref="AX7">AX25</f>
        <v>Принято органом регулирования</v>
      </c>
      <c r="AY7" s="273" t="str" cm="1">
        <f t="array" ref="AY7">AY25</f>
        <v>Принято органом регулирования</v>
      </c>
      <c r="AZ7" s="273" t="str" cm="1">
        <f t="array" ref="AZ7">AZ25</f>
        <v>Принято органом регулирования</v>
      </c>
      <c r="BA7" s="273" t="str" cm="1">
        <f t="array" ref="BA7">BA25</f>
        <v>Принято органом регулирования</v>
      </c>
      <c r="BB7" s="273" t="str" cm="1">
        <f t="array" ref="BB7">BB25</f>
        <v>Принято органом регулирования</v>
      </c>
    </row>
    <row r="8" spans="1:58" ht="11.25" hidden="1" customHeight="1"/>
    <row r="9" spans="1:58" s="656" customFormat="1" ht="11.25" hidden="1" customHeight="1">
      <c r="A9" s="669" t="s">
        <v>354</v>
      </c>
      <c r="B9" s="663"/>
      <c r="AD9" s="673"/>
      <c r="AE9" s="673" cm="1">
        <f t="array" ref="AE9">AE6</f>
        <v>2024</v>
      </c>
      <c r="AF9" s="673" cm="1">
        <f t="array" ref="AF9">AF6</f>
        <v>2024</v>
      </c>
      <c r="AG9" s="673" cm="1">
        <f t="array" ref="AG9">AG6</f>
        <v>2024</v>
      </c>
      <c r="AH9" s="673" cm="1">
        <f t="array" ref="AH9">AH6</f>
        <v>2025</v>
      </c>
      <c r="AI9" s="673" cm="1">
        <f t="array" ref="AI9">AI6</f>
        <v>2026</v>
      </c>
      <c r="AJ9" s="673" cm="1">
        <f t="array" ref="AJ9">AJ6</f>
        <v>2027</v>
      </c>
      <c r="AK9" s="673" cm="1">
        <f t="array" ref="AK9">AK6</f>
        <v>2028</v>
      </c>
      <c r="AL9" s="673" cm="1">
        <f t="array" ref="AL9">AL6</f>
        <v>2029</v>
      </c>
      <c r="AM9" s="673" cm="1">
        <f t="array" ref="AM9">AM6</f>
        <v>2030</v>
      </c>
      <c r="AN9" s="673" cm="1">
        <f t="array" ref="AN9">AN6</f>
        <v>2031</v>
      </c>
      <c r="AO9" s="673" cm="1">
        <f t="array" ref="AO9">AO6</f>
        <v>2032</v>
      </c>
      <c r="AP9" s="673" cm="1">
        <f t="array" ref="AP9">AP6</f>
        <v>2033</v>
      </c>
      <c r="AQ9" s="673" cm="1">
        <f t="array" ref="AQ9">AQ6</f>
        <v>2034</v>
      </c>
      <c r="AR9" s="673" cm="1">
        <f t="array" ref="AR9">AR6</f>
        <v>2035</v>
      </c>
      <c r="AS9" s="673" cm="1">
        <f t="array" ref="AS9">AS6</f>
        <v>2026</v>
      </c>
      <c r="AT9" s="673" cm="1">
        <f t="array" ref="AT9">AT6</f>
        <v>2027</v>
      </c>
      <c r="AU9" s="673" cm="1">
        <f t="array" ref="AU9">AU6</f>
        <v>2028</v>
      </c>
      <c r="AV9" s="673" cm="1">
        <f t="array" ref="AV9">AV6</f>
        <v>2029</v>
      </c>
      <c r="AW9" s="673" cm="1">
        <f t="array" ref="AW9">AW6</f>
        <v>2030</v>
      </c>
      <c r="AX9" s="673" cm="1">
        <f t="array" ref="AX9">AX6</f>
        <v>2031</v>
      </c>
      <c r="AY9" s="673" cm="1">
        <f t="array" ref="AY9">AY6</f>
        <v>2032</v>
      </c>
      <c r="AZ9" s="673" cm="1">
        <f t="array" ref="AZ9">AZ6</f>
        <v>2033</v>
      </c>
      <c r="BA9" s="673" cm="1">
        <f t="array" ref="BA9">BA6</f>
        <v>2034</v>
      </c>
      <c r="BB9" s="673" cm="1">
        <f t="array" ref="BB9">BB6</f>
        <v>2035</v>
      </c>
    </row>
    <row r="10" spans="1:58" s="656" customFormat="1" ht="11.25" hidden="1" customHeight="1">
      <c r="A10" s="669" t="s">
        <v>355</v>
      </c>
      <c r="B10" s="663"/>
      <c r="AD10" s="673"/>
      <c r="AE10" s="673" t="str" cm="1">
        <f t="array" ref="AE10">AE25</f>
        <v>Принято органом регулирования</v>
      </c>
      <c r="AF10" s="673" t="str" cm="1">
        <f t="array" ref="AF10">AF25</f>
        <v>Факт по данным организации</v>
      </c>
      <c r="AG10" s="673" t="str" cm="1">
        <f t="array" ref="AG10">AG25</f>
        <v>Факт, принятый органом регулирования</v>
      </c>
      <c r="AH10" s="673" t="str" cm="1">
        <f t="array" ref="AH10">AH25</f>
        <v>Принято органом регулирования</v>
      </c>
      <c r="AI10" s="673" t="str" cm="1">
        <f t="array" ref="AI10">AI25</f>
        <v>Предложение организации</v>
      </c>
      <c r="AJ10" s="673" t="str" cm="1">
        <f t="array" ref="AJ10">AJ25</f>
        <v>Предложение организации</v>
      </c>
      <c r="AK10" s="673" t="str" cm="1">
        <f t="array" ref="AK10">AK25</f>
        <v>Предложение организации</v>
      </c>
      <c r="AL10" s="673" t="str" cm="1">
        <f t="array" ref="AL10">AL25</f>
        <v>Предложение организации</v>
      </c>
      <c r="AM10" s="673" t="str" cm="1">
        <f t="array" ref="AM10">AM25</f>
        <v>Предложение организации</v>
      </c>
      <c r="AN10" s="673" t="str" cm="1">
        <f t="array" ref="AN10">AN25</f>
        <v>Предложение организации</v>
      </c>
      <c r="AO10" s="673" t="str" cm="1">
        <f t="array" ref="AO10">AO25</f>
        <v>Предложение организации</v>
      </c>
      <c r="AP10" s="673" t="str" cm="1">
        <f t="array" ref="AP10">AP25</f>
        <v>Предложение организации</v>
      </c>
      <c r="AQ10" s="673" t="str" cm="1">
        <f t="array" ref="AQ10">AQ25</f>
        <v>Предложение организации</v>
      </c>
      <c r="AR10" s="673" t="str" cm="1">
        <f t="array" ref="AR10">AR25</f>
        <v>Предложение организации</v>
      </c>
      <c r="AS10" s="673" t="str" cm="1">
        <f t="array" ref="AS10">AS25</f>
        <v>Принято органом регулирования</v>
      </c>
      <c r="AT10" s="673" t="str" cm="1">
        <f t="array" ref="AT10">AT25</f>
        <v>Принято органом регулирования</v>
      </c>
      <c r="AU10" s="673" t="str" cm="1">
        <f t="array" ref="AU10">AU25</f>
        <v>Принято органом регулирования</v>
      </c>
      <c r="AV10" s="673" t="str" cm="1">
        <f t="array" ref="AV10">AV25</f>
        <v>Принято органом регулирования</v>
      </c>
      <c r="AW10" s="673" t="str" cm="1">
        <f t="array" ref="AW10">AW25</f>
        <v>Принято органом регулирования</v>
      </c>
      <c r="AX10" s="673" t="str" cm="1">
        <f t="array" ref="AX10">AX25</f>
        <v>Принято органом регулирования</v>
      </c>
      <c r="AY10" s="673" t="str" cm="1">
        <f t="array" ref="AY10">AY25</f>
        <v>Принято органом регулирования</v>
      </c>
      <c r="AZ10" s="673" t="str" cm="1">
        <f t="array" ref="AZ10">AZ25</f>
        <v>Принято органом регулирования</v>
      </c>
      <c r="BA10" s="673" t="str" cm="1">
        <f t="array" ref="BA10">BA25</f>
        <v>Принято органом регулирования</v>
      </c>
      <c r="BB10" s="673" t="str" cm="1">
        <f t="array" ref="BB10">BB25</f>
        <v>Принято органом регулирования</v>
      </c>
    </row>
    <row r="11" spans="1:58" s="656" customFormat="1" ht="11.25" hidden="1" customHeight="1">
      <c r="A11" s="669" t="s">
        <v>356</v>
      </c>
      <c r="B11" s="663"/>
      <c r="AD11" s="673"/>
      <c r="AE11" s="673"/>
      <c r="AF11" s="673"/>
      <c r="AG11" s="673"/>
      <c r="AH11" s="673"/>
      <c r="AI11" s="673"/>
      <c r="AJ11" s="673"/>
      <c r="AK11" s="673"/>
      <c r="AL11" s="673"/>
      <c r="AM11" s="673"/>
      <c r="AN11" s="673"/>
      <c r="AO11" s="673"/>
      <c r="AP11" s="673"/>
      <c r="AQ11" s="673"/>
      <c r="AR11" s="673"/>
      <c r="AS11" s="673"/>
      <c r="AT11" s="673"/>
      <c r="AU11" s="673"/>
      <c r="AV11" s="673"/>
      <c r="AW11" s="673"/>
      <c r="AX11" s="673"/>
      <c r="AY11" s="673"/>
      <c r="AZ11" s="673"/>
      <c r="BA11" s="673"/>
      <c r="BB11" s="673"/>
      <c r="BC11" s="656"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7">
        <v>15</v>
      </c>
      <c r="AA21" s="324"/>
      <c r="AC21" s="3" t="str" cm="1">
        <f t="array" ref="AC21">tpl_title</f>
        <v>Кемеровская область / 2026 / МУП "Водоканал" (ИНН:4202043124, КПП:420201001) / ДПР: 2026-2028</v>
      </c>
    </row>
    <row r="22" spans="1:58" ht="19.5" customHeight="1">
      <c r="E22" s="447">
        <v>20</v>
      </c>
      <c r="AB22" s="225" t="s">
        <v>932</v>
      </c>
      <c r="AC22" s="119"/>
      <c r="AD22" s="122"/>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21"/>
    </row>
    <row r="23" spans="1:58" ht="10.7" customHeight="1">
      <c r="E23" s="447">
        <v>11</v>
      </c>
      <c r="AB23" s="1055"/>
      <c r="AC23" s="1055"/>
      <c r="AD23" s="1055"/>
      <c r="AE23" s="1055"/>
      <c r="AF23" s="1055"/>
      <c r="AG23" s="1055"/>
      <c r="AH23" s="1055"/>
      <c r="AI23" s="1055"/>
      <c r="AJ23" s="1055"/>
      <c r="AK23" s="1055"/>
      <c r="AL23" s="1055"/>
      <c r="AM23" s="1055"/>
      <c r="AN23" s="1055"/>
      <c r="AO23" s="1055"/>
      <c r="AP23" s="1055"/>
      <c r="AQ23" s="1055"/>
      <c r="AR23" s="1055"/>
      <c r="AS23" s="1055"/>
      <c r="AT23" s="1055"/>
      <c r="AU23" s="1055"/>
      <c r="AV23" s="1055"/>
      <c r="AW23" s="1055"/>
      <c r="AX23" s="1055"/>
      <c r="AY23" s="1055"/>
      <c r="AZ23" s="1055"/>
      <c r="BA23" s="1055"/>
      <c r="BB23" s="1055"/>
    </row>
    <row r="24" spans="1:58" ht="14.65" customHeight="1">
      <c r="E24" s="447">
        <v>15</v>
      </c>
      <c r="AB24" s="1028" t="s">
        <v>841</v>
      </c>
      <c r="AC24" s="1074" t="s">
        <v>192</v>
      </c>
      <c r="AD24" s="1028" t="s">
        <v>359</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75" t="s">
        <v>580</v>
      </c>
    </row>
    <row r="25" spans="1:58" ht="48.75" customHeight="1">
      <c r="E25" s="447">
        <v>50</v>
      </c>
      <c r="AB25" s="1028"/>
      <c r="AC25" s="1074"/>
      <c r="AD25" s="1028"/>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76"/>
    </row>
    <row r="26" spans="1:58" ht="11.25" customHeight="1">
      <c r="A26"/>
      <c r="B26" s="326"/>
      <c r="C26"/>
      <c r="D26"/>
      <c r="E26" s="452" t="s">
        <v>362</v>
      </c>
      <c r="F26" s="86" t="s">
        <v>933</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ht="14.65" hidden="1" customHeight="1">
      <c r="E27" s="447">
        <v>15</v>
      </c>
      <c r="F27" s="517" cm="1">
        <f t="array" ref="F27">X27</f>
        <v>0</v>
      </c>
      <c r="T27" s="351" t="b">
        <f>X27&gt;0</f>
        <v>0</v>
      </c>
      <c r="V27" s="22" t="s">
        <v>266</v>
      </c>
      <c r="X27" s="1046">
        <v>0</v>
      </c>
      <c r="Z27" s="1047"/>
      <c r="AB27" s="97"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row>
    <row r="28" spans="1:58" s="63" customFormat="1" ht="21.95" hidden="1" customHeight="1">
      <c r="B28" s="327"/>
      <c r="E28" s="486">
        <v>22.5</v>
      </c>
      <c r="F28" s="3" cm="1">
        <f t="array" aca="1" ref="F28" ca="1">OFFSET(E28,-1,1)</f>
        <v>0</v>
      </c>
      <c r="G28" s="22" t="s">
        <v>321</v>
      </c>
      <c r="T28" s="351" t="b" cm="1">
        <f t="array" ref="T28">T27</f>
        <v>0</v>
      </c>
      <c r="X28" s="1046"/>
      <c r="Z28" s="1047"/>
      <c r="AB28" s="124">
        <v>1</v>
      </c>
      <c r="AC28" s="125" t="s">
        <v>934</v>
      </c>
      <c r="AD28" s="8" t="s">
        <v>859</v>
      </c>
      <c r="AE28" s="773">
        <f t="shared" ref="AE28:BB28" si="1">SUM(AE29:AE33)</f>
        <v>0</v>
      </c>
      <c r="AF28" s="773">
        <f t="shared" si="1"/>
        <v>0</v>
      </c>
      <c r="AG28" s="773">
        <f t="shared" si="1"/>
        <v>0</v>
      </c>
      <c r="AH28" s="773">
        <f t="shared" si="1"/>
        <v>0</v>
      </c>
      <c r="AI28" s="138">
        <f t="shared" si="1"/>
        <v>0</v>
      </c>
      <c r="AJ28" s="138">
        <f t="shared" si="1"/>
        <v>0</v>
      </c>
      <c r="AK28" s="138">
        <f t="shared" si="1"/>
        <v>0</v>
      </c>
      <c r="AL28" s="773">
        <f t="shared" si="1"/>
        <v>0</v>
      </c>
      <c r="AM28" s="773">
        <f t="shared" si="1"/>
        <v>0</v>
      </c>
      <c r="AN28" s="773">
        <f t="shared" si="1"/>
        <v>0</v>
      </c>
      <c r="AO28" s="773">
        <f t="shared" si="1"/>
        <v>0</v>
      </c>
      <c r="AP28" s="773">
        <f t="shared" si="1"/>
        <v>0</v>
      </c>
      <c r="AQ28" s="773">
        <f t="shared" si="1"/>
        <v>0</v>
      </c>
      <c r="AR28" s="773">
        <f t="shared" si="1"/>
        <v>0</v>
      </c>
      <c r="AS28" s="138">
        <f t="shared" si="1"/>
        <v>0</v>
      </c>
      <c r="AT28" s="138">
        <f t="shared" si="1"/>
        <v>0</v>
      </c>
      <c r="AU28" s="138">
        <f t="shared" si="1"/>
        <v>0</v>
      </c>
      <c r="AV28" s="773">
        <f t="shared" si="1"/>
        <v>0</v>
      </c>
      <c r="AW28" s="773">
        <f t="shared" si="1"/>
        <v>0</v>
      </c>
      <c r="AX28" s="773">
        <f t="shared" si="1"/>
        <v>0</v>
      </c>
      <c r="AY28" s="773">
        <f t="shared" si="1"/>
        <v>0</v>
      </c>
      <c r="AZ28" s="773">
        <f t="shared" si="1"/>
        <v>0</v>
      </c>
      <c r="BA28" s="773">
        <f t="shared" si="1"/>
        <v>0</v>
      </c>
      <c r="BB28" s="773">
        <f t="shared" si="1"/>
        <v>0</v>
      </c>
      <c r="BC28" s="823"/>
      <c r="BF28" s="678" t="s">
        <v>935</v>
      </c>
    </row>
    <row r="29" spans="1:58" ht="14.65" hidden="1" customHeight="1">
      <c r="E29" s="447">
        <v>15</v>
      </c>
      <c r="F29" s="3" cm="1">
        <f t="array" aca="1" ref="F29" ca="1">OFFSET(E29,-1,1)</f>
        <v>0</v>
      </c>
      <c r="G29" s="22" t="s">
        <v>507</v>
      </c>
      <c r="T29" s="351" t="b" cm="1">
        <f t="array" ref="T29">T28</f>
        <v>0</v>
      </c>
      <c r="X29" s="1046"/>
      <c r="Z29" s="1047"/>
      <c r="AB29" s="7" t="s">
        <v>936</v>
      </c>
      <c r="AC29" s="127" t="s">
        <v>937</v>
      </c>
      <c r="AD29" s="8" t="s">
        <v>859</v>
      </c>
      <c r="AE29" s="777"/>
      <c r="AF29" s="777"/>
      <c r="AG29" s="777"/>
      <c r="AH29" s="777"/>
      <c r="AI29" s="128"/>
      <c r="AJ29" s="128"/>
      <c r="AK29" s="128"/>
      <c r="AL29" s="777"/>
      <c r="AM29" s="777"/>
      <c r="AN29" s="777"/>
      <c r="AO29" s="777"/>
      <c r="AP29" s="777"/>
      <c r="AQ29" s="777"/>
      <c r="AR29" s="777"/>
      <c r="AS29" s="128"/>
      <c r="AT29" s="128"/>
      <c r="AU29" s="128"/>
      <c r="AV29" s="777"/>
      <c r="AW29" s="777"/>
      <c r="AX29" s="777"/>
      <c r="AY29" s="777"/>
      <c r="AZ29" s="777"/>
      <c r="BA29" s="777"/>
      <c r="BB29" s="777"/>
      <c r="BC29" s="823"/>
      <c r="BF29" s="678" t="s">
        <v>938</v>
      </c>
    </row>
    <row r="30" spans="1:58" ht="14.65" hidden="1" customHeight="1">
      <c r="E30" s="447">
        <v>15</v>
      </c>
      <c r="F30" s="3" cm="1">
        <f t="array" aca="1" ref="F30" ca="1">OFFSET(E30,-1,1)</f>
        <v>0</v>
      </c>
      <c r="G30" s="22" t="s">
        <v>511</v>
      </c>
      <c r="T30" s="351" t="b" cm="1">
        <f t="array" ref="T30">T29</f>
        <v>0</v>
      </c>
      <c r="X30" s="1046"/>
      <c r="Z30" s="1047"/>
      <c r="AB30" s="7" t="s">
        <v>939</v>
      </c>
      <c r="AC30" s="127" t="s">
        <v>940</v>
      </c>
      <c r="AD30" s="8" t="s">
        <v>859</v>
      </c>
      <c r="AE30" s="777"/>
      <c r="AF30" s="777"/>
      <c r="AG30" s="777"/>
      <c r="AH30" s="777"/>
      <c r="AI30" s="128"/>
      <c r="AJ30" s="128"/>
      <c r="AK30" s="128"/>
      <c r="AL30" s="777"/>
      <c r="AM30" s="777"/>
      <c r="AN30" s="777"/>
      <c r="AO30" s="777"/>
      <c r="AP30" s="777"/>
      <c r="AQ30" s="777"/>
      <c r="AR30" s="777"/>
      <c r="AS30" s="128"/>
      <c r="AT30" s="128"/>
      <c r="AU30" s="128"/>
      <c r="AV30" s="777"/>
      <c r="AW30" s="777"/>
      <c r="AX30" s="777"/>
      <c r="AY30" s="777"/>
      <c r="AZ30" s="777"/>
      <c r="BA30" s="777"/>
      <c r="BB30" s="777"/>
      <c r="BC30" s="823"/>
      <c r="BF30" s="678" t="s">
        <v>941</v>
      </c>
    </row>
    <row r="31" spans="1:58" ht="14.65" hidden="1" customHeight="1">
      <c r="E31" s="447">
        <v>15</v>
      </c>
      <c r="F31" s="3" cm="1">
        <f t="array" aca="1" ref="F31" ca="1">OFFSET(E31,-1,1)</f>
        <v>0</v>
      </c>
      <c r="G31" s="22" t="s">
        <v>514</v>
      </c>
      <c r="T31" s="351" t="b" cm="1">
        <f t="array" ref="T31">T30</f>
        <v>0</v>
      </c>
      <c r="X31" s="1046"/>
      <c r="Z31" s="1047"/>
      <c r="AB31" s="7" t="s">
        <v>942</v>
      </c>
      <c r="AC31" s="127" t="s">
        <v>943</v>
      </c>
      <c r="AD31" s="8" t="s">
        <v>859</v>
      </c>
      <c r="AE31" s="777"/>
      <c r="AF31" s="777"/>
      <c r="AG31" s="777"/>
      <c r="AH31" s="777"/>
      <c r="AI31" s="128"/>
      <c r="AJ31" s="128"/>
      <c r="AK31" s="128"/>
      <c r="AL31" s="777"/>
      <c r="AM31" s="777"/>
      <c r="AN31" s="777"/>
      <c r="AO31" s="777"/>
      <c r="AP31" s="777"/>
      <c r="AQ31" s="777"/>
      <c r="AR31" s="777"/>
      <c r="AS31" s="128"/>
      <c r="AT31" s="128"/>
      <c r="AU31" s="128"/>
      <c r="AV31" s="777"/>
      <c r="AW31" s="777"/>
      <c r="AX31" s="777"/>
      <c r="AY31" s="777"/>
      <c r="AZ31" s="777"/>
      <c r="BA31" s="777"/>
      <c r="BB31" s="777"/>
      <c r="BC31" s="823"/>
      <c r="BF31" s="678" t="s">
        <v>944</v>
      </c>
    </row>
    <row r="32" spans="1:58" ht="14.65" hidden="1" customHeight="1">
      <c r="E32" s="447">
        <v>15</v>
      </c>
      <c r="F32" s="3" cm="1">
        <f t="array" aca="1" ref="F32" ca="1">OFFSET(E32,-1,1)</f>
        <v>0</v>
      </c>
      <c r="G32" s="22" t="s">
        <v>518</v>
      </c>
      <c r="T32" s="351" t="b" cm="1">
        <f t="array" ref="T32">T31</f>
        <v>0</v>
      </c>
      <c r="X32" s="1046"/>
      <c r="Z32" s="1047"/>
      <c r="AB32" s="7" t="s">
        <v>945</v>
      </c>
      <c r="AC32" s="127" t="s">
        <v>946</v>
      </c>
      <c r="AD32" s="8" t="s">
        <v>859</v>
      </c>
      <c r="AE32" s="777"/>
      <c r="AF32" s="777"/>
      <c r="AG32" s="777"/>
      <c r="AH32" s="777"/>
      <c r="AI32" s="128"/>
      <c r="AJ32" s="128"/>
      <c r="AK32" s="128"/>
      <c r="AL32" s="777"/>
      <c r="AM32" s="777"/>
      <c r="AN32" s="777"/>
      <c r="AO32" s="777"/>
      <c r="AP32" s="777"/>
      <c r="AQ32" s="777"/>
      <c r="AR32" s="777"/>
      <c r="AS32" s="128"/>
      <c r="AT32" s="128"/>
      <c r="AU32" s="128"/>
      <c r="AV32" s="777"/>
      <c r="AW32" s="777"/>
      <c r="AX32" s="777"/>
      <c r="AY32" s="777"/>
      <c r="AZ32" s="777"/>
      <c r="BA32" s="777"/>
      <c r="BB32" s="777"/>
      <c r="BC32" s="823"/>
      <c r="BF32" s="678" t="s">
        <v>947</v>
      </c>
    </row>
    <row r="33" spans="2:58" ht="14.65" hidden="1" customHeight="1">
      <c r="E33" s="447">
        <v>15</v>
      </c>
      <c r="F33" s="3" cm="1">
        <f t="array" aca="1" ref="F33" ca="1">OFFSET(E33,-1,1)</f>
        <v>0</v>
      </c>
      <c r="G33" s="22" t="s">
        <v>948</v>
      </c>
      <c r="T33" s="351" t="b" cm="1">
        <f t="array" ref="T33">T32</f>
        <v>0</v>
      </c>
      <c r="X33" s="1046"/>
      <c r="Z33" s="1047"/>
      <c r="AB33" s="7" t="s">
        <v>949</v>
      </c>
      <c r="AC33" s="127" t="s">
        <v>950</v>
      </c>
      <c r="AD33" s="8" t="s">
        <v>859</v>
      </c>
      <c r="AE33" s="777"/>
      <c r="AF33" s="777"/>
      <c r="AG33" s="777"/>
      <c r="AH33" s="777"/>
      <c r="AI33" s="128"/>
      <c r="AJ33" s="128"/>
      <c r="AK33" s="128"/>
      <c r="AL33" s="777"/>
      <c r="AM33" s="777"/>
      <c r="AN33" s="777"/>
      <c r="AO33" s="777"/>
      <c r="AP33" s="777"/>
      <c r="AQ33" s="777"/>
      <c r="AR33" s="777"/>
      <c r="AS33" s="128"/>
      <c r="AT33" s="128"/>
      <c r="AU33" s="128"/>
      <c r="AV33" s="777"/>
      <c r="AW33" s="777"/>
      <c r="AX33" s="777"/>
      <c r="AY33" s="777"/>
      <c r="AZ33" s="777"/>
      <c r="BA33" s="777"/>
      <c r="BB33" s="777"/>
      <c r="BC33" s="823"/>
      <c r="BF33" s="678" t="s">
        <v>951</v>
      </c>
    </row>
    <row r="34" spans="2:58" s="63" customFormat="1" ht="14.65" hidden="1" customHeight="1">
      <c r="B34" s="327"/>
      <c r="E34" s="447">
        <v>15</v>
      </c>
      <c r="F34" s="3" cm="1">
        <f t="array" aca="1" ref="F34" ca="1">OFFSET(E34,-1,1)</f>
        <v>0</v>
      </c>
      <c r="G34" s="22" t="s">
        <v>322</v>
      </c>
      <c r="T34" s="351" t="b" cm="1">
        <f t="array" ref="T34">T33</f>
        <v>0</v>
      </c>
      <c r="X34" s="1046"/>
      <c r="Z34" s="1047"/>
      <c r="AB34" s="124">
        <v>2</v>
      </c>
      <c r="AC34" s="125" t="s">
        <v>952</v>
      </c>
      <c r="AD34" s="8" t="s">
        <v>859</v>
      </c>
      <c r="AE34" s="773">
        <f t="shared" ref="AE34:BB34" si="2">SUM(AE35:AE39)</f>
        <v>0</v>
      </c>
      <c r="AF34" s="773">
        <f t="shared" si="2"/>
        <v>0</v>
      </c>
      <c r="AG34" s="773">
        <f t="shared" si="2"/>
        <v>0</v>
      </c>
      <c r="AH34" s="773">
        <f t="shared" si="2"/>
        <v>0</v>
      </c>
      <c r="AI34" s="138">
        <f t="shared" si="2"/>
        <v>0</v>
      </c>
      <c r="AJ34" s="138">
        <f t="shared" si="2"/>
        <v>0</v>
      </c>
      <c r="AK34" s="138">
        <f t="shared" si="2"/>
        <v>0</v>
      </c>
      <c r="AL34" s="773">
        <f t="shared" si="2"/>
        <v>0</v>
      </c>
      <c r="AM34" s="773">
        <f t="shared" si="2"/>
        <v>0</v>
      </c>
      <c r="AN34" s="773">
        <f t="shared" si="2"/>
        <v>0</v>
      </c>
      <c r="AO34" s="773">
        <f t="shared" si="2"/>
        <v>0</v>
      </c>
      <c r="AP34" s="773">
        <f t="shared" si="2"/>
        <v>0</v>
      </c>
      <c r="AQ34" s="773">
        <f t="shared" si="2"/>
        <v>0</v>
      </c>
      <c r="AR34" s="773">
        <f t="shared" si="2"/>
        <v>0</v>
      </c>
      <c r="AS34" s="138">
        <f t="shared" si="2"/>
        <v>0</v>
      </c>
      <c r="AT34" s="138">
        <f t="shared" si="2"/>
        <v>0</v>
      </c>
      <c r="AU34" s="138">
        <f t="shared" si="2"/>
        <v>0</v>
      </c>
      <c r="AV34" s="773">
        <f t="shared" si="2"/>
        <v>0</v>
      </c>
      <c r="AW34" s="773">
        <f t="shared" si="2"/>
        <v>0</v>
      </c>
      <c r="AX34" s="773">
        <f t="shared" si="2"/>
        <v>0</v>
      </c>
      <c r="AY34" s="773">
        <f t="shared" si="2"/>
        <v>0</v>
      </c>
      <c r="AZ34" s="773">
        <f t="shared" si="2"/>
        <v>0</v>
      </c>
      <c r="BA34" s="773">
        <f t="shared" si="2"/>
        <v>0</v>
      </c>
      <c r="BB34" s="773">
        <f t="shared" si="2"/>
        <v>0</v>
      </c>
      <c r="BC34" s="823"/>
      <c r="BF34" s="678" t="s">
        <v>953</v>
      </c>
    </row>
    <row r="35" spans="2:58" ht="14.65" hidden="1" customHeight="1">
      <c r="E35" s="447">
        <v>15</v>
      </c>
      <c r="F35" s="3" cm="1">
        <f t="array" aca="1" ref="F35" ca="1">OFFSET(E35,-1,1)</f>
        <v>0</v>
      </c>
      <c r="G35" s="22" t="s">
        <v>525</v>
      </c>
      <c r="T35" s="351" t="b" cm="1">
        <f t="array" ref="T35">T34</f>
        <v>0</v>
      </c>
      <c r="X35" s="1046"/>
      <c r="Z35" s="1047"/>
      <c r="AB35" s="7" t="s">
        <v>588</v>
      </c>
      <c r="AC35" s="127" t="s">
        <v>937</v>
      </c>
      <c r="AD35" s="8" t="s">
        <v>859</v>
      </c>
      <c r="AE35" s="777"/>
      <c r="AF35" s="777"/>
      <c r="AG35" s="777"/>
      <c r="AH35" s="777"/>
      <c r="AI35" s="128"/>
      <c r="AJ35" s="128"/>
      <c r="AK35" s="128"/>
      <c r="AL35" s="777"/>
      <c r="AM35" s="777"/>
      <c r="AN35" s="777"/>
      <c r="AO35" s="777"/>
      <c r="AP35" s="777"/>
      <c r="AQ35" s="777"/>
      <c r="AR35" s="777"/>
      <c r="AS35" s="128"/>
      <c r="AT35" s="128"/>
      <c r="AU35" s="128"/>
      <c r="AV35" s="777"/>
      <c r="AW35" s="777"/>
      <c r="AX35" s="777"/>
      <c r="AY35" s="777"/>
      <c r="AZ35" s="777"/>
      <c r="BA35" s="777"/>
      <c r="BB35" s="777"/>
      <c r="BC35" s="823"/>
      <c r="BF35" s="678" t="s">
        <v>954</v>
      </c>
    </row>
    <row r="36" spans="2:58" ht="14.65" hidden="1" customHeight="1">
      <c r="E36" s="447">
        <v>15</v>
      </c>
      <c r="F36" s="3" cm="1">
        <f t="array" aca="1" ref="F36" ca="1">OFFSET(E36,-1,1)</f>
        <v>0</v>
      </c>
      <c r="G36" s="22" t="s">
        <v>528</v>
      </c>
      <c r="T36" s="351" t="b" cm="1">
        <f t="array" ref="T36">T35</f>
        <v>0</v>
      </c>
      <c r="X36" s="1046"/>
      <c r="Z36" s="1047"/>
      <c r="AB36" s="7" t="s">
        <v>592</v>
      </c>
      <c r="AC36" s="127" t="s">
        <v>940</v>
      </c>
      <c r="AD36" s="8" t="s">
        <v>859</v>
      </c>
      <c r="AE36" s="777"/>
      <c r="AF36" s="777"/>
      <c r="AG36" s="777"/>
      <c r="AH36" s="777"/>
      <c r="AI36" s="128"/>
      <c r="AJ36" s="128"/>
      <c r="AK36" s="128"/>
      <c r="AL36" s="777"/>
      <c r="AM36" s="777"/>
      <c r="AN36" s="777"/>
      <c r="AO36" s="777"/>
      <c r="AP36" s="777"/>
      <c r="AQ36" s="777"/>
      <c r="AR36" s="777"/>
      <c r="AS36" s="128"/>
      <c r="AT36" s="128"/>
      <c r="AU36" s="128"/>
      <c r="AV36" s="777"/>
      <c r="AW36" s="777"/>
      <c r="AX36" s="777"/>
      <c r="AY36" s="777"/>
      <c r="AZ36" s="777"/>
      <c r="BA36" s="777"/>
      <c r="BB36" s="777"/>
      <c r="BC36" s="823"/>
      <c r="BF36" s="678" t="s">
        <v>955</v>
      </c>
    </row>
    <row r="37" spans="2:58" ht="14.65" hidden="1" customHeight="1">
      <c r="E37" s="447">
        <v>15</v>
      </c>
      <c r="F37" s="3" cm="1">
        <f t="array" aca="1" ref="F37" ca="1">OFFSET(E37,-1,1)</f>
        <v>0</v>
      </c>
      <c r="G37" s="22" t="s">
        <v>956</v>
      </c>
      <c r="T37" s="351" t="b" cm="1">
        <f t="array" ref="T37">T36</f>
        <v>0</v>
      </c>
      <c r="X37" s="1046"/>
      <c r="Z37" s="1047"/>
      <c r="AB37" s="7" t="s">
        <v>596</v>
      </c>
      <c r="AC37" s="127" t="s">
        <v>943</v>
      </c>
      <c r="AD37" s="8" t="s">
        <v>859</v>
      </c>
      <c r="AE37" s="777"/>
      <c r="AF37" s="777"/>
      <c r="AG37" s="777"/>
      <c r="AH37" s="777"/>
      <c r="AI37" s="128"/>
      <c r="AJ37" s="128"/>
      <c r="AK37" s="128"/>
      <c r="AL37" s="777"/>
      <c r="AM37" s="777"/>
      <c r="AN37" s="777"/>
      <c r="AO37" s="777"/>
      <c r="AP37" s="777"/>
      <c r="AQ37" s="777"/>
      <c r="AR37" s="777"/>
      <c r="AS37" s="128"/>
      <c r="AT37" s="128"/>
      <c r="AU37" s="128"/>
      <c r="AV37" s="777"/>
      <c r="AW37" s="777"/>
      <c r="AX37" s="777"/>
      <c r="AY37" s="777"/>
      <c r="AZ37" s="777"/>
      <c r="BA37" s="777"/>
      <c r="BB37" s="777"/>
      <c r="BC37" s="823"/>
      <c r="BF37" s="678" t="s">
        <v>957</v>
      </c>
    </row>
    <row r="38" spans="2:58" ht="14.65" hidden="1" customHeight="1">
      <c r="E38" s="447">
        <v>15</v>
      </c>
      <c r="F38" s="3" cm="1">
        <f t="array" aca="1" ref="F38" ca="1">OFFSET(E38,-1,1)</f>
        <v>0</v>
      </c>
      <c r="G38" s="22" t="s">
        <v>958</v>
      </c>
      <c r="T38" s="351" t="b" cm="1">
        <f t="array" ref="T38">T37</f>
        <v>0</v>
      </c>
      <c r="X38" s="1046"/>
      <c r="Z38" s="1047"/>
      <c r="AB38" s="7" t="s">
        <v>959</v>
      </c>
      <c r="AC38" s="127" t="s">
        <v>946</v>
      </c>
      <c r="AD38" s="8" t="s">
        <v>859</v>
      </c>
      <c r="AE38" s="777"/>
      <c r="AF38" s="777"/>
      <c r="AG38" s="777"/>
      <c r="AH38" s="777"/>
      <c r="AI38" s="128"/>
      <c r="AJ38" s="128"/>
      <c r="AK38" s="128"/>
      <c r="AL38" s="777"/>
      <c r="AM38" s="777"/>
      <c r="AN38" s="777"/>
      <c r="AO38" s="777"/>
      <c r="AP38" s="777"/>
      <c r="AQ38" s="777"/>
      <c r="AR38" s="777"/>
      <c r="AS38" s="128"/>
      <c r="AT38" s="128"/>
      <c r="AU38" s="128"/>
      <c r="AV38" s="777"/>
      <c r="AW38" s="777"/>
      <c r="AX38" s="777"/>
      <c r="AY38" s="777"/>
      <c r="AZ38" s="777"/>
      <c r="BA38" s="777"/>
      <c r="BB38" s="777"/>
      <c r="BC38" s="823"/>
      <c r="BF38" s="678" t="s">
        <v>960</v>
      </c>
    </row>
    <row r="39" spans="2:58" ht="14.65" hidden="1" customHeight="1">
      <c r="E39" s="447">
        <v>15</v>
      </c>
      <c r="F39" s="3" cm="1">
        <f t="array" aca="1" ref="F39" ca="1">OFFSET(E39,-1,1)</f>
        <v>0</v>
      </c>
      <c r="G39" s="22" t="s">
        <v>961</v>
      </c>
      <c r="T39" s="351" t="b" cm="1">
        <f t="array" ref="T39">T38</f>
        <v>0</v>
      </c>
      <c r="X39" s="1046"/>
      <c r="Z39" s="1047"/>
      <c r="AB39" s="7" t="s">
        <v>962</v>
      </c>
      <c r="AC39" s="127" t="s">
        <v>950</v>
      </c>
      <c r="AD39" s="8" t="s">
        <v>859</v>
      </c>
      <c r="AE39" s="777"/>
      <c r="AF39" s="777"/>
      <c r="AG39" s="777"/>
      <c r="AH39" s="777"/>
      <c r="AI39" s="128"/>
      <c r="AJ39" s="128"/>
      <c r="AK39" s="128"/>
      <c r="AL39" s="777"/>
      <c r="AM39" s="777"/>
      <c r="AN39" s="777"/>
      <c r="AO39" s="777"/>
      <c r="AP39" s="777"/>
      <c r="AQ39" s="777"/>
      <c r="AR39" s="777"/>
      <c r="AS39" s="128"/>
      <c r="AT39" s="128"/>
      <c r="AU39" s="128"/>
      <c r="AV39" s="777"/>
      <c r="AW39" s="777"/>
      <c r="AX39" s="777"/>
      <c r="AY39" s="777"/>
      <c r="AZ39" s="777"/>
      <c r="BA39" s="777"/>
      <c r="BB39" s="777"/>
      <c r="BC39" s="823"/>
      <c r="BF39" s="678" t="s">
        <v>963</v>
      </c>
    </row>
    <row r="40" spans="2:58" s="63" customFormat="1" ht="14.65" hidden="1" customHeight="1">
      <c r="B40" s="327"/>
      <c r="E40" s="447">
        <v>15</v>
      </c>
      <c r="F40" s="3" cm="1">
        <f t="array" aca="1" ref="F40" ca="1">OFFSET(E40,-1,1)</f>
        <v>0</v>
      </c>
      <c r="G40" s="22" t="s">
        <v>323</v>
      </c>
      <c r="T40" s="351" t="b" cm="1">
        <f t="array" ref="T40">T39</f>
        <v>0</v>
      </c>
      <c r="X40" s="1046"/>
      <c r="Z40" s="1047"/>
      <c r="AB40" s="124">
        <v>3</v>
      </c>
      <c r="AC40" s="125" t="s">
        <v>964</v>
      </c>
      <c r="AD40" s="8" t="s">
        <v>859</v>
      </c>
      <c r="AE40" s="773">
        <f t="shared" ref="AE40:BB40" si="3">SUM(AE41:AE45)</f>
        <v>0</v>
      </c>
      <c r="AF40" s="773">
        <f t="shared" si="3"/>
        <v>0</v>
      </c>
      <c r="AG40" s="773">
        <f t="shared" si="3"/>
        <v>0</v>
      </c>
      <c r="AH40" s="773">
        <f t="shared" si="3"/>
        <v>0</v>
      </c>
      <c r="AI40" s="138">
        <f t="shared" si="3"/>
        <v>0</v>
      </c>
      <c r="AJ40" s="138">
        <f t="shared" si="3"/>
        <v>0</v>
      </c>
      <c r="AK40" s="138">
        <f t="shared" si="3"/>
        <v>0</v>
      </c>
      <c r="AL40" s="773">
        <f t="shared" si="3"/>
        <v>0</v>
      </c>
      <c r="AM40" s="773">
        <f t="shared" si="3"/>
        <v>0</v>
      </c>
      <c r="AN40" s="773">
        <f t="shared" si="3"/>
        <v>0</v>
      </c>
      <c r="AO40" s="773">
        <f t="shared" si="3"/>
        <v>0</v>
      </c>
      <c r="AP40" s="773">
        <f t="shared" si="3"/>
        <v>0</v>
      </c>
      <c r="AQ40" s="773">
        <f t="shared" si="3"/>
        <v>0</v>
      </c>
      <c r="AR40" s="773">
        <f t="shared" si="3"/>
        <v>0</v>
      </c>
      <c r="AS40" s="138">
        <f t="shared" si="3"/>
        <v>0</v>
      </c>
      <c r="AT40" s="138">
        <f t="shared" si="3"/>
        <v>0</v>
      </c>
      <c r="AU40" s="138">
        <f t="shared" si="3"/>
        <v>0</v>
      </c>
      <c r="AV40" s="773">
        <f t="shared" si="3"/>
        <v>0</v>
      </c>
      <c r="AW40" s="773">
        <f t="shared" si="3"/>
        <v>0</v>
      </c>
      <c r="AX40" s="773">
        <f t="shared" si="3"/>
        <v>0</v>
      </c>
      <c r="AY40" s="773">
        <f t="shared" si="3"/>
        <v>0</v>
      </c>
      <c r="AZ40" s="773">
        <f t="shared" si="3"/>
        <v>0</v>
      </c>
      <c r="BA40" s="773">
        <f t="shared" si="3"/>
        <v>0</v>
      </c>
      <c r="BB40" s="773">
        <f t="shared" si="3"/>
        <v>0</v>
      </c>
      <c r="BC40" s="823"/>
      <c r="BF40" s="678" t="s">
        <v>965</v>
      </c>
    </row>
    <row r="41" spans="2:58" ht="14.65" hidden="1" customHeight="1">
      <c r="E41" s="447">
        <v>15</v>
      </c>
      <c r="F41" s="3" cm="1">
        <f t="array" aca="1" ref="F41" ca="1">OFFSET(E41,-1,1)</f>
        <v>0</v>
      </c>
      <c r="G41" s="22" t="s">
        <v>966</v>
      </c>
      <c r="T41" s="351" t="b" cm="1">
        <f t="array" ref="T41">T40</f>
        <v>0</v>
      </c>
      <c r="X41" s="1046"/>
      <c r="Z41" s="1047"/>
      <c r="AB41" s="7" t="s">
        <v>602</v>
      </c>
      <c r="AC41" s="127" t="s">
        <v>937</v>
      </c>
      <c r="AD41" s="8" t="s">
        <v>859</v>
      </c>
      <c r="AE41" s="777"/>
      <c r="AF41" s="777"/>
      <c r="AG41" s="777"/>
      <c r="AH41" s="777"/>
      <c r="AI41" s="128"/>
      <c r="AJ41" s="128"/>
      <c r="AK41" s="128"/>
      <c r="AL41" s="777"/>
      <c r="AM41" s="777"/>
      <c r="AN41" s="777"/>
      <c r="AO41" s="777"/>
      <c r="AP41" s="777"/>
      <c r="AQ41" s="777"/>
      <c r="AR41" s="777"/>
      <c r="AS41" s="128"/>
      <c r="AT41" s="128"/>
      <c r="AU41" s="128"/>
      <c r="AV41" s="777"/>
      <c r="AW41" s="777"/>
      <c r="AX41" s="777"/>
      <c r="AY41" s="777"/>
      <c r="AZ41" s="777"/>
      <c r="BA41" s="777"/>
      <c r="BB41" s="777"/>
      <c r="BC41" s="823"/>
      <c r="BF41" s="678" t="s">
        <v>967</v>
      </c>
    </row>
    <row r="42" spans="2:58" ht="14.65" hidden="1" customHeight="1">
      <c r="E42" s="447">
        <v>15</v>
      </c>
      <c r="F42" s="3" cm="1">
        <f t="array" aca="1" ref="F42" ca="1">OFFSET(E42,-1,1)</f>
        <v>0</v>
      </c>
      <c r="G42" s="22" t="s">
        <v>968</v>
      </c>
      <c r="T42" s="351" t="b" cm="1">
        <f t="array" ref="T42">T41</f>
        <v>0</v>
      </c>
      <c r="X42" s="1046"/>
      <c r="Z42" s="1047"/>
      <c r="AB42" s="7" t="s">
        <v>606</v>
      </c>
      <c r="AC42" s="127" t="s">
        <v>940</v>
      </c>
      <c r="AD42" s="8" t="s">
        <v>859</v>
      </c>
      <c r="AE42" s="777"/>
      <c r="AF42" s="777"/>
      <c r="AG42" s="777"/>
      <c r="AH42" s="777"/>
      <c r="AI42" s="128"/>
      <c r="AJ42" s="128"/>
      <c r="AK42" s="128"/>
      <c r="AL42" s="777"/>
      <c r="AM42" s="777"/>
      <c r="AN42" s="777"/>
      <c r="AO42" s="777"/>
      <c r="AP42" s="777"/>
      <c r="AQ42" s="777"/>
      <c r="AR42" s="777"/>
      <c r="AS42" s="128"/>
      <c r="AT42" s="128"/>
      <c r="AU42" s="128"/>
      <c r="AV42" s="777"/>
      <c r="AW42" s="777"/>
      <c r="AX42" s="777"/>
      <c r="AY42" s="777"/>
      <c r="AZ42" s="777"/>
      <c r="BA42" s="777"/>
      <c r="BB42" s="777"/>
      <c r="BC42" s="823"/>
      <c r="BF42" s="678" t="s">
        <v>969</v>
      </c>
    </row>
    <row r="43" spans="2:58" ht="14.65" hidden="1" customHeight="1">
      <c r="E43" s="447">
        <v>15</v>
      </c>
      <c r="F43" s="3" cm="1">
        <f t="array" aca="1" ref="F43" ca="1">OFFSET(E43,-1,1)</f>
        <v>0</v>
      </c>
      <c r="G43" s="22" t="s">
        <v>970</v>
      </c>
      <c r="T43" s="351" t="b" cm="1">
        <f t="array" ref="T43">T42</f>
        <v>0</v>
      </c>
      <c r="X43" s="1046"/>
      <c r="Z43" s="1047"/>
      <c r="AB43" s="7" t="s">
        <v>818</v>
      </c>
      <c r="AC43" s="127" t="s">
        <v>943</v>
      </c>
      <c r="AD43" s="8" t="s">
        <v>859</v>
      </c>
      <c r="AE43" s="777"/>
      <c r="AF43" s="777"/>
      <c r="AG43" s="777"/>
      <c r="AH43" s="777"/>
      <c r="AI43" s="128"/>
      <c r="AJ43" s="128"/>
      <c r="AK43" s="128"/>
      <c r="AL43" s="777"/>
      <c r="AM43" s="777"/>
      <c r="AN43" s="777"/>
      <c r="AO43" s="777"/>
      <c r="AP43" s="777"/>
      <c r="AQ43" s="777"/>
      <c r="AR43" s="777"/>
      <c r="AS43" s="128"/>
      <c r="AT43" s="128"/>
      <c r="AU43" s="128"/>
      <c r="AV43" s="777"/>
      <c r="AW43" s="777"/>
      <c r="AX43" s="777"/>
      <c r="AY43" s="777"/>
      <c r="AZ43" s="777"/>
      <c r="BA43" s="777"/>
      <c r="BB43" s="777"/>
      <c r="BC43" s="823"/>
      <c r="BF43" s="678" t="s">
        <v>971</v>
      </c>
    </row>
    <row r="44" spans="2:58" ht="14.65" hidden="1" customHeight="1">
      <c r="E44" s="447">
        <v>15</v>
      </c>
      <c r="F44" s="3" cm="1">
        <f t="array" aca="1" ref="F44" ca="1">OFFSET(E44,-1,1)</f>
        <v>0</v>
      </c>
      <c r="G44" s="22" t="s">
        <v>972</v>
      </c>
      <c r="T44" s="351" t="b" cm="1">
        <f t="array" ref="T44">T43</f>
        <v>0</v>
      </c>
      <c r="X44" s="1046"/>
      <c r="Z44" s="1047"/>
      <c r="AB44" s="7" t="s">
        <v>973</v>
      </c>
      <c r="AC44" s="127" t="s">
        <v>946</v>
      </c>
      <c r="AD44" s="8" t="s">
        <v>859</v>
      </c>
      <c r="AE44" s="777"/>
      <c r="AF44" s="777"/>
      <c r="AG44" s="777"/>
      <c r="AH44" s="777"/>
      <c r="AI44" s="128"/>
      <c r="AJ44" s="128"/>
      <c r="AK44" s="128"/>
      <c r="AL44" s="777"/>
      <c r="AM44" s="777"/>
      <c r="AN44" s="777"/>
      <c r="AO44" s="777"/>
      <c r="AP44" s="777"/>
      <c r="AQ44" s="777"/>
      <c r="AR44" s="777"/>
      <c r="AS44" s="128"/>
      <c r="AT44" s="128"/>
      <c r="AU44" s="128"/>
      <c r="AV44" s="777"/>
      <c r="AW44" s="777"/>
      <c r="AX44" s="777"/>
      <c r="AY44" s="777"/>
      <c r="AZ44" s="777"/>
      <c r="BA44" s="777"/>
      <c r="BB44" s="777"/>
      <c r="BC44" s="823"/>
      <c r="BF44" s="678" t="s">
        <v>974</v>
      </c>
    </row>
    <row r="45" spans="2:58" ht="14.65" hidden="1" customHeight="1">
      <c r="E45" s="447">
        <v>15</v>
      </c>
      <c r="F45" s="3" cm="1">
        <f t="array" aca="1" ref="F45" ca="1">OFFSET(E45,-1,1)</f>
        <v>0</v>
      </c>
      <c r="G45" s="22" t="s">
        <v>975</v>
      </c>
      <c r="T45" s="351" t="b" cm="1">
        <f t="array" ref="T45">T44</f>
        <v>0</v>
      </c>
      <c r="X45" s="1046"/>
      <c r="Z45" s="1047"/>
      <c r="AB45" s="7" t="s">
        <v>976</v>
      </c>
      <c r="AC45" s="127" t="s">
        <v>950</v>
      </c>
      <c r="AD45" s="8" t="s">
        <v>859</v>
      </c>
      <c r="AE45" s="777"/>
      <c r="AF45" s="777"/>
      <c r="AG45" s="777"/>
      <c r="AH45" s="777"/>
      <c r="AI45" s="128"/>
      <c r="AJ45" s="128"/>
      <c r="AK45" s="128"/>
      <c r="AL45" s="777"/>
      <c r="AM45" s="777"/>
      <c r="AN45" s="777"/>
      <c r="AO45" s="777"/>
      <c r="AP45" s="777"/>
      <c r="AQ45" s="777"/>
      <c r="AR45" s="777"/>
      <c r="AS45" s="128"/>
      <c r="AT45" s="128"/>
      <c r="AU45" s="128"/>
      <c r="AV45" s="777"/>
      <c r="AW45" s="777"/>
      <c r="AX45" s="777"/>
      <c r="AY45" s="777"/>
      <c r="AZ45" s="777"/>
      <c r="BA45" s="777"/>
      <c r="BB45" s="777"/>
      <c r="BC45" s="823"/>
      <c r="BF45" s="678" t="s">
        <v>977</v>
      </c>
    </row>
    <row r="46" spans="2:58" s="63" customFormat="1" ht="21.95" hidden="1" customHeight="1">
      <c r="B46" s="327"/>
      <c r="E46" s="486">
        <v>22.5</v>
      </c>
      <c r="F46" s="3" cm="1">
        <f t="array" aca="1" ref="F46" ca="1">OFFSET(E46,-1,1)</f>
        <v>0</v>
      </c>
      <c r="G46" s="22" t="s">
        <v>325</v>
      </c>
      <c r="T46" s="351" t="b" cm="1">
        <f t="array" ref="T46">T45</f>
        <v>0</v>
      </c>
      <c r="X46" s="1046"/>
      <c r="Z46" s="1047"/>
      <c r="AB46" s="124">
        <v>4</v>
      </c>
      <c r="AC46" s="125" t="s">
        <v>978</v>
      </c>
      <c r="AD46" s="8" t="s">
        <v>859</v>
      </c>
      <c r="AE46" s="773">
        <f t="shared" ref="AE46:BB46" si="4">SUM(AE47:AE51)</f>
        <v>0</v>
      </c>
      <c r="AF46" s="773">
        <f t="shared" si="4"/>
        <v>0</v>
      </c>
      <c r="AG46" s="773">
        <f t="shared" si="4"/>
        <v>0</v>
      </c>
      <c r="AH46" s="773">
        <f t="shared" si="4"/>
        <v>0</v>
      </c>
      <c r="AI46" s="138">
        <f t="shared" si="4"/>
        <v>0</v>
      </c>
      <c r="AJ46" s="138">
        <f t="shared" si="4"/>
        <v>0</v>
      </c>
      <c r="AK46" s="138">
        <f t="shared" si="4"/>
        <v>0</v>
      </c>
      <c r="AL46" s="773">
        <f t="shared" si="4"/>
        <v>0</v>
      </c>
      <c r="AM46" s="773">
        <f t="shared" si="4"/>
        <v>0</v>
      </c>
      <c r="AN46" s="773">
        <f t="shared" si="4"/>
        <v>0</v>
      </c>
      <c r="AO46" s="773">
        <f t="shared" si="4"/>
        <v>0</v>
      </c>
      <c r="AP46" s="773">
        <f t="shared" si="4"/>
        <v>0</v>
      </c>
      <c r="AQ46" s="773">
        <f t="shared" si="4"/>
        <v>0</v>
      </c>
      <c r="AR46" s="773">
        <f t="shared" si="4"/>
        <v>0</v>
      </c>
      <c r="AS46" s="138">
        <f t="shared" si="4"/>
        <v>0</v>
      </c>
      <c r="AT46" s="138">
        <f t="shared" si="4"/>
        <v>0</v>
      </c>
      <c r="AU46" s="138">
        <f t="shared" si="4"/>
        <v>0</v>
      </c>
      <c r="AV46" s="773">
        <f t="shared" si="4"/>
        <v>0</v>
      </c>
      <c r="AW46" s="773">
        <f t="shared" si="4"/>
        <v>0</v>
      </c>
      <c r="AX46" s="773">
        <f t="shared" si="4"/>
        <v>0</v>
      </c>
      <c r="AY46" s="773">
        <f t="shared" si="4"/>
        <v>0</v>
      </c>
      <c r="AZ46" s="773">
        <f t="shared" si="4"/>
        <v>0</v>
      </c>
      <c r="BA46" s="773">
        <f t="shared" si="4"/>
        <v>0</v>
      </c>
      <c r="BB46" s="773">
        <f t="shared" si="4"/>
        <v>0</v>
      </c>
      <c r="BC46" s="823"/>
      <c r="BF46" s="678" t="s">
        <v>979</v>
      </c>
    </row>
    <row r="47" spans="2:58" ht="14.65" hidden="1" customHeight="1">
      <c r="E47" s="447">
        <v>15</v>
      </c>
      <c r="F47" s="3" cm="1">
        <f t="array" aca="1" ref="F47" ca="1">OFFSET(E47,-1,1)</f>
        <v>0</v>
      </c>
      <c r="G47" s="22" t="s">
        <v>587</v>
      </c>
      <c r="T47" s="351" t="b" cm="1">
        <f t="array" ref="T47">T46</f>
        <v>0</v>
      </c>
      <c r="X47" s="1046"/>
      <c r="Z47" s="1047"/>
      <c r="AB47" s="7" t="s">
        <v>722</v>
      </c>
      <c r="AC47" s="127" t="s">
        <v>937</v>
      </c>
      <c r="AD47" s="8" t="s">
        <v>859</v>
      </c>
      <c r="AE47" s="777">
        <f t="shared" ref="AE47:BB47" si="5">AE29+AE35-AE41</f>
        <v>0</v>
      </c>
      <c r="AF47" s="777">
        <f t="shared" si="5"/>
        <v>0</v>
      </c>
      <c r="AG47" s="777">
        <f t="shared" si="5"/>
        <v>0</v>
      </c>
      <c r="AH47" s="777">
        <f t="shared" si="5"/>
        <v>0</v>
      </c>
      <c r="AI47" s="128">
        <f t="shared" si="5"/>
        <v>0</v>
      </c>
      <c r="AJ47" s="128">
        <f t="shared" si="5"/>
        <v>0</v>
      </c>
      <c r="AK47" s="128">
        <f t="shared" si="5"/>
        <v>0</v>
      </c>
      <c r="AL47" s="777">
        <f t="shared" si="5"/>
        <v>0</v>
      </c>
      <c r="AM47" s="777">
        <f t="shared" si="5"/>
        <v>0</v>
      </c>
      <c r="AN47" s="777">
        <f t="shared" si="5"/>
        <v>0</v>
      </c>
      <c r="AO47" s="777">
        <f t="shared" si="5"/>
        <v>0</v>
      </c>
      <c r="AP47" s="777">
        <f t="shared" si="5"/>
        <v>0</v>
      </c>
      <c r="AQ47" s="777">
        <f t="shared" si="5"/>
        <v>0</v>
      </c>
      <c r="AR47" s="777">
        <f t="shared" si="5"/>
        <v>0</v>
      </c>
      <c r="AS47" s="128">
        <f t="shared" si="5"/>
        <v>0</v>
      </c>
      <c r="AT47" s="128">
        <f t="shared" si="5"/>
        <v>0</v>
      </c>
      <c r="AU47" s="128">
        <f t="shared" si="5"/>
        <v>0</v>
      </c>
      <c r="AV47" s="777">
        <f t="shared" si="5"/>
        <v>0</v>
      </c>
      <c r="AW47" s="777">
        <f t="shared" si="5"/>
        <v>0</v>
      </c>
      <c r="AX47" s="777">
        <f t="shared" si="5"/>
        <v>0</v>
      </c>
      <c r="AY47" s="777">
        <f t="shared" si="5"/>
        <v>0</v>
      </c>
      <c r="AZ47" s="777">
        <f t="shared" si="5"/>
        <v>0</v>
      </c>
      <c r="BA47" s="777">
        <f t="shared" si="5"/>
        <v>0</v>
      </c>
      <c r="BB47" s="777">
        <f t="shared" si="5"/>
        <v>0</v>
      </c>
      <c r="BC47" s="823"/>
      <c r="BF47" s="678" t="s">
        <v>980</v>
      </c>
    </row>
    <row r="48" spans="2:58" ht="14.65" hidden="1" customHeight="1">
      <c r="E48" s="447">
        <v>15</v>
      </c>
      <c r="F48" s="3" cm="1">
        <f t="array" aca="1" ref="F48" ca="1">OFFSET(E48,-1,1)</f>
        <v>0</v>
      </c>
      <c r="G48" s="22" t="s">
        <v>591</v>
      </c>
      <c r="T48" s="351" t="b" cm="1">
        <f t="array" ref="T48">T47</f>
        <v>0</v>
      </c>
      <c r="X48" s="1046"/>
      <c r="Z48" s="1047"/>
      <c r="AB48" s="7" t="s">
        <v>725</v>
      </c>
      <c r="AC48" s="127" t="s">
        <v>940</v>
      </c>
      <c r="AD48" s="8" t="s">
        <v>859</v>
      </c>
      <c r="AE48" s="777">
        <f t="shared" ref="AE48:BB48" si="6">AE30+AE36-AE42</f>
        <v>0</v>
      </c>
      <c r="AF48" s="777">
        <f t="shared" si="6"/>
        <v>0</v>
      </c>
      <c r="AG48" s="777">
        <f t="shared" si="6"/>
        <v>0</v>
      </c>
      <c r="AH48" s="777">
        <f t="shared" si="6"/>
        <v>0</v>
      </c>
      <c r="AI48" s="128">
        <f t="shared" si="6"/>
        <v>0</v>
      </c>
      <c r="AJ48" s="128">
        <f t="shared" si="6"/>
        <v>0</v>
      </c>
      <c r="AK48" s="128">
        <f t="shared" si="6"/>
        <v>0</v>
      </c>
      <c r="AL48" s="777">
        <f t="shared" si="6"/>
        <v>0</v>
      </c>
      <c r="AM48" s="777">
        <f t="shared" si="6"/>
        <v>0</v>
      </c>
      <c r="AN48" s="777">
        <f t="shared" si="6"/>
        <v>0</v>
      </c>
      <c r="AO48" s="777">
        <f t="shared" si="6"/>
        <v>0</v>
      </c>
      <c r="AP48" s="777">
        <f t="shared" si="6"/>
        <v>0</v>
      </c>
      <c r="AQ48" s="777">
        <f t="shared" si="6"/>
        <v>0</v>
      </c>
      <c r="AR48" s="777">
        <f t="shared" si="6"/>
        <v>0</v>
      </c>
      <c r="AS48" s="128">
        <f t="shared" si="6"/>
        <v>0</v>
      </c>
      <c r="AT48" s="128">
        <f t="shared" si="6"/>
        <v>0</v>
      </c>
      <c r="AU48" s="128">
        <f t="shared" si="6"/>
        <v>0</v>
      </c>
      <c r="AV48" s="777">
        <f t="shared" si="6"/>
        <v>0</v>
      </c>
      <c r="AW48" s="777">
        <f t="shared" si="6"/>
        <v>0</v>
      </c>
      <c r="AX48" s="777">
        <f t="shared" si="6"/>
        <v>0</v>
      </c>
      <c r="AY48" s="777">
        <f t="shared" si="6"/>
        <v>0</v>
      </c>
      <c r="AZ48" s="777">
        <f t="shared" si="6"/>
        <v>0</v>
      </c>
      <c r="BA48" s="777">
        <f t="shared" si="6"/>
        <v>0</v>
      </c>
      <c r="BB48" s="777">
        <f t="shared" si="6"/>
        <v>0</v>
      </c>
      <c r="BC48" s="823"/>
      <c r="BF48" s="678" t="s">
        <v>981</v>
      </c>
    </row>
    <row r="49" spans="2:58" ht="14.65" hidden="1" customHeight="1">
      <c r="E49" s="447">
        <v>15</v>
      </c>
      <c r="F49" s="3" cm="1">
        <f t="array" aca="1" ref="F49" ca="1">OFFSET(E49,-1,1)</f>
        <v>0</v>
      </c>
      <c r="G49" s="22" t="s">
        <v>595</v>
      </c>
      <c r="T49" s="351" t="b" cm="1">
        <f t="array" ref="T49">T48</f>
        <v>0</v>
      </c>
      <c r="X49" s="1046"/>
      <c r="Z49" s="1047"/>
      <c r="AB49" s="7" t="s">
        <v>759</v>
      </c>
      <c r="AC49" s="127" t="s">
        <v>943</v>
      </c>
      <c r="AD49" s="8" t="s">
        <v>859</v>
      </c>
      <c r="AE49" s="777">
        <f t="shared" ref="AE49:BB49" si="7">AE31+AE37-AE43</f>
        <v>0</v>
      </c>
      <c r="AF49" s="777">
        <f t="shared" si="7"/>
        <v>0</v>
      </c>
      <c r="AG49" s="777">
        <f t="shared" si="7"/>
        <v>0</v>
      </c>
      <c r="AH49" s="777">
        <f t="shared" si="7"/>
        <v>0</v>
      </c>
      <c r="AI49" s="128">
        <f t="shared" si="7"/>
        <v>0</v>
      </c>
      <c r="AJ49" s="128">
        <f t="shared" si="7"/>
        <v>0</v>
      </c>
      <c r="AK49" s="128">
        <f t="shared" si="7"/>
        <v>0</v>
      </c>
      <c r="AL49" s="777">
        <f t="shared" si="7"/>
        <v>0</v>
      </c>
      <c r="AM49" s="777">
        <f t="shared" si="7"/>
        <v>0</v>
      </c>
      <c r="AN49" s="777">
        <f t="shared" si="7"/>
        <v>0</v>
      </c>
      <c r="AO49" s="777">
        <f t="shared" si="7"/>
        <v>0</v>
      </c>
      <c r="AP49" s="777">
        <f t="shared" si="7"/>
        <v>0</v>
      </c>
      <c r="AQ49" s="777">
        <f t="shared" si="7"/>
        <v>0</v>
      </c>
      <c r="AR49" s="777">
        <f t="shared" si="7"/>
        <v>0</v>
      </c>
      <c r="AS49" s="128">
        <f t="shared" si="7"/>
        <v>0</v>
      </c>
      <c r="AT49" s="128">
        <f t="shared" si="7"/>
        <v>0</v>
      </c>
      <c r="AU49" s="128">
        <f t="shared" si="7"/>
        <v>0</v>
      </c>
      <c r="AV49" s="777">
        <f t="shared" si="7"/>
        <v>0</v>
      </c>
      <c r="AW49" s="777">
        <f t="shared" si="7"/>
        <v>0</v>
      </c>
      <c r="AX49" s="777">
        <f t="shared" si="7"/>
        <v>0</v>
      </c>
      <c r="AY49" s="777">
        <f t="shared" si="7"/>
        <v>0</v>
      </c>
      <c r="AZ49" s="777">
        <f t="shared" si="7"/>
        <v>0</v>
      </c>
      <c r="BA49" s="777">
        <f t="shared" si="7"/>
        <v>0</v>
      </c>
      <c r="BB49" s="777">
        <f t="shared" si="7"/>
        <v>0</v>
      </c>
      <c r="BC49" s="823"/>
      <c r="BF49" s="678" t="s">
        <v>982</v>
      </c>
    </row>
    <row r="50" spans="2:58" ht="14.65" hidden="1" customHeight="1">
      <c r="E50" s="447">
        <v>15</v>
      </c>
      <c r="F50" s="3" cm="1">
        <f t="array" aca="1" ref="F50" ca="1">OFFSET(E50,-1,1)</f>
        <v>0</v>
      </c>
      <c r="G50" s="22" t="s">
        <v>983</v>
      </c>
      <c r="T50" s="351" t="b" cm="1">
        <f t="array" ref="T50">T49</f>
        <v>0</v>
      </c>
      <c r="X50" s="1046"/>
      <c r="Z50" s="1047"/>
      <c r="AB50" s="7" t="s">
        <v>768</v>
      </c>
      <c r="AC50" s="127" t="s">
        <v>946</v>
      </c>
      <c r="AD50" s="8" t="s">
        <v>859</v>
      </c>
      <c r="AE50" s="777">
        <f t="shared" ref="AE50:BB50" si="8">AE32+AE38-AE44</f>
        <v>0</v>
      </c>
      <c r="AF50" s="777">
        <f t="shared" si="8"/>
        <v>0</v>
      </c>
      <c r="AG50" s="777">
        <f t="shared" si="8"/>
        <v>0</v>
      </c>
      <c r="AH50" s="777">
        <f t="shared" si="8"/>
        <v>0</v>
      </c>
      <c r="AI50" s="128">
        <f t="shared" si="8"/>
        <v>0</v>
      </c>
      <c r="AJ50" s="128">
        <f t="shared" si="8"/>
        <v>0</v>
      </c>
      <c r="AK50" s="128">
        <f t="shared" si="8"/>
        <v>0</v>
      </c>
      <c r="AL50" s="777">
        <f t="shared" si="8"/>
        <v>0</v>
      </c>
      <c r="AM50" s="777">
        <f t="shared" si="8"/>
        <v>0</v>
      </c>
      <c r="AN50" s="777">
        <f t="shared" si="8"/>
        <v>0</v>
      </c>
      <c r="AO50" s="777">
        <f t="shared" si="8"/>
        <v>0</v>
      </c>
      <c r="AP50" s="777">
        <f t="shared" si="8"/>
        <v>0</v>
      </c>
      <c r="AQ50" s="777">
        <f t="shared" si="8"/>
        <v>0</v>
      </c>
      <c r="AR50" s="777">
        <f t="shared" si="8"/>
        <v>0</v>
      </c>
      <c r="AS50" s="128">
        <f t="shared" si="8"/>
        <v>0</v>
      </c>
      <c r="AT50" s="128">
        <f t="shared" si="8"/>
        <v>0</v>
      </c>
      <c r="AU50" s="128">
        <f t="shared" si="8"/>
        <v>0</v>
      </c>
      <c r="AV50" s="777">
        <f t="shared" si="8"/>
        <v>0</v>
      </c>
      <c r="AW50" s="777">
        <f t="shared" si="8"/>
        <v>0</v>
      </c>
      <c r="AX50" s="777">
        <f t="shared" si="8"/>
        <v>0</v>
      </c>
      <c r="AY50" s="777">
        <f t="shared" si="8"/>
        <v>0</v>
      </c>
      <c r="AZ50" s="777">
        <f t="shared" si="8"/>
        <v>0</v>
      </c>
      <c r="BA50" s="777">
        <f t="shared" si="8"/>
        <v>0</v>
      </c>
      <c r="BB50" s="777">
        <f t="shared" si="8"/>
        <v>0</v>
      </c>
      <c r="BC50" s="823"/>
      <c r="BF50" s="678" t="s">
        <v>984</v>
      </c>
    </row>
    <row r="51" spans="2:58" ht="14.65" hidden="1" customHeight="1">
      <c r="E51" s="447">
        <v>15</v>
      </c>
      <c r="F51" s="3" cm="1">
        <f t="array" aca="1" ref="F51" ca="1">OFFSET(E51,-1,1)</f>
        <v>0</v>
      </c>
      <c r="G51" s="22" t="s">
        <v>985</v>
      </c>
      <c r="T51" s="351" t="b" cm="1">
        <f t="array" ref="T51">T50</f>
        <v>0</v>
      </c>
      <c r="X51" s="1046"/>
      <c r="Z51" s="1047"/>
      <c r="AB51" s="7" t="s">
        <v>778</v>
      </c>
      <c r="AC51" s="127" t="s">
        <v>950</v>
      </c>
      <c r="AD51" s="8" t="s">
        <v>859</v>
      </c>
      <c r="AE51" s="777">
        <f t="shared" ref="AE51:BB51" si="9">AE33+AE39-AE45</f>
        <v>0</v>
      </c>
      <c r="AF51" s="777">
        <f t="shared" si="9"/>
        <v>0</v>
      </c>
      <c r="AG51" s="777">
        <f t="shared" si="9"/>
        <v>0</v>
      </c>
      <c r="AH51" s="777">
        <f t="shared" si="9"/>
        <v>0</v>
      </c>
      <c r="AI51" s="128">
        <f t="shared" si="9"/>
        <v>0</v>
      </c>
      <c r="AJ51" s="128">
        <f t="shared" si="9"/>
        <v>0</v>
      </c>
      <c r="AK51" s="128">
        <f t="shared" si="9"/>
        <v>0</v>
      </c>
      <c r="AL51" s="777">
        <f t="shared" si="9"/>
        <v>0</v>
      </c>
      <c r="AM51" s="777">
        <f t="shared" si="9"/>
        <v>0</v>
      </c>
      <c r="AN51" s="777">
        <f t="shared" si="9"/>
        <v>0</v>
      </c>
      <c r="AO51" s="777">
        <f t="shared" si="9"/>
        <v>0</v>
      </c>
      <c r="AP51" s="777">
        <f t="shared" si="9"/>
        <v>0</v>
      </c>
      <c r="AQ51" s="777">
        <f t="shared" si="9"/>
        <v>0</v>
      </c>
      <c r="AR51" s="777">
        <f t="shared" si="9"/>
        <v>0</v>
      </c>
      <c r="AS51" s="128">
        <f t="shared" si="9"/>
        <v>0</v>
      </c>
      <c r="AT51" s="128">
        <f t="shared" si="9"/>
        <v>0</v>
      </c>
      <c r="AU51" s="128">
        <f t="shared" si="9"/>
        <v>0</v>
      </c>
      <c r="AV51" s="777">
        <f t="shared" si="9"/>
        <v>0</v>
      </c>
      <c r="AW51" s="777">
        <f t="shared" si="9"/>
        <v>0</v>
      </c>
      <c r="AX51" s="777">
        <f t="shared" si="9"/>
        <v>0</v>
      </c>
      <c r="AY51" s="777">
        <f t="shared" si="9"/>
        <v>0</v>
      </c>
      <c r="AZ51" s="777">
        <f t="shared" si="9"/>
        <v>0</v>
      </c>
      <c r="BA51" s="777">
        <f t="shared" si="9"/>
        <v>0</v>
      </c>
      <c r="BB51" s="777">
        <f t="shared" si="9"/>
        <v>0</v>
      </c>
      <c r="BC51" s="823"/>
      <c r="BF51" s="678" t="s">
        <v>986</v>
      </c>
    </row>
    <row r="52" spans="2:58" s="63" customFormat="1" ht="14.65" hidden="1" customHeight="1">
      <c r="B52" s="327"/>
      <c r="E52" s="447">
        <v>15</v>
      </c>
      <c r="F52" s="3" cm="1">
        <f t="array" aca="1" ref="F52" ca="1">OFFSET(E52,-1,1)</f>
        <v>0</v>
      </c>
      <c r="G52" s="22" t="s">
        <v>324</v>
      </c>
      <c r="T52" s="351" t="b" cm="1">
        <f t="array" ref="T52">T51</f>
        <v>0</v>
      </c>
      <c r="X52" s="1046"/>
      <c r="Z52" s="1047"/>
      <c r="AB52" s="124">
        <v>5</v>
      </c>
      <c r="AC52" s="125" t="s">
        <v>987</v>
      </c>
      <c r="AD52" s="8" t="s">
        <v>859</v>
      </c>
      <c r="AE52" s="773">
        <f t="shared" ref="AE52:BB52" si="10">SUM(AE53:AE57)</f>
        <v>0</v>
      </c>
      <c r="AF52" s="773">
        <f t="shared" si="10"/>
        <v>0</v>
      </c>
      <c r="AG52" s="773">
        <f t="shared" si="10"/>
        <v>0</v>
      </c>
      <c r="AH52" s="773">
        <f t="shared" si="10"/>
        <v>0</v>
      </c>
      <c r="AI52" s="138">
        <f t="shared" si="10"/>
        <v>0</v>
      </c>
      <c r="AJ52" s="138">
        <f t="shared" si="10"/>
        <v>0</v>
      </c>
      <c r="AK52" s="138">
        <f t="shared" si="10"/>
        <v>0</v>
      </c>
      <c r="AL52" s="773">
        <f t="shared" si="10"/>
        <v>0</v>
      </c>
      <c r="AM52" s="773">
        <f t="shared" si="10"/>
        <v>0</v>
      </c>
      <c r="AN52" s="773">
        <f t="shared" si="10"/>
        <v>0</v>
      </c>
      <c r="AO52" s="773">
        <f t="shared" si="10"/>
        <v>0</v>
      </c>
      <c r="AP52" s="773">
        <f t="shared" si="10"/>
        <v>0</v>
      </c>
      <c r="AQ52" s="773">
        <f t="shared" si="10"/>
        <v>0</v>
      </c>
      <c r="AR52" s="773">
        <f t="shared" si="10"/>
        <v>0</v>
      </c>
      <c r="AS52" s="138">
        <f t="shared" si="10"/>
        <v>0</v>
      </c>
      <c r="AT52" s="138">
        <f t="shared" si="10"/>
        <v>0</v>
      </c>
      <c r="AU52" s="138">
        <f t="shared" si="10"/>
        <v>0</v>
      </c>
      <c r="AV52" s="773">
        <f t="shared" si="10"/>
        <v>0</v>
      </c>
      <c r="AW52" s="773">
        <f t="shared" si="10"/>
        <v>0</v>
      </c>
      <c r="AX52" s="773">
        <f t="shared" si="10"/>
        <v>0</v>
      </c>
      <c r="AY52" s="773">
        <f t="shared" si="10"/>
        <v>0</v>
      </c>
      <c r="AZ52" s="773">
        <f t="shared" si="10"/>
        <v>0</v>
      </c>
      <c r="BA52" s="773">
        <f t="shared" si="10"/>
        <v>0</v>
      </c>
      <c r="BB52" s="773">
        <f t="shared" si="10"/>
        <v>0</v>
      </c>
      <c r="BC52" s="823"/>
      <c r="BF52" s="678" t="s">
        <v>988</v>
      </c>
    </row>
    <row r="53" spans="2:58" ht="14.65" hidden="1" customHeight="1">
      <c r="E53" s="447">
        <v>15</v>
      </c>
      <c r="F53" s="3" cm="1">
        <f t="array" aca="1" ref="F53" ca="1">OFFSET(E53,-1,1)</f>
        <v>0</v>
      </c>
      <c r="G53" s="22" t="s">
        <v>601</v>
      </c>
      <c r="T53" s="351" t="b" cm="1">
        <f t="array" ref="T53">T52</f>
        <v>0</v>
      </c>
      <c r="X53" s="1046"/>
      <c r="Z53" s="1047"/>
      <c r="AB53" s="7" t="s">
        <v>729</v>
      </c>
      <c r="AC53" s="127" t="s">
        <v>937</v>
      </c>
      <c r="AD53" s="8" t="s">
        <v>859</v>
      </c>
      <c r="AE53" s="777">
        <f t="shared" ref="AE53:BB53" si="11">(AE47+AE29)/2</f>
        <v>0</v>
      </c>
      <c r="AF53" s="777">
        <f t="shared" si="11"/>
        <v>0</v>
      </c>
      <c r="AG53" s="777">
        <f t="shared" si="11"/>
        <v>0</v>
      </c>
      <c r="AH53" s="777">
        <f t="shared" si="11"/>
        <v>0</v>
      </c>
      <c r="AI53" s="128">
        <f t="shared" si="11"/>
        <v>0</v>
      </c>
      <c r="AJ53" s="128">
        <f t="shared" si="11"/>
        <v>0</v>
      </c>
      <c r="AK53" s="128">
        <f t="shared" si="11"/>
        <v>0</v>
      </c>
      <c r="AL53" s="777">
        <f t="shared" si="11"/>
        <v>0</v>
      </c>
      <c r="AM53" s="777">
        <f t="shared" si="11"/>
        <v>0</v>
      </c>
      <c r="AN53" s="777">
        <f t="shared" si="11"/>
        <v>0</v>
      </c>
      <c r="AO53" s="777">
        <f t="shared" si="11"/>
        <v>0</v>
      </c>
      <c r="AP53" s="777">
        <f t="shared" si="11"/>
        <v>0</v>
      </c>
      <c r="AQ53" s="777">
        <f t="shared" si="11"/>
        <v>0</v>
      </c>
      <c r="AR53" s="777">
        <f t="shared" si="11"/>
        <v>0</v>
      </c>
      <c r="AS53" s="128">
        <f t="shared" si="11"/>
        <v>0</v>
      </c>
      <c r="AT53" s="128">
        <f t="shared" si="11"/>
        <v>0</v>
      </c>
      <c r="AU53" s="128">
        <f t="shared" si="11"/>
        <v>0</v>
      </c>
      <c r="AV53" s="777">
        <f t="shared" si="11"/>
        <v>0</v>
      </c>
      <c r="AW53" s="777">
        <f t="shared" si="11"/>
        <v>0</v>
      </c>
      <c r="AX53" s="777">
        <f t="shared" si="11"/>
        <v>0</v>
      </c>
      <c r="AY53" s="777">
        <f t="shared" si="11"/>
        <v>0</v>
      </c>
      <c r="AZ53" s="777">
        <f t="shared" si="11"/>
        <v>0</v>
      </c>
      <c r="BA53" s="777">
        <f t="shared" si="11"/>
        <v>0</v>
      </c>
      <c r="BB53" s="777">
        <f t="shared" si="11"/>
        <v>0</v>
      </c>
      <c r="BC53" s="823"/>
      <c r="BF53" s="678" t="s">
        <v>989</v>
      </c>
    </row>
    <row r="54" spans="2:58" ht="14.65" hidden="1" customHeight="1">
      <c r="E54" s="447">
        <v>15</v>
      </c>
      <c r="F54" s="3" cm="1">
        <f t="array" aca="1" ref="F54" ca="1">OFFSET(E54,-1,1)</f>
        <v>0</v>
      </c>
      <c r="G54" s="22" t="s">
        <v>605</v>
      </c>
      <c r="T54" s="351" t="b" cm="1">
        <f t="array" ref="T54">T53</f>
        <v>0</v>
      </c>
      <c r="X54" s="1046"/>
      <c r="Z54" s="1047"/>
      <c r="AB54" s="7" t="s">
        <v>732</v>
      </c>
      <c r="AC54" s="127" t="s">
        <v>940</v>
      </c>
      <c r="AD54" s="8" t="s">
        <v>859</v>
      </c>
      <c r="AE54" s="777">
        <f t="shared" ref="AE54:BB54" si="12">(AE48+AE30)/2</f>
        <v>0</v>
      </c>
      <c r="AF54" s="777">
        <f t="shared" si="12"/>
        <v>0</v>
      </c>
      <c r="AG54" s="777">
        <f t="shared" si="12"/>
        <v>0</v>
      </c>
      <c r="AH54" s="777">
        <f t="shared" si="12"/>
        <v>0</v>
      </c>
      <c r="AI54" s="128">
        <f t="shared" si="12"/>
        <v>0</v>
      </c>
      <c r="AJ54" s="128">
        <f t="shared" si="12"/>
        <v>0</v>
      </c>
      <c r="AK54" s="128">
        <f t="shared" si="12"/>
        <v>0</v>
      </c>
      <c r="AL54" s="777">
        <f t="shared" si="12"/>
        <v>0</v>
      </c>
      <c r="AM54" s="777">
        <f t="shared" si="12"/>
        <v>0</v>
      </c>
      <c r="AN54" s="777">
        <f t="shared" si="12"/>
        <v>0</v>
      </c>
      <c r="AO54" s="777">
        <f t="shared" si="12"/>
        <v>0</v>
      </c>
      <c r="AP54" s="777">
        <f t="shared" si="12"/>
        <v>0</v>
      </c>
      <c r="AQ54" s="777">
        <f t="shared" si="12"/>
        <v>0</v>
      </c>
      <c r="AR54" s="777">
        <f t="shared" si="12"/>
        <v>0</v>
      </c>
      <c r="AS54" s="128">
        <f t="shared" si="12"/>
        <v>0</v>
      </c>
      <c r="AT54" s="128">
        <f t="shared" si="12"/>
        <v>0</v>
      </c>
      <c r="AU54" s="128">
        <f t="shared" si="12"/>
        <v>0</v>
      </c>
      <c r="AV54" s="777">
        <f t="shared" si="12"/>
        <v>0</v>
      </c>
      <c r="AW54" s="777">
        <f t="shared" si="12"/>
        <v>0</v>
      </c>
      <c r="AX54" s="777">
        <f t="shared" si="12"/>
        <v>0</v>
      </c>
      <c r="AY54" s="777">
        <f t="shared" si="12"/>
        <v>0</v>
      </c>
      <c r="AZ54" s="777">
        <f t="shared" si="12"/>
        <v>0</v>
      </c>
      <c r="BA54" s="777">
        <f t="shared" si="12"/>
        <v>0</v>
      </c>
      <c r="BB54" s="777">
        <f t="shared" si="12"/>
        <v>0</v>
      </c>
      <c r="BC54" s="823"/>
      <c r="BF54" s="678" t="s">
        <v>990</v>
      </c>
    </row>
    <row r="55" spans="2:58" ht="14.65" hidden="1" customHeight="1">
      <c r="E55" s="447">
        <v>15</v>
      </c>
      <c r="F55" s="3" cm="1">
        <f t="array" aca="1" ref="F55" ca="1">OFFSET(E55,-1,1)</f>
        <v>0</v>
      </c>
      <c r="G55" s="22" t="s">
        <v>817</v>
      </c>
      <c r="T55" s="351" t="b" cm="1">
        <f t="array" ref="T55">T54</f>
        <v>0</v>
      </c>
      <c r="X55" s="1046"/>
      <c r="Z55" s="1047"/>
      <c r="AB55" s="7" t="s">
        <v>991</v>
      </c>
      <c r="AC55" s="127" t="s">
        <v>943</v>
      </c>
      <c r="AD55" s="8" t="s">
        <v>859</v>
      </c>
      <c r="AE55" s="777">
        <f t="shared" ref="AE55:BB55" si="13">(AE49+AE31)/2</f>
        <v>0</v>
      </c>
      <c r="AF55" s="777">
        <f t="shared" si="13"/>
        <v>0</v>
      </c>
      <c r="AG55" s="777">
        <f t="shared" si="13"/>
        <v>0</v>
      </c>
      <c r="AH55" s="777">
        <f t="shared" si="13"/>
        <v>0</v>
      </c>
      <c r="AI55" s="128">
        <f t="shared" si="13"/>
        <v>0</v>
      </c>
      <c r="AJ55" s="128">
        <f t="shared" si="13"/>
        <v>0</v>
      </c>
      <c r="AK55" s="128">
        <f t="shared" si="13"/>
        <v>0</v>
      </c>
      <c r="AL55" s="777">
        <f t="shared" si="13"/>
        <v>0</v>
      </c>
      <c r="AM55" s="777">
        <f t="shared" si="13"/>
        <v>0</v>
      </c>
      <c r="AN55" s="777">
        <f t="shared" si="13"/>
        <v>0</v>
      </c>
      <c r="AO55" s="777">
        <f t="shared" si="13"/>
        <v>0</v>
      </c>
      <c r="AP55" s="777">
        <f t="shared" si="13"/>
        <v>0</v>
      </c>
      <c r="AQ55" s="777">
        <f t="shared" si="13"/>
        <v>0</v>
      </c>
      <c r="AR55" s="777">
        <f t="shared" si="13"/>
        <v>0</v>
      </c>
      <c r="AS55" s="128">
        <f t="shared" si="13"/>
        <v>0</v>
      </c>
      <c r="AT55" s="128">
        <f t="shared" si="13"/>
        <v>0</v>
      </c>
      <c r="AU55" s="128">
        <f t="shared" si="13"/>
        <v>0</v>
      </c>
      <c r="AV55" s="777">
        <f t="shared" si="13"/>
        <v>0</v>
      </c>
      <c r="AW55" s="777">
        <f t="shared" si="13"/>
        <v>0</v>
      </c>
      <c r="AX55" s="777">
        <f t="shared" si="13"/>
        <v>0</v>
      </c>
      <c r="AY55" s="777">
        <f t="shared" si="13"/>
        <v>0</v>
      </c>
      <c r="AZ55" s="777">
        <f t="shared" si="13"/>
        <v>0</v>
      </c>
      <c r="BA55" s="777">
        <f t="shared" si="13"/>
        <v>0</v>
      </c>
      <c r="BB55" s="777">
        <f t="shared" si="13"/>
        <v>0</v>
      </c>
      <c r="BC55" s="823"/>
      <c r="BF55" s="678" t="s">
        <v>992</v>
      </c>
    </row>
    <row r="56" spans="2:58" ht="14.65" hidden="1" customHeight="1">
      <c r="E56" s="447">
        <v>15</v>
      </c>
      <c r="F56" s="3" cm="1">
        <f t="array" aca="1" ref="F56" ca="1">OFFSET(E56,-1,1)</f>
        <v>0</v>
      </c>
      <c r="G56" s="22" t="s">
        <v>993</v>
      </c>
      <c r="T56" s="351" t="b" cm="1">
        <f t="array" ref="T56">T55</f>
        <v>0</v>
      </c>
      <c r="X56" s="1046"/>
      <c r="Z56" s="1047"/>
      <c r="AB56" s="7" t="s">
        <v>994</v>
      </c>
      <c r="AC56" s="127" t="s">
        <v>946</v>
      </c>
      <c r="AD56" s="8" t="s">
        <v>859</v>
      </c>
      <c r="AE56" s="777">
        <f t="shared" ref="AE56:BB56" si="14">(AE50+AE32)/2</f>
        <v>0</v>
      </c>
      <c r="AF56" s="777">
        <f t="shared" si="14"/>
        <v>0</v>
      </c>
      <c r="AG56" s="777">
        <f t="shared" si="14"/>
        <v>0</v>
      </c>
      <c r="AH56" s="777">
        <f t="shared" si="14"/>
        <v>0</v>
      </c>
      <c r="AI56" s="128">
        <f t="shared" si="14"/>
        <v>0</v>
      </c>
      <c r="AJ56" s="128">
        <f t="shared" si="14"/>
        <v>0</v>
      </c>
      <c r="AK56" s="128">
        <f t="shared" si="14"/>
        <v>0</v>
      </c>
      <c r="AL56" s="777">
        <f t="shared" si="14"/>
        <v>0</v>
      </c>
      <c r="AM56" s="777">
        <f t="shared" si="14"/>
        <v>0</v>
      </c>
      <c r="AN56" s="777">
        <f t="shared" si="14"/>
        <v>0</v>
      </c>
      <c r="AO56" s="777">
        <f t="shared" si="14"/>
        <v>0</v>
      </c>
      <c r="AP56" s="777">
        <f t="shared" si="14"/>
        <v>0</v>
      </c>
      <c r="AQ56" s="777">
        <f t="shared" si="14"/>
        <v>0</v>
      </c>
      <c r="AR56" s="777">
        <f t="shared" si="14"/>
        <v>0</v>
      </c>
      <c r="AS56" s="128">
        <f t="shared" si="14"/>
        <v>0</v>
      </c>
      <c r="AT56" s="128">
        <f t="shared" si="14"/>
        <v>0</v>
      </c>
      <c r="AU56" s="128">
        <f t="shared" si="14"/>
        <v>0</v>
      </c>
      <c r="AV56" s="777">
        <f t="shared" si="14"/>
        <v>0</v>
      </c>
      <c r="AW56" s="777">
        <f t="shared" si="14"/>
        <v>0</v>
      </c>
      <c r="AX56" s="777">
        <f t="shared" si="14"/>
        <v>0</v>
      </c>
      <c r="AY56" s="777">
        <f t="shared" si="14"/>
        <v>0</v>
      </c>
      <c r="AZ56" s="777">
        <f t="shared" si="14"/>
        <v>0</v>
      </c>
      <c r="BA56" s="777">
        <f t="shared" si="14"/>
        <v>0</v>
      </c>
      <c r="BB56" s="777">
        <f t="shared" si="14"/>
        <v>0</v>
      </c>
      <c r="BC56" s="823"/>
      <c r="BF56" s="678" t="s">
        <v>995</v>
      </c>
    </row>
    <row r="57" spans="2:58" ht="14.65" hidden="1" customHeight="1">
      <c r="E57" s="447">
        <v>15</v>
      </c>
      <c r="F57" s="3" cm="1">
        <f t="array" aca="1" ref="F57" ca="1">OFFSET(E57,-1,1)</f>
        <v>0</v>
      </c>
      <c r="G57" s="22" t="s">
        <v>996</v>
      </c>
      <c r="T57" s="351" t="b" cm="1">
        <f t="array" ref="T57">T56</f>
        <v>0</v>
      </c>
      <c r="X57" s="1046"/>
      <c r="Z57" s="1047"/>
      <c r="AB57" s="7" t="s">
        <v>997</v>
      </c>
      <c r="AC57" s="127" t="s">
        <v>950</v>
      </c>
      <c r="AD57" s="8" t="s">
        <v>859</v>
      </c>
      <c r="AE57" s="777">
        <f t="shared" ref="AE57:BB57" si="15">(AE51+AE33)/2</f>
        <v>0</v>
      </c>
      <c r="AF57" s="777">
        <f t="shared" si="15"/>
        <v>0</v>
      </c>
      <c r="AG57" s="777">
        <f t="shared" si="15"/>
        <v>0</v>
      </c>
      <c r="AH57" s="777">
        <f t="shared" si="15"/>
        <v>0</v>
      </c>
      <c r="AI57" s="128">
        <f t="shared" si="15"/>
        <v>0</v>
      </c>
      <c r="AJ57" s="128">
        <f t="shared" si="15"/>
        <v>0</v>
      </c>
      <c r="AK57" s="128">
        <f t="shared" si="15"/>
        <v>0</v>
      </c>
      <c r="AL57" s="777">
        <f t="shared" si="15"/>
        <v>0</v>
      </c>
      <c r="AM57" s="777">
        <f t="shared" si="15"/>
        <v>0</v>
      </c>
      <c r="AN57" s="777">
        <f t="shared" si="15"/>
        <v>0</v>
      </c>
      <c r="AO57" s="777">
        <f t="shared" si="15"/>
        <v>0</v>
      </c>
      <c r="AP57" s="777">
        <f t="shared" si="15"/>
        <v>0</v>
      </c>
      <c r="AQ57" s="777">
        <f t="shared" si="15"/>
        <v>0</v>
      </c>
      <c r="AR57" s="777">
        <f t="shared" si="15"/>
        <v>0</v>
      </c>
      <c r="AS57" s="128">
        <f t="shared" si="15"/>
        <v>0</v>
      </c>
      <c r="AT57" s="128">
        <f t="shared" si="15"/>
        <v>0</v>
      </c>
      <c r="AU57" s="128">
        <f t="shared" si="15"/>
        <v>0</v>
      </c>
      <c r="AV57" s="777">
        <f t="shared" si="15"/>
        <v>0</v>
      </c>
      <c r="AW57" s="777">
        <f t="shared" si="15"/>
        <v>0</v>
      </c>
      <c r="AX57" s="777">
        <f t="shared" si="15"/>
        <v>0</v>
      </c>
      <c r="AY57" s="777">
        <f t="shared" si="15"/>
        <v>0</v>
      </c>
      <c r="AZ57" s="777">
        <f t="shared" si="15"/>
        <v>0</v>
      </c>
      <c r="BA57" s="777">
        <f t="shared" si="15"/>
        <v>0</v>
      </c>
      <c r="BB57" s="777">
        <f t="shared" si="15"/>
        <v>0</v>
      </c>
      <c r="BC57" s="823"/>
      <c r="BF57" s="678" t="s">
        <v>998</v>
      </c>
    </row>
    <row r="58" spans="2:58" s="63" customFormat="1" ht="21.95" hidden="1" customHeight="1">
      <c r="B58" s="327"/>
      <c r="E58" s="486">
        <v>22.5</v>
      </c>
      <c r="F58" s="3" cm="1">
        <f t="array" aca="1" ref="F58" ca="1">OFFSET(E58,-1,1)</f>
        <v>0</v>
      </c>
      <c r="G58" s="22" t="s">
        <v>557</v>
      </c>
      <c r="T58" s="351" t="b" cm="1">
        <f t="array" ref="T58">T57</f>
        <v>0</v>
      </c>
      <c r="X58" s="1046"/>
      <c r="Z58" s="1047"/>
      <c r="AB58" s="124">
        <v>6</v>
      </c>
      <c r="AC58" s="125" t="s">
        <v>999</v>
      </c>
      <c r="AD58" s="124"/>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823"/>
      <c r="BF58" s="678" t="s">
        <v>1000</v>
      </c>
    </row>
    <row r="59" spans="2:58" ht="14.65" hidden="1" customHeight="1">
      <c r="E59" s="447">
        <v>15</v>
      </c>
      <c r="F59" s="3" cm="1">
        <f t="array" aca="1" ref="F59" ca="1">OFFSET(E59,-1,1)</f>
        <v>0</v>
      </c>
      <c r="G59" s="22" t="s">
        <v>721</v>
      </c>
      <c r="T59" s="351" t="b" cm="1">
        <f t="array" ref="T59">T58</f>
        <v>0</v>
      </c>
      <c r="X59" s="1046"/>
      <c r="Z59" s="1047"/>
      <c r="AB59" s="7" t="s">
        <v>617</v>
      </c>
      <c r="AC59" s="127" t="s">
        <v>937</v>
      </c>
      <c r="AD59" s="7" t="s">
        <v>501</v>
      </c>
      <c r="AE59" s="777">
        <f t="shared" ref="AE59:BB59" si="16">IF(AE53=0,0,AE65/AE53*100)</f>
        <v>0</v>
      </c>
      <c r="AF59" s="777">
        <f t="shared" si="16"/>
        <v>0</v>
      </c>
      <c r="AG59" s="777">
        <f t="shared" si="16"/>
        <v>0</v>
      </c>
      <c r="AH59" s="777">
        <f t="shared" si="16"/>
        <v>0</v>
      </c>
      <c r="AI59" s="128">
        <f t="shared" si="16"/>
        <v>0</v>
      </c>
      <c r="AJ59" s="128">
        <f t="shared" si="16"/>
        <v>0</v>
      </c>
      <c r="AK59" s="128">
        <f t="shared" si="16"/>
        <v>0</v>
      </c>
      <c r="AL59" s="777">
        <f t="shared" si="16"/>
        <v>0</v>
      </c>
      <c r="AM59" s="777">
        <f t="shared" si="16"/>
        <v>0</v>
      </c>
      <c r="AN59" s="777">
        <f t="shared" si="16"/>
        <v>0</v>
      </c>
      <c r="AO59" s="777">
        <f t="shared" si="16"/>
        <v>0</v>
      </c>
      <c r="AP59" s="777">
        <f t="shared" si="16"/>
        <v>0</v>
      </c>
      <c r="AQ59" s="777">
        <f t="shared" si="16"/>
        <v>0</v>
      </c>
      <c r="AR59" s="777">
        <f t="shared" si="16"/>
        <v>0</v>
      </c>
      <c r="AS59" s="128">
        <f t="shared" si="16"/>
        <v>0</v>
      </c>
      <c r="AT59" s="128">
        <f t="shared" si="16"/>
        <v>0</v>
      </c>
      <c r="AU59" s="128">
        <f t="shared" si="16"/>
        <v>0</v>
      </c>
      <c r="AV59" s="777">
        <f t="shared" si="16"/>
        <v>0</v>
      </c>
      <c r="AW59" s="777">
        <f t="shared" si="16"/>
        <v>0</v>
      </c>
      <c r="AX59" s="777">
        <f t="shared" si="16"/>
        <v>0</v>
      </c>
      <c r="AY59" s="777">
        <f t="shared" si="16"/>
        <v>0</v>
      </c>
      <c r="AZ59" s="777">
        <f t="shared" si="16"/>
        <v>0</v>
      </c>
      <c r="BA59" s="777">
        <f t="shared" si="16"/>
        <v>0</v>
      </c>
      <c r="BB59" s="777">
        <f t="shared" si="16"/>
        <v>0</v>
      </c>
      <c r="BC59" s="823"/>
      <c r="BF59" s="678" t="s">
        <v>1001</v>
      </c>
    </row>
    <row r="60" spans="2:58" ht="14.65" hidden="1" customHeight="1">
      <c r="E60" s="447">
        <v>15</v>
      </c>
      <c r="F60" s="3" cm="1">
        <f t="array" aca="1" ref="F60" ca="1">OFFSET(E60,-1,1)</f>
        <v>0</v>
      </c>
      <c r="G60" s="22" t="s">
        <v>724</v>
      </c>
      <c r="T60" s="351" t="b" cm="1">
        <f t="array" ref="T60">T59</f>
        <v>0</v>
      </c>
      <c r="X60" s="1046"/>
      <c r="Z60" s="1047"/>
      <c r="AB60" s="7" t="s">
        <v>621</v>
      </c>
      <c r="AC60" s="127" t="s">
        <v>940</v>
      </c>
      <c r="AD60" s="7" t="s">
        <v>501</v>
      </c>
      <c r="AE60" s="777">
        <f t="shared" ref="AE60:BB60" si="17">IF(AE54=0,0,AE66/AE54*100)</f>
        <v>0</v>
      </c>
      <c r="AF60" s="777">
        <f t="shared" si="17"/>
        <v>0</v>
      </c>
      <c r="AG60" s="777">
        <f t="shared" si="17"/>
        <v>0</v>
      </c>
      <c r="AH60" s="777">
        <f t="shared" si="17"/>
        <v>0</v>
      </c>
      <c r="AI60" s="128">
        <f t="shared" si="17"/>
        <v>0</v>
      </c>
      <c r="AJ60" s="128">
        <f t="shared" si="17"/>
        <v>0</v>
      </c>
      <c r="AK60" s="128">
        <f t="shared" si="17"/>
        <v>0</v>
      </c>
      <c r="AL60" s="777">
        <f t="shared" si="17"/>
        <v>0</v>
      </c>
      <c r="AM60" s="777">
        <f t="shared" si="17"/>
        <v>0</v>
      </c>
      <c r="AN60" s="777">
        <f t="shared" si="17"/>
        <v>0</v>
      </c>
      <c r="AO60" s="777">
        <f t="shared" si="17"/>
        <v>0</v>
      </c>
      <c r="AP60" s="777">
        <f t="shared" si="17"/>
        <v>0</v>
      </c>
      <c r="AQ60" s="777">
        <f t="shared" si="17"/>
        <v>0</v>
      </c>
      <c r="AR60" s="777">
        <f t="shared" si="17"/>
        <v>0</v>
      </c>
      <c r="AS60" s="128">
        <f t="shared" si="17"/>
        <v>0</v>
      </c>
      <c r="AT60" s="128">
        <f t="shared" si="17"/>
        <v>0</v>
      </c>
      <c r="AU60" s="128">
        <f t="shared" si="17"/>
        <v>0</v>
      </c>
      <c r="AV60" s="777">
        <f t="shared" si="17"/>
        <v>0</v>
      </c>
      <c r="AW60" s="777">
        <f t="shared" si="17"/>
        <v>0</v>
      </c>
      <c r="AX60" s="777">
        <f t="shared" si="17"/>
        <v>0</v>
      </c>
      <c r="AY60" s="777">
        <f t="shared" si="17"/>
        <v>0</v>
      </c>
      <c r="AZ60" s="777">
        <f t="shared" si="17"/>
        <v>0</v>
      </c>
      <c r="BA60" s="777">
        <f t="shared" si="17"/>
        <v>0</v>
      </c>
      <c r="BB60" s="777">
        <f t="shared" si="17"/>
        <v>0</v>
      </c>
      <c r="BC60" s="823"/>
      <c r="BF60" s="678" t="s">
        <v>1002</v>
      </c>
    </row>
    <row r="61" spans="2:58" ht="14.65" hidden="1" customHeight="1">
      <c r="E61" s="447">
        <v>15</v>
      </c>
      <c r="F61" s="3" cm="1">
        <f t="array" aca="1" ref="F61" ca="1">OFFSET(E61,-1,1)</f>
        <v>0</v>
      </c>
      <c r="G61" s="22" t="s">
        <v>758</v>
      </c>
      <c r="T61" s="351" t="b" cm="1">
        <f t="array" ref="T61">T60</f>
        <v>0</v>
      </c>
      <c r="X61" s="1046"/>
      <c r="Z61" s="1047"/>
      <c r="AB61" s="7" t="s">
        <v>625</v>
      </c>
      <c r="AC61" s="127" t="s">
        <v>943</v>
      </c>
      <c r="AD61" s="7" t="s">
        <v>501</v>
      </c>
      <c r="AE61" s="777">
        <f t="shared" ref="AE61:BB61" si="18">IF(AE55=0,0,AE67/AE55*100)</f>
        <v>0</v>
      </c>
      <c r="AF61" s="777">
        <f t="shared" si="18"/>
        <v>0</v>
      </c>
      <c r="AG61" s="777">
        <f t="shared" si="18"/>
        <v>0</v>
      </c>
      <c r="AH61" s="777">
        <f t="shared" si="18"/>
        <v>0</v>
      </c>
      <c r="AI61" s="128">
        <f t="shared" si="18"/>
        <v>0</v>
      </c>
      <c r="AJ61" s="128">
        <f t="shared" si="18"/>
        <v>0</v>
      </c>
      <c r="AK61" s="128">
        <f t="shared" si="18"/>
        <v>0</v>
      </c>
      <c r="AL61" s="777">
        <f t="shared" si="18"/>
        <v>0</v>
      </c>
      <c r="AM61" s="777">
        <f t="shared" si="18"/>
        <v>0</v>
      </c>
      <c r="AN61" s="777">
        <f t="shared" si="18"/>
        <v>0</v>
      </c>
      <c r="AO61" s="777">
        <f t="shared" si="18"/>
        <v>0</v>
      </c>
      <c r="AP61" s="777">
        <f t="shared" si="18"/>
        <v>0</v>
      </c>
      <c r="AQ61" s="777">
        <f t="shared" si="18"/>
        <v>0</v>
      </c>
      <c r="AR61" s="777">
        <f t="shared" si="18"/>
        <v>0</v>
      </c>
      <c r="AS61" s="128">
        <f t="shared" si="18"/>
        <v>0</v>
      </c>
      <c r="AT61" s="128">
        <f t="shared" si="18"/>
        <v>0</v>
      </c>
      <c r="AU61" s="128">
        <f t="shared" si="18"/>
        <v>0</v>
      </c>
      <c r="AV61" s="777">
        <f t="shared" si="18"/>
        <v>0</v>
      </c>
      <c r="AW61" s="777">
        <f t="shared" si="18"/>
        <v>0</v>
      </c>
      <c r="AX61" s="777">
        <f t="shared" si="18"/>
        <v>0</v>
      </c>
      <c r="AY61" s="777">
        <f t="shared" si="18"/>
        <v>0</v>
      </c>
      <c r="AZ61" s="777">
        <f t="shared" si="18"/>
        <v>0</v>
      </c>
      <c r="BA61" s="777">
        <f t="shared" si="18"/>
        <v>0</v>
      </c>
      <c r="BB61" s="777">
        <f t="shared" si="18"/>
        <v>0</v>
      </c>
      <c r="BC61" s="823"/>
      <c r="BF61" s="678" t="s">
        <v>1003</v>
      </c>
    </row>
    <row r="62" spans="2:58" ht="14.65" hidden="1" customHeight="1">
      <c r="E62" s="447">
        <v>15</v>
      </c>
      <c r="F62" s="3" cm="1">
        <f t="array" aca="1" ref="F62" ca="1">OFFSET(E62,-1,1)</f>
        <v>0</v>
      </c>
      <c r="G62" s="22" t="s">
        <v>767</v>
      </c>
      <c r="T62" s="351" t="b" cm="1">
        <f t="array" ref="T62">T61</f>
        <v>0</v>
      </c>
      <c r="X62" s="1046"/>
      <c r="Z62" s="1047"/>
      <c r="AB62" s="7" t="s">
        <v>1004</v>
      </c>
      <c r="AC62" s="127" t="s">
        <v>946</v>
      </c>
      <c r="AD62" s="7" t="s">
        <v>501</v>
      </c>
      <c r="AE62" s="777">
        <f t="shared" ref="AE62:BB62" si="19">IF(AE56=0,0,AE68/AE56*100)</f>
        <v>0</v>
      </c>
      <c r="AF62" s="777">
        <f t="shared" si="19"/>
        <v>0</v>
      </c>
      <c r="AG62" s="777">
        <f t="shared" si="19"/>
        <v>0</v>
      </c>
      <c r="AH62" s="777">
        <f t="shared" si="19"/>
        <v>0</v>
      </c>
      <c r="AI62" s="128">
        <f t="shared" si="19"/>
        <v>0</v>
      </c>
      <c r="AJ62" s="128">
        <f t="shared" si="19"/>
        <v>0</v>
      </c>
      <c r="AK62" s="128">
        <f t="shared" si="19"/>
        <v>0</v>
      </c>
      <c r="AL62" s="777">
        <f t="shared" si="19"/>
        <v>0</v>
      </c>
      <c r="AM62" s="777">
        <f t="shared" si="19"/>
        <v>0</v>
      </c>
      <c r="AN62" s="777">
        <f t="shared" si="19"/>
        <v>0</v>
      </c>
      <c r="AO62" s="777">
        <f t="shared" si="19"/>
        <v>0</v>
      </c>
      <c r="AP62" s="777">
        <f t="shared" si="19"/>
        <v>0</v>
      </c>
      <c r="AQ62" s="777">
        <f t="shared" si="19"/>
        <v>0</v>
      </c>
      <c r="AR62" s="777">
        <f t="shared" si="19"/>
        <v>0</v>
      </c>
      <c r="AS62" s="128">
        <f t="shared" si="19"/>
        <v>0</v>
      </c>
      <c r="AT62" s="128">
        <f t="shared" si="19"/>
        <v>0</v>
      </c>
      <c r="AU62" s="128">
        <f t="shared" si="19"/>
        <v>0</v>
      </c>
      <c r="AV62" s="777">
        <f t="shared" si="19"/>
        <v>0</v>
      </c>
      <c r="AW62" s="777">
        <f t="shared" si="19"/>
        <v>0</v>
      </c>
      <c r="AX62" s="777">
        <f t="shared" si="19"/>
        <v>0</v>
      </c>
      <c r="AY62" s="777">
        <f t="shared" si="19"/>
        <v>0</v>
      </c>
      <c r="AZ62" s="777">
        <f t="shared" si="19"/>
        <v>0</v>
      </c>
      <c r="BA62" s="777">
        <f t="shared" si="19"/>
        <v>0</v>
      </c>
      <c r="BB62" s="777">
        <f t="shared" si="19"/>
        <v>0</v>
      </c>
      <c r="BC62" s="823"/>
      <c r="BF62" s="678" t="s">
        <v>1005</v>
      </c>
    </row>
    <row r="63" spans="2:58" ht="14.65" hidden="1" customHeight="1">
      <c r="E63" s="447">
        <v>15</v>
      </c>
      <c r="F63" s="3" cm="1">
        <f t="array" aca="1" ref="F63" ca="1">OFFSET(E63,-1,1)</f>
        <v>0</v>
      </c>
      <c r="G63" s="22" t="s">
        <v>777</v>
      </c>
      <c r="T63" s="351" t="b" cm="1">
        <f t="array" ref="T63">T62</f>
        <v>0</v>
      </c>
      <c r="X63" s="1046"/>
      <c r="Z63" s="1047"/>
      <c r="AB63" s="7" t="s">
        <v>1006</v>
      </c>
      <c r="AC63" s="127" t="s">
        <v>950</v>
      </c>
      <c r="AD63" s="7" t="s">
        <v>501</v>
      </c>
      <c r="AE63" s="777">
        <f t="shared" ref="AE63:BB63" si="20">IF(AE57=0,0,AE69/AE57*100)</f>
        <v>0</v>
      </c>
      <c r="AF63" s="777">
        <f t="shared" si="20"/>
        <v>0</v>
      </c>
      <c r="AG63" s="777">
        <f t="shared" si="20"/>
        <v>0</v>
      </c>
      <c r="AH63" s="777">
        <f t="shared" si="20"/>
        <v>0</v>
      </c>
      <c r="AI63" s="128">
        <f t="shared" si="20"/>
        <v>0</v>
      </c>
      <c r="AJ63" s="128">
        <f t="shared" si="20"/>
        <v>0</v>
      </c>
      <c r="AK63" s="128">
        <f t="shared" si="20"/>
        <v>0</v>
      </c>
      <c r="AL63" s="777">
        <f t="shared" si="20"/>
        <v>0</v>
      </c>
      <c r="AM63" s="777">
        <f t="shared" si="20"/>
        <v>0</v>
      </c>
      <c r="AN63" s="777">
        <f t="shared" si="20"/>
        <v>0</v>
      </c>
      <c r="AO63" s="777">
        <f t="shared" si="20"/>
        <v>0</v>
      </c>
      <c r="AP63" s="777">
        <f t="shared" si="20"/>
        <v>0</v>
      </c>
      <c r="AQ63" s="777">
        <f t="shared" si="20"/>
        <v>0</v>
      </c>
      <c r="AR63" s="777">
        <f t="shared" si="20"/>
        <v>0</v>
      </c>
      <c r="AS63" s="128">
        <f t="shared" si="20"/>
        <v>0</v>
      </c>
      <c r="AT63" s="128">
        <f t="shared" si="20"/>
        <v>0</v>
      </c>
      <c r="AU63" s="128">
        <f t="shared" si="20"/>
        <v>0</v>
      </c>
      <c r="AV63" s="777">
        <f t="shared" si="20"/>
        <v>0</v>
      </c>
      <c r="AW63" s="777">
        <f t="shared" si="20"/>
        <v>0</v>
      </c>
      <c r="AX63" s="777">
        <f t="shared" si="20"/>
        <v>0</v>
      </c>
      <c r="AY63" s="777">
        <f t="shared" si="20"/>
        <v>0</v>
      </c>
      <c r="AZ63" s="777">
        <f t="shared" si="20"/>
        <v>0</v>
      </c>
      <c r="BA63" s="777">
        <f t="shared" si="20"/>
        <v>0</v>
      </c>
      <c r="BB63" s="777">
        <f t="shared" si="20"/>
        <v>0</v>
      </c>
      <c r="BC63" s="823"/>
      <c r="BF63" s="678" t="s">
        <v>1007</v>
      </c>
    </row>
    <row r="64" spans="2:58" s="63" customFormat="1" ht="14.65" hidden="1" customHeight="1">
      <c r="B64" s="327"/>
      <c r="E64" s="447">
        <v>15</v>
      </c>
      <c r="F64" s="3" cm="1">
        <f t="array" aca="1" ref="F64" ca="1">OFFSET(E64,-1,1)</f>
        <v>0</v>
      </c>
      <c r="G64" s="22" t="s">
        <v>560</v>
      </c>
      <c r="K64" s="40" t="str">
        <f ca="1">F64&amp;"komm"</f>
        <v>0komm</v>
      </c>
      <c r="L64" s="607" cm="1">
        <f t="array" ref="L64">BC64</f>
        <v>0</v>
      </c>
      <c r="T64" s="351" t="b" cm="1">
        <f t="array" ref="T64">T63</f>
        <v>0</v>
      </c>
      <c r="X64" s="1046"/>
      <c r="Z64" s="1047"/>
      <c r="AB64" s="124">
        <v>7</v>
      </c>
      <c r="AC64" s="125" t="s">
        <v>1008</v>
      </c>
      <c r="AD64" s="8" t="s">
        <v>859</v>
      </c>
      <c r="AE64" s="773">
        <f t="shared" ref="AE64:BB64" si="21">SUM(AE65:AE69)</f>
        <v>0</v>
      </c>
      <c r="AF64" s="773">
        <f t="shared" si="21"/>
        <v>0</v>
      </c>
      <c r="AG64" s="773">
        <f t="shared" si="21"/>
        <v>0</v>
      </c>
      <c r="AH64" s="773">
        <f t="shared" si="21"/>
        <v>0</v>
      </c>
      <c r="AI64" s="138">
        <f t="shared" si="21"/>
        <v>0</v>
      </c>
      <c r="AJ64" s="138">
        <f t="shared" si="21"/>
        <v>0</v>
      </c>
      <c r="AK64" s="138">
        <f t="shared" si="21"/>
        <v>0</v>
      </c>
      <c r="AL64" s="773">
        <f t="shared" si="21"/>
        <v>0</v>
      </c>
      <c r="AM64" s="773">
        <f t="shared" si="21"/>
        <v>0</v>
      </c>
      <c r="AN64" s="773">
        <f t="shared" si="21"/>
        <v>0</v>
      </c>
      <c r="AO64" s="773">
        <f t="shared" si="21"/>
        <v>0</v>
      </c>
      <c r="AP64" s="773">
        <f t="shared" si="21"/>
        <v>0</v>
      </c>
      <c r="AQ64" s="773">
        <f t="shared" si="21"/>
        <v>0</v>
      </c>
      <c r="AR64" s="773">
        <f t="shared" si="21"/>
        <v>0</v>
      </c>
      <c r="AS64" s="138">
        <f t="shared" si="21"/>
        <v>0</v>
      </c>
      <c r="AT64" s="138">
        <f t="shared" si="21"/>
        <v>0</v>
      </c>
      <c r="AU64" s="138">
        <f t="shared" si="21"/>
        <v>0</v>
      </c>
      <c r="AV64" s="773">
        <f t="shared" si="21"/>
        <v>0</v>
      </c>
      <c r="AW64" s="773">
        <f t="shared" si="21"/>
        <v>0</v>
      </c>
      <c r="AX64" s="773">
        <f t="shared" si="21"/>
        <v>0</v>
      </c>
      <c r="AY64" s="773">
        <f t="shared" si="21"/>
        <v>0</v>
      </c>
      <c r="AZ64" s="773">
        <f t="shared" si="21"/>
        <v>0</v>
      </c>
      <c r="BA64" s="773">
        <f t="shared" si="21"/>
        <v>0</v>
      </c>
      <c r="BB64" s="773">
        <f t="shared" si="21"/>
        <v>0</v>
      </c>
      <c r="BC64" s="823"/>
      <c r="BF64" s="678" t="s">
        <v>1009</v>
      </c>
    </row>
    <row r="65" spans="2:58" ht="14.65" hidden="1" customHeight="1">
      <c r="E65" s="447">
        <v>15</v>
      </c>
      <c r="F65" s="3" cm="1">
        <f t="array" aca="1" ref="F65" ca="1">OFFSET(E65,-1,1)</f>
        <v>0</v>
      </c>
      <c r="G65" s="22" t="s">
        <v>728</v>
      </c>
      <c r="T65" s="351" t="b" cm="1">
        <f t="array" ref="T65">T64</f>
        <v>0</v>
      </c>
      <c r="X65" s="1046"/>
      <c r="Z65" s="1047"/>
      <c r="AB65" s="7" t="s">
        <v>632</v>
      </c>
      <c r="AC65" s="127" t="s">
        <v>937</v>
      </c>
      <c r="AD65" s="8" t="s">
        <v>859</v>
      </c>
      <c r="AE65" s="777"/>
      <c r="AF65" s="777"/>
      <c r="AG65" s="777"/>
      <c r="AH65" s="777"/>
      <c r="AI65" s="128"/>
      <c r="AJ65" s="128"/>
      <c r="AK65" s="128"/>
      <c r="AL65" s="777"/>
      <c r="AM65" s="777"/>
      <c r="AN65" s="777"/>
      <c r="AO65" s="777"/>
      <c r="AP65" s="777"/>
      <c r="AQ65" s="777"/>
      <c r="AR65" s="777"/>
      <c r="AS65" s="128"/>
      <c r="AT65" s="128"/>
      <c r="AU65" s="128"/>
      <c r="AV65" s="777"/>
      <c r="AW65" s="777"/>
      <c r="AX65" s="777"/>
      <c r="AY65" s="777"/>
      <c r="AZ65" s="777"/>
      <c r="BA65" s="777"/>
      <c r="BB65" s="777"/>
      <c r="BC65" s="823"/>
      <c r="BF65" s="678" t="s">
        <v>1010</v>
      </c>
    </row>
    <row r="66" spans="2:58" ht="14.65" hidden="1" customHeight="1">
      <c r="E66" s="447">
        <v>15</v>
      </c>
      <c r="F66" s="3" cm="1">
        <f t="array" aca="1" ref="F66" ca="1">OFFSET(E66,-1,1)</f>
        <v>0</v>
      </c>
      <c r="G66" s="22" t="s">
        <v>731</v>
      </c>
      <c r="T66" s="351" t="b" cm="1">
        <f t="array" ref="T66">T65</f>
        <v>0</v>
      </c>
      <c r="X66" s="1046"/>
      <c r="Z66" s="1047"/>
      <c r="AB66" s="7" t="s">
        <v>1011</v>
      </c>
      <c r="AC66" s="127" t="s">
        <v>940</v>
      </c>
      <c r="AD66" s="8" t="s">
        <v>859</v>
      </c>
      <c r="AE66" s="777"/>
      <c r="AF66" s="777"/>
      <c r="AG66" s="777"/>
      <c r="AH66" s="777"/>
      <c r="AI66" s="128"/>
      <c r="AJ66" s="128"/>
      <c r="AK66" s="128"/>
      <c r="AL66" s="777"/>
      <c r="AM66" s="777"/>
      <c r="AN66" s="777"/>
      <c r="AO66" s="777"/>
      <c r="AP66" s="777"/>
      <c r="AQ66" s="777"/>
      <c r="AR66" s="777"/>
      <c r="AS66" s="128"/>
      <c r="AT66" s="128"/>
      <c r="AU66" s="128"/>
      <c r="AV66" s="777"/>
      <c r="AW66" s="777"/>
      <c r="AX66" s="777"/>
      <c r="AY66" s="777"/>
      <c r="AZ66" s="777"/>
      <c r="BA66" s="777"/>
      <c r="BB66" s="777"/>
      <c r="BC66" s="823"/>
      <c r="BF66" s="678" t="s">
        <v>1012</v>
      </c>
    </row>
    <row r="67" spans="2:58" ht="14.65" hidden="1" customHeight="1">
      <c r="E67" s="447">
        <v>15</v>
      </c>
      <c r="F67" s="3" cm="1">
        <f t="array" aca="1" ref="F67" ca="1">OFFSET(E67,-1,1)</f>
        <v>0</v>
      </c>
      <c r="G67" s="22" t="s">
        <v>1013</v>
      </c>
      <c r="T67" s="351" t="b" cm="1">
        <f t="array" ref="T67">T66</f>
        <v>0</v>
      </c>
      <c r="X67" s="1046"/>
      <c r="Z67" s="1047"/>
      <c r="AB67" s="7" t="s">
        <v>1014</v>
      </c>
      <c r="AC67" s="127" t="s">
        <v>943</v>
      </c>
      <c r="AD67" s="8" t="s">
        <v>859</v>
      </c>
      <c r="AE67" s="777"/>
      <c r="AF67" s="777"/>
      <c r="AG67" s="777"/>
      <c r="AH67" s="777"/>
      <c r="AI67" s="128"/>
      <c r="AJ67" s="128"/>
      <c r="AK67" s="128"/>
      <c r="AL67" s="777"/>
      <c r="AM67" s="777"/>
      <c r="AN67" s="777"/>
      <c r="AO67" s="777"/>
      <c r="AP67" s="777"/>
      <c r="AQ67" s="777"/>
      <c r="AR67" s="777"/>
      <c r="AS67" s="128"/>
      <c r="AT67" s="128"/>
      <c r="AU67" s="128"/>
      <c r="AV67" s="777"/>
      <c r="AW67" s="777"/>
      <c r="AX67" s="777"/>
      <c r="AY67" s="777"/>
      <c r="AZ67" s="777"/>
      <c r="BA67" s="777"/>
      <c r="BB67" s="777"/>
      <c r="BC67" s="823"/>
      <c r="BF67" s="678" t="s">
        <v>1015</v>
      </c>
    </row>
    <row r="68" spans="2:58" ht="14.65" hidden="1" customHeight="1">
      <c r="E68" s="447">
        <v>15</v>
      </c>
      <c r="F68" s="3" cm="1">
        <f t="array" aca="1" ref="F68" ca="1">OFFSET(E68,-1,1)</f>
        <v>0</v>
      </c>
      <c r="G68" s="22" t="s">
        <v>1016</v>
      </c>
      <c r="T68" s="351" t="b" cm="1">
        <f t="array" ref="T68">T67</f>
        <v>0</v>
      </c>
      <c r="X68" s="1046"/>
      <c r="Z68" s="1047"/>
      <c r="AB68" s="7" t="s">
        <v>1017</v>
      </c>
      <c r="AC68" s="127" t="s">
        <v>946</v>
      </c>
      <c r="AD68" s="8" t="s">
        <v>859</v>
      </c>
      <c r="AE68" s="777"/>
      <c r="AF68" s="777"/>
      <c r="AG68" s="777"/>
      <c r="AH68" s="777"/>
      <c r="AI68" s="128"/>
      <c r="AJ68" s="128"/>
      <c r="AK68" s="128"/>
      <c r="AL68" s="777"/>
      <c r="AM68" s="777"/>
      <c r="AN68" s="777"/>
      <c r="AO68" s="777"/>
      <c r="AP68" s="777"/>
      <c r="AQ68" s="777"/>
      <c r="AR68" s="777"/>
      <c r="AS68" s="128"/>
      <c r="AT68" s="128"/>
      <c r="AU68" s="128"/>
      <c r="AV68" s="777"/>
      <c r="AW68" s="777"/>
      <c r="AX68" s="777"/>
      <c r="AY68" s="777"/>
      <c r="AZ68" s="777"/>
      <c r="BA68" s="777"/>
      <c r="BB68" s="777"/>
      <c r="BC68" s="823"/>
      <c r="BF68" s="678" t="s">
        <v>1018</v>
      </c>
    </row>
    <row r="69" spans="2:58" ht="14.65" hidden="1" customHeight="1">
      <c r="E69" s="447">
        <v>15</v>
      </c>
      <c r="F69" s="3" cm="1">
        <f t="array" aca="1" ref="F69" ca="1">OFFSET(E69,-1,1)</f>
        <v>0</v>
      </c>
      <c r="G69" s="22" t="s">
        <v>1019</v>
      </c>
      <c r="T69" s="351" t="b" cm="1">
        <f t="array" ref="T69">T68</f>
        <v>0</v>
      </c>
      <c r="X69" s="1046"/>
      <c r="Z69" s="1047"/>
      <c r="AB69" s="7" t="s">
        <v>1020</v>
      </c>
      <c r="AC69" s="127" t="s">
        <v>950</v>
      </c>
      <c r="AD69" s="8" t="s">
        <v>859</v>
      </c>
      <c r="AE69" s="777"/>
      <c r="AF69" s="777"/>
      <c r="AG69" s="777"/>
      <c r="AH69" s="777"/>
      <c r="AI69" s="128"/>
      <c r="AJ69" s="128"/>
      <c r="AK69" s="128"/>
      <c r="AL69" s="777"/>
      <c r="AM69" s="777"/>
      <c r="AN69" s="777"/>
      <c r="AO69" s="777"/>
      <c r="AP69" s="777"/>
      <c r="AQ69" s="777"/>
      <c r="AR69" s="777"/>
      <c r="AS69" s="128"/>
      <c r="AT69" s="128"/>
      <c r="AU69" s="128"/>
      <c r="AV69" s="777"/>
      <c r="AW69" s="777"/>
      <c r="AX69" s="777"/>
      <c r="AY69" s="777"/>
      <c r="AZ69" s="777"/>
      <c r="BA69" s="777"/>
      <c r="BB69" s="777"/>
      <c r="BC69" s="823"/>
      <c r="BF69" s="678" t="s">
        <v>1021</v>
      </c>
    </row>
    <row r="70" spans="2:58" s="63" customFormat="1" ht="14.65" hidden="1" customHeight="1">
      <c r="B70" s="327"/>
      <c r="E70" s="447">
        <v>15</v>
      </c>
      <c r="F70" s="3" cm="1">
        <f t="array" aca="1" ref="F70" ca="1">OFFSET(E70,-1,1)</f>
        <v>0</v>
      </c>
      <c r="G70" s="22" t="s">
        <v>613</v>
      </c>
      <c r="T70" s="351" t="b" cm="1">
        <f t="array" ref="T70">T69</f>
        <v>0</v>
      </c>
      <c r="X70" s="1046"/>
      <c r="Z70" s="1047"/>
      <c r="AB70" s="124">
        <v>8</v>
      </c>
      <c r="AC70" s="125" t="s">
        <v>1022</v>
      </c>
      <c r="AD70" s="8" t="s">
        <v>859</v>
      </c>
      <c r="AE70" s="773">
        <f t="shared" ref="AE70:BB70" si="22">SUM(AE71:AE75)</f>
        <v>0</v>
      </c>
      <c r="AF70" s="773">
        <f t="shared" si="22"/>
        <v>0</v>
      </c>
      <c r="AG70" s="773">
        <f t="shared" si="22"/>
        <v>0</v>
      </c>
      <c r="AH70" s="773">
        <f t="shared" si="22"/>
        <v>0</v>
      </c>
      <c r="AI70" s="138">
        <f t="shared" si="22"/>
        <v>0</v>
      </c>
      <c r="AJ70" s="138">
        <f t="shared" si="22"/>
        <v>0</v>
      </c>
      <c r="AK70" s="138">
        <f t="shared" si="22"/>
        <v>0</v>
      </c>
      <c r="AL70" s="773">
        <f t="shared" si="22"/>
        <v>0</v>
      </c>
      <c r="AM70" s="773">
        <f t="shared" si="22"/>
        <v>0</v>
      </c>
      <c r="AN70" s="773">
        <f t="shared" si="22"/>
        <v>0</v>
      </c>
      <c r="AO70" s="773">
        <f t="shared" si="22"/>
        <v>0</v>
      </c>
      <c r="AP70" s="773">
        <f t="shared" si="22"/>
        <v>0</v>
      </c>
      <c r="AQ70" s="773">
        <f t="shared" si="22"/>
        <v>0</v>
      </c>
      <c r="AR70" s="773">
        <f t="shared" si="22"/>
        <v>0</v>
      </c>
      <c r="AS70" s="138">
        <f t="shared" si="22"/>
        <v>0</v>
      </c>
      <c r="AT70" s="138">
        <f t="shared" si="22"/>
        <v>0</v>
      </c>
      <c r="AU70" s="138">
        <f t="shared" si="22"/>
        <v>0</v>
      </c>
      <c r="AV70" s="773">
        <f t="shared" si="22"/>
        <v>0</v>
      </c>
      <c r="AW70" s="773">
        <f t="shared" si="22"/>
        <v>0</v>
      </c>
      <c r="AX70" s="773">
        <f t="shared" si="22"/>
        <v>0</v>
      </c>
      <c r="AY70" s="773">
        <f t="shared" si="22"/>
        <v>0</v>
      </c>
      <c r="AZ70" s="773">
        <f t="shared" si="22"/>
        <v>0</v>
      </c>
      <c r="BA70" s="773">
        <f t="shared" si="22"/>
        <v>0</v>
      </c>
      <c r="BB70" s="773">
        <f t="shared" si="22"/>
        <v>0</v>
      </c>
      <c r="BC70" s="823"/>
      <c r="BF70" s="678" t="s">
        <v>1023</v>
      </c>
    </row>
    <row r="71" spans="2:58" ht="14.65" hidden="1" customHeight="1">
      <c r="E71" s="447">
        <v>15</v>
      </c>
      <c r="F71" s="3" cm="1">
        <f t="array" aca="1" ref="F71" ca="1">OFFSET(E71,-1,1)</f>
        <v>0</v>
      </c>
      <c r="G71" s="22" t="s">
        <v>616</v>
      </c>
      <c r="T71" s="351" t="b" cm="1">
        <f t="array" ref="T71">T70</f>
        <v>0</v>
      </c>
      <c r="X71" s="1046"/>
      <c r="Z71" s="1047"/>
      <c r="AB71" s="7" t="s">
        <v>639</v>
      </c>
      <c r="AC71" s="127" t="s">
        <v>937</v>
      </c>
      <c r="AD71" s="8" t="s">
        <v>859</v>
      </c>
      <c r="AE71" s="777"/>
      <c r="AF71" s="777"/>
      <c r="AG71" s="777"/>
      <c r="AH71" s="777"/>
      <c r="AI71" s="128"/>
      <c r="AJ71" s="128"/>
      <c r="AK71" s="128"/>
      <c r="AL71" s="777"/>
      <c r="AM71" s="777"/>
      <c r="AN71" s="777"/>
      <c r="AO71" s="777"/>
      <c r="AP71" s="777"/>
      <c r="AQ71" s="777"/>
      <c r="AR71" s="777"/>
      <c r="AS71" s="128"/>
      <c r="AT71" s="128"/>
      <c r="AU71" s="128"/>
      <c r="AV71" s="777"/>
      <c r="AW71" s="777"/>
      <c r="AX71" s="777"/>
      <c r="AY71" s="777"/>
      <c r="AZ71" s="777"/>
      <c r="BA71" s="777"/>
      <c r="BB71" s="777"/>
      <c r="BC71" s="823"/>
      <c r="BF71" s="678" t="s">
        <v>1024</v>
      </c>
    </row>
    <row r="72" spans="2:58" ht="14.65" hidden="1" customHeight="1">
      <c r="E72" s="447">
        <v>15</v>
      </c>
      <c r="F72" s="3" cm="1">
        <f t="array" aca="1" ref="F72" ca="1">OFFSET(E72,-1,1)</f>
        <v>0</v>
      </c>
      <c r="G72" s="22" t="s">
        <v>620</v>
      </c>
      <c r="T72" s="351" t="b" cm="1">
        <f t="array" ref="T72">T71</f>
        <v>0</v>
      </c>
      <c r="X72" s="1046"/>
      <c r="Z72" s="1047"/>
      <c r="AB72" s="7" t="s">
        <v>656</v>
      </c>
      <c r="AC72" s="127" t="s">
        <v>940</v>
      </c>
      <c r="AD72" s="8" t="s">
        <v>859</v>
      </c>
      <c r="AE72" s="777"/>
      <c r="AF72" s="777"/>
      <c r="AG72" s="777"/>
      <c r="AH72" s="777"/>
      <c r="AI72" s="128"/>
      <c r="AJ72" s="128"/>
      <c r="AK72" s="128"/>
      <c r="AL72" s="777"/>
      <c r="AM72" s="777"/>
      <c r="AN72" s="777"/>
      <c r="AO72" s="777"/>
      <c r="AP72" s="777"/>
      <c r="AQ72" s="777"/>
      <c r="AR72" s="777"/>
      <c r="AS72" s="128"/>
      <c r="AT72" s="128"/>
      <c r="AU72" s="128"/>
      <c r="AV72" s="777"/>
      <c r="AW72" s="777"/>
      <c r="AX72" s="777"/>
      <c r="AY72" s="777"/>
      <c r="AZ72" s="777"/>
      <c r="BA72" s="777"/>
      <c r="BB72" s="777"/>
      <c r="BC72" s="823"/>
      <c r="BF72" s="678" t="s">
        <v>1025</v>
      </c>
    </row>
    <row r="73" spans="2:58" ht="14.65" hidden="1" customHeight="1">
      <c r="E73" s="447">
        <v>15</v>
      </c>
      <c r="F73" s="3" cm="1">
        <f t="array" aca="1" ref="F73" ca="1">OFFSET(E73,-1,1)</f>
        <v>0</v>
      </c>
      <c r="G73" s="22" t="s">
        <v>624</v>
      </c>
      <c r="T73" s="351" t="b" cm="1">
        <f t="array" ref="T73">T72</f>
        <v>0</v>
      </c>
      <c r="X73" s="1046"/>
      <c r="Z73" s="1047"/>
      <c r="AB73" s="7" t="s">
        <v>668</v>
      </c>
      <c r="AC73" s="127" t="s">
        <v>943</v>
      </c>
      <c r="AD73" s="8" t="s">
        <v>859</v>
      </c>
      <c r="AE73" s="777"/>
      <c r="AF73" s="777"/>
      <c r="AG73" s="777"/>
      <c r="AH73" s="777"/>
      <c r="AI73" s="128"/>
      <c r="AJ73" s="128"/>
      <c r="AK73" s="128"/>
      <c r="AL73" s="777"/>
      <c r="AM73" s="777"/>
      <c r="AN73" s="777"/>
      <c r="AO73" s="777"/>
      <c r="AP73" s="777"/>
      <c r="AQ73" s="777"/>
      <c r="AR73" s="777"/>
      <c r="AS73" s="128"/>
      <c r="AT73" s="128"/>
      <c r="AU73" s="128"/>
      <c r="AV73" s="777"/>
      <c r="AW73" s="777"/>
      <c r="AX73" s="777"/>
      <c r="AY73" s="777"/>
      <c r="AZ73" s="777"/>
      <c r="BA73" s="777"/>
      <c r="BB73" s="777"/>
      <c r="BC73" s="823"/>
      <c r="BF73" s="678" t="s">
        <v>1026</v>
      </c>
    </row>
    <row r="74" spans="2:58" ht="14.65" hidden="1" customHeight="1">
      <c r="E74" s="447">
        <v>15</v>
      </c>
      <c r="F74" s="3" cm="1">
        <f t="array" aca="1" ref="F74" ca="1">OFFSET(E74,-1,1)</f>
        <v>0</v>
      </c>
      <c r="G74" s="22" t="s">
        <v>1027</v>
      </c>
      <c r="T74" s="351" t="b" cm="1">
        <f t="array" ref="T74">T73</f>
        <v>0</v>
      </c>
      <c r="X74" s="1046"/>
      <c r="Z74" s="1047"/>
      <c r="AB74" s="7" t="s">
        <v>703</v>
      </c>
      <c r="AC74" s="127" t="s">
        <v>946</v>
      </c>
      <c r="AD74" s="8" t="s">
        <v>859</v>
      </c>
      <c r="AE74" s="777"/>
      <c r="AF74" s="777"/>
      <c r="AG74" s="777"/>
      <c r="AH74" s="777"/>
      <c r="AI74" s="128"/>
      <c r="AJ74" s="128"/>
      <c r="AK74" s="128"/>
      <c r="AL74" s="777"/>
      <c r="AM74" s="777"/>
      <c r="AN74" s="777"/>
      <c r="AO74" s="777"/>
      <c r="AP74" s="777"/>
      <c r="AQ74" s="777"/>
      <c r="AR74" s="777"/>
      <c r="AS74" s="128"/>
      <c r="AT74" s="128"/>
      <c r="AU74" s="128"/>
      <c r="AV74" s="777"/>
      <c r="AW74" s="777"/>
      <c r="AX74" s="777"/>
      <c r="AY74" s="777"/>
      <c r="AZ74" s="777"/>
      <c r="BA74" s="777"/>
      <c r="BB74" s="777"/>
      <c r="BC74" s="823"/>
      <c r="BF74" s="678" t="s">
        <v>1028</v>
      </c>
    </row>
    <row r="75" spans="2:58" ht="14.65" hidden="1" customHeight="1">
      <c r="E75" s="447">
        <v>15</v>
      </c>
      <c r="F75" s="3" cm="1">
        <f t="array" aca="1" ref="F75" ca="1">OFFSET(E75,-1,1)</f>
        <v>0</v>
      </c>
      <c r="G75" s="22" t="s">
        <v>1029</v>
      </c>
      <c r="T75" s="351" t="b" cm="1">
        <f t="array" ref="T75">T74</f>
        <v>0</v>
      </c>
      <c r="X75" s="1046"/>
      <c r="Z75" s="1047"/>
      <c r="AB75" s="7" t="s">
        <v>706</v>
      </c>
      <c r="AC75" s="127" t="s">
        <v>950</v>
      </c>
      <c r="AD75" s="8" t="s">
        <v>859</v>
      </c>
      <c r="AE75" s="777"/>
      <c r="AF75" s="777"/>
      <c r="AG75" s="777"/>
      <c r="AH75" s="777"/>
      <c r="AI75" s="128"/>
      <c r="AJ75" s="128"/>
      <c r="AK75" s="128"/>
      <c r="AL75" s="777"/>
      <c r="AM75" s="777"/>
      <c r="AN75" s="777"/>
      <c r="AO75" s="777"/>
      <c r="AP75" s="777"/>
      <c r="AQ75" s="777"/>
      <c r="AR75" s="777"/>
      <c r="AS75" s="128"/>
      <c r="AT75" s="128"/>
      <c r="AU75" s="128"/>
      <c r="AV75" s="777"/>
      <c r="AW75" s="777"/>
      <c r="AX75" s="777"/>
      <c r="AY75" s="777"/>
      <c r="AZ75" s="777"/>
      <c r="BA75" s="777"/>
      <c r="BB75" s="777"/>
      <c r="BC75" s="823"/>
      <c r="BF75" s="678" t="s">
        <v>1030</v>
      </c>
    </row>
    <row r="76" spans="2:58" ht="22.7" customHeight="1">
      <c r="E76" s="447">
        <v>15</v>
      </c>
      <c r="F76" s="517" t="str" cm="1">
        <f t="array" ref="F76">X76</f>
        <v>1</v>
      </c>
      <c r="T76" s="351" t="b">
        <f>X76&gt;0</f>
        <v>1</v>
      </c>
      <c r="V76" s="22" t="str" cm="1">
        <f t="array" ref="V76">ЭЭ!$AB$47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76" s="1046" t="s">
        <v>277</v>
      </c>
      <c r="Z76" s="1047"/>
      <c r="AB76" s="97" t="str" cm="1">
        <f t="array" ref="AB76">ЭЭ!$AB$47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76" s="94"/>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123"/>
    </row>
    <row r="77" spans="2:58" s="63" customFormat="1" ht="21.75" customHeight="1">
      <c r="B77" s="327"/>
      <c r="E77" s="486">
        <v>22.5</v>
      </c>
      <c r="F77" s="3" t="str" cm="1">
        <f t="array" aca="1" ref="F77" ca="1">OFFSET(E77,-1,1)</f>
        <v>1</v>
      </c>
      <c r="G77" s="22" t="s">
        <v>321</v>
      </c>
      <c r="T77" s="351" t="b" cm="1">
        <f t="array" ref="T77">T76</f>
        <v>1</v>
      </c>
      <c r="X77" s="1046"/>
      <c r="Z77" s="1047"/>
      <c r="AB77" s="124">
        <v>1</v>
      </c>
      <c r="AC77" s="125" t="s">
        <v>934</v>
      </c>
      <c r="AD77" s="8" t="s">
        <v>859</v>
      </c>
      <c r="AE77" s="138">
        <f t="shared" ref="AE77:BB77" si="23">SUM(AE78:AE82)</f>
        <v>0</v>
      </c>
      <c r="AF77" s="138">
        <f t="shared" si="23"/>
        <v>0</v>
      </c>
      <c r="AG77" s="138">
        <f t="shared" si="23"/>
        <v>0</v>
      </c>
      <c r="AH77" s="138">
        <f t="shared" si="23"/>
        <v>0</v>
      </c>
      <c r="AI77" s="138">
        <f t="shared" si="23"/>
        <v>0</v>
      </c>
      <c r="AJ77" s="138">
        <f t="shared" si="23"/>
        <v>0</v>
      </c>
      <c r="AK77" s="138">
        <f t="shared" si="23"/>
        <v>0</v>
      </c>
      <c r="AL77" s="138">
        <f t="shared" si="23"/>
        <v>0</v>
      </c>
      <c r="AM77" s="138">
        <f t="shared" si="23"/>
        <v>0</v>
      </c>
      <c r="AN77" s="138">
        <f t="shared" si="23"/>
        <v>0</v>
      </c>
      <c r="AO77" s="138">
        <f t="shared" si="23"/>
        <v>0</v>
      </c>
      <c r="AP77" s="138">
        <f t="shared" si="23"/>
        <v>0</v>
      </c>
      <c r="AQ77" s="138">
        <f t="shared" si="23"/>
        <v>0</v>
      </c>
      <c r="AR77" s="138">
        <f t="shared" si="23"/>
        <v>0</v>
      </c>
      <c r="AS77" s="138">
        <f t="shared" si="23"/>
        <v>0</v>
      </c>
      <c r="AT77" s="138">
        <f t="shared" si="23"/>
        <v>0</v>
      </c>
      <c r="AU77" s="138">
        <f t="shared" si="23"/>
        <v>0</v>
      </c>
      <c r="AV77" s="138">
        <f t="shared" si="23"/>
        <v>0</v>
      </c>
      <c r="AW77" s="138">
        <f t="shared" si="23"/>
        <v>0</v>
      </c>
      <c r="AX77" s="138">
        <f t="shared" si="23"/>
        <v>0</v>
      </c>
      <c r="AY77" s="138">
        <f t="shared" si="23"/>
        <v>0</v>
      </c>
      <c r="AZ77" s="138">
        <f t="shared" si="23"/>
        <v>0</v>
      </c>
      <c r="BA77" s="138">
        <f t="shared" si="23"/>
        <v>0</v>
      </c>
      <c r="BB77" s="138">
        <f t="shared" si="23"/>
        <v>0</v>
      </c>
      <c r="BC77" s="113"/>
      <c r="BF77" s="678" t="s">
        <v>935</v>
      </c>
    </row>
    <row r="78" spans="2:58" ht="14.25" customHeight="1">
      <c r="E78" s="447">
        <v>15</v>
      </c>
      <c r="F78" s="3" t="str" cm="1">
        <f t="array" aca="1" ref="F78" ca="1">OFFSET(E78,-1,1)</f>
        <v>1</v>
      </c>
      <c r="G78" s="22" t="s">
        <v>507</v>
      </c>
      <c r="T78" s="351" t="b" cm="1">
        <f t="array" ref="T78">T77</f>
        <v>1</v>
      </c>
      <c r="X78" s="1046"/>
      <c r="Z78" s="1047"/>
      <c r="AB78" s="7" t="s">
        <v>936</v>
      </c>
      <c r="AC78" s="127" t="s">
        <v>937</v>
      </c>
      <c r="AD78" s="8" t="s">
        <v>859</v>
      </c>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13"/>
      <c r="BF78" s="678" t="s">
        <v>938</v>
      </c>
    </row>
    <row r="79" spans="2:58" ht="14.25" customHeight="1">
      <c r="E79" s="447">
        <v>15</v>
      </c>
      <c r="F79" s="3" t="str" cm="1">
        <f t="array" aca="1" ref="F79" ca="1">OFFSET(E79,-1,1)</f>
        <v>1</v>
      </c>
      <c r="G79" s="22" t="s">
        <v>511</v>
      </c>
      <c r="T79" s="351" t="b" cm="1">
        <f t="array" ref="T79">T78</f>
        <v>1</v>
      </c>
      <c r="X79" s="1046"/>
      <c r="Z79" s="1047"/>
      <c r="AB79" s="7" t="s">
        <v>939</v>
      </c>
      <c r="AC79" s="127" t="s">
        <v>940</v>
      </c>
      <c r="AD79" s="8" t="s">
        <v>859</v>
      </c>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13"/>
      <c r="BF79" s="678" t="s">
        <v>941</v>
      </c>
    </row>
    <row r="80" spans="2:58" ht="14.25" customHeight="1">
      <c r="E80" s="447">
        <v>15</v>
      </c>
      <c r="F80" s="3" t="str" cm="1">
        <f t="array" aca="1" ref="F80" ca="1">OFFSET(E80,-1,1)</f>
        <v>1</v>
      </c>
      <c r="G80" s="22" t="s">
        <v>514</v>
      </c>
      <c r="T80" s="351" t="b" cm="1">
        <f t="array" ref="T80">T79</f>
        <v>1</v>
      </c>
      <c r="X80" s="1046"/>
      <c r="Z80" s="1047"/>
      <c r="AB80" s="7" t="s">
        <v>942</v>
      </c>
      <c r="AC80" s="127" t="s">
        <v>943</v>
      </c>
      <c r="AD80" s="8" t="s">
        <v>859</v>
      </c>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13"/>
      <c r="BF80" s="678" t="s">
        <v>944</v>
      </c>
    </row>
    <row r="81" spans="2:58" ht="14.25" customHeight="1">
      <c r="E81" s="447">
        <v>15</v>
      </c>
      <c r="F81" s="3" t="str" cm="1">
        <f t="array" aca="1" ref="F81" ca="1">OFFSET(E81,-1,1)</f>
        <v>1</v>
      </c>
      <c r="G81" s="22" t="s">
        <v>518</v>
      </c>
      <c r="T81" s="351" t="b" cm="1">
        <f t="array" ref="T81">T80</f>
        <v>1</v>
      </c>
      <c r="X81" s="1046"/>
      <c r="Z81" s="1047"/>
      <c r="AB81" s="7" t="s">
        <v>945</v>
      </c>
      <c r="AC81" s="127" t="s">
        <v>946</v>
      </c>
      <c r="AD81" s="8" t="s">
        <v>859</v>
      </c>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13"/>
      <c r="BF81" s="678" t="s">
        <v>947</v>
      </c>
    </row>
    <row r="82" spans="2:58" ht="14.25" customHeight="1">
      <c r="E82" s="447">
        <v>15</v>
      </c>
      <c r="F82" s="3" t="str" cm="1">
        <f t="array" aca="1" ref="F82" ca="1">OFFSET(E82,-1,1)</f>
        <v>1</v>
      </c>
      <c r="G82" s="22" t="s">
        <v>948</v>
      </c>
      <c r="T82" s="351" t="b" cm="1">
        <f t="array" ref="T82">T81</f>
        <v>1</v>
      </c>
      <c r="X82" s="1046"/>
      <c r="Z82" s="1047"/>
      <c r="AB82" s="7" t="s">
        <v>949</v>
      </c>
      <c r="AC82" s="127" t="s">
        <v>950</v>
      </c>
      <c r="AD82" s="8" t="s">
        <v>859</v>
      </c>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13"/>
      <c r="BF82" s="678" t="s">
        <v>951</v>
      </c>
    </row>
    <row r="83" spans="2:58" s="63" customFormat="1" ht="14.25" customHeight="1">
      <c r="B83" s="327"/>
      <c r="E83" s="447">
        <v>15</v>
      </c>
      <c r="F83" s="3" t="str" cm="1">
        <f t="array" aca="1" ref="F83" ca="1">OFFSET(E83,-1,1)</f>
        <v>1</v>
      </c>
      <c r="G83" s="22" t="s">
        <v>322</v>
      </c>
      <c r="T83" s="351" t="b" cm="1">
        <f t="array" ref="T83">T82</f>
        <v>1</v>
      </c>
      <c r="X83" s="1046"/>
      <c r="Z83" s="1047"/>
      <c r="AB83" s="124">
        <v>2</v>
      </c>
      <c r="AC83" s="125" t="s">
        <v>952</v>
      </c>
      <c r="AD83" s="8" t="s">
        <v>859</v>
      </c>
      <c r="AE83" s="138">
        <f t="shared" ref="AE83:BB83" si="24">SUM(AE84:AE88)</f>
        <v>0</v>
      </c>
      <c r="AF83" s="138">
        <f t="shared" si="24"/>
        <v>0</v>
      </c>
      <c r="AG83" s="138">
        <f t="shared" si="24"/>
        <v>0</v>
      </c>
      <c r="AH83" s="138">
        <f t="shared" si="24"/>
        <v>0</v>
      </c>
      <c r="AI83" s="138">
        <f t="shared" si="24"/>
        <v>0</v>
      </c>
      <c r="AJ83" s="138">
        <f t="shared" si="24"/>
        <v>0</v>
      </c>
      <c r="AK83" s="138">
        <f t="shared" si="24"/>
        <v>0</v>
      </c>
      <c r="AL83" s="138">
        <f t="shared" si="24"/>
        <v>0</v>
      </c>
      <c r="AM83" s="138">
        <f t="shared" si="24"/>
        <v>0</v>
      </c>
      <c r="AN83" s="138">
        <f t="shared" si="24"/>
        <v>0</v>
      </c>
      <c r="AO83" s="138">
        <f t="shared" si="24"/>
        <v>0</v>
      </c>
      <c r="AP83" s="138">
        <f t="shared" si="24"/>
        <v>0</v>
      </c>
      <c r="AQ83" s="138">
        <f t="shared" si="24"/>
        <v>0</v>
      </c>
      <c r="AR83" s="138">
        <f t="shared" si="24"/>
        <v>0</v>
      </c>
      <c r="AS83" s="138">
        <f t="shared" si="24"/>
        <v>0</v>
      </c>
      <c r="AT83" s="138">
        <f t="shared" si="24"/>
        <v>0</v>
      </c>
      <c r="AU83" s="138">
        <f t="shared" si="24"/>
        <v>0</v>
      </c>
      <c r="AV83" s="138">
        <f t="shared" si="24"/>
        <v>0</v>
      </c>
      <c r="AW83" s="138">
        <f t="shared" si="24"/>
        <v>0</v>
      </c>
      <c r="AX83" s="138">
        <f t="shared" si="24"/>
        <v>0</v>
      </c>
      <c r="AY83" s="138">
        <f t="shared" si="24"/>
        <v>0</v>
      </c>
      <c r="AZ83" s="138">
        <f t="shared" si="24"/>
        <v>0</v>
      </c>
      <c r="BA83" s="138">
        <f t="shared" si="24"/>
        <v>0</v>
      </c>
      <c r="BB83" s="138">
        <f t="shared" si="24"/>
        <v>0</v>
      </c>
      <c r="BC83" s="113"/>
      <c r="BF83" s="678" t="s">
        <v>953</v>
      </c>
    </row>
    <row r="84" spans="2:58" ht="14.25" customHeight="1">
      <c r="E84" s="447">
        <v>15</v>
      </c>
      <c r="F84" s="3" t="str" cm="1">
        <f t="array" aca="1" ref="F84" ca="1">OFFSET(E84,-1,1)</f>
        <v>1</v>
      </c>
      <c r="G84" s="22" t="s">
        <v>525</v>
      </c>
      <c r="T84" s="351" t="b" cm="1">
        <f t="array" ref="T84">T83</f>
        <v>1</v>
      </c>
      <c r="X84" s="1046"/>
      <c r="Z84" s="1047"/>
      <c r="AB84" s="7" t="s">
        <v>588</v>
      </c>
      <c r="AC84" s="127" t="s">
        <v>937</v>
      </c>
      <c r="AD84" s="8" t="s">
        <v>859</v>
      </c>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13"/>
      <c r="BF84" s="678" t="s">
        <v>954</v>
      </c>
    </row>
    <row r="85" spans="2:58" ht="14.25" customHeight="1">
      <c r="E85" s="447">
        <v>15</v>
      </c>
      <c r="F85" s="3" t="str" cm="1">
        <f t="array" aca="1" ref="F85" ca="1">OFFSET(E85,-1,1)</f>
        <v>1</v>
      </c>
      <c r="G85" s="22" t="s">
        <v>528</v>
      </c>
      <c r="T85" s="351" t="b" cm="1">
        <f t="array" ref="T85">T84</f>
        <v>1</v>
      </c>
      <c r="X85" s="1046"/>
      <c r="Z85" s="1047"/>
      <c r="AB85" s="7" t="s">
        <v>592</v>
      </c>
      <c r="AC85" s="127" t="s">
        <v>940</v>
      </c>
      <c r="AD85" s="8" t="s">
        <v>859</v>
      </c>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13"/>
      <c r="BF85" s="678" t="s">
        <v>955</v>
      </c>
    </row>
    <row r="86" spans="2:58" ht="14.25" customHeight="1">
      <c r="E86" s="447">
        <v>15</v>
      </c>
      <c r="F86" s="3" t="str" cm="1">
        <f t="array" aca="1" ref="F86" ca="1">OFFSET(E86,-1,1)</f>
        <v>1</v>
      </c>
      <c r="G86" s="22" t="s">
        <v>956</v>
      </c>
      <c r="T86" s="351" t="b" cm="1">
        <f t="array" ref="T86">T85</f>
        <v>1</v>
      </c>
      <c r="X86" s="1046"/>
      <c r="Z86" s="1047"/>
      <c r="AB86" s="7" t="s">
        <v>596</v>
      </c>
      <c r="AC86" s="127" t="s">
        <v>943</v>
      </c>
      <c r="AD86" s="8" t="s">
        <v>859</v>
      </c>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13"/>
      <c r="BF86" s="678" t="s">
        <v>957</v>
      </c>
    </row>
    <row r="87" spans="2:58" ht="14.25" customHeight="1">
      <c r="E87" s="447">
        <v>15</v>
      </c>
      <c r="F87" s="3" t="str" cm="1">
        <f t="array" aca="1" ref="F87" ca="1">OFFSET(E87,-1,1)</f>
        <v>1</v>
      </c>
      <c r="G87" s="22" t="s">
        <v>958</v>
      </c>
      <c r="T87" s="351" t="b" cm="1">
        <f t="array" ref="T87">T86</f>
        <v>1</v>
      </c>
      <c r="X87" s="1046"/>
      <c r="Z87" s="1047"/>
      <c r="AB87" s="7" t="s">
        <v>959</v>
      </c>
      <c r="AC87" s="127" t="s">
        <v>946</v>
      </c>
      <c r="AD87" s="8" t="s">
        <v>859</v>
      </c>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13"/>
      <c r="BF87" s="678" t="s">
        <v>960</v>
      </c>
    </row>
    <row r="88" spans="2:58" ht="14.25" customHeight="1">
      <c r="E88" s="447">
        <v>15</v>
      </c>
      <c r="F88" s="3" t="str" cm="1">
        <f t="array" aca="1" ref="F88" ca="1">OFFSET(E88,-1,1)</f>
        <v>1</v>
      </c>
      <c r="G88" s="22" t="s">
        <v>961</v>
      </c>
      <c r="T88" s="351" t="b" cm="1">
        <f t="array" ref="T88">T87</f>
        <v>1</v>
      </c>
      <c r="X88" s="1046"/>
      <c r="Z88" s="1047"/>
      <c r="AB88" s="7" t="s">
        <v>962</v>
      </c>
      <c r="AC88" s="127" t="s">
        <v>950</v>
      </c>
      <c r="AD88" s="8" t="s">
        <v>859</v>
      </c>
      <c r="AE88" s="128"/>
      <c r="AF88" s="128"/>
      <c r="AG88" s="128"/>
      <c r="AH88" s="128"/>
      <c r="AI88" s="128"/>
      <c r="AJ88" s="128"/>
      <c r="AK88" s="128"/>
      <c r="AL88" s="128"/>
      <c r="AM88" s="128"/>
      <c r="AN88" s="128"/>
      <c r="AO88" s="128"/>
      <c r="AP88" s="128"/>
      <c r="AQ88" s="128"/>
      <c r="AR88" s="128"/>
      <c r="AS88" s="128"/>
      <c r="AT88" s="128"/>
      <c r="AU88" s="128"/>
      <c r="AV88" s="128"/>
      <c r="AW88" s="128"/>
      <c r="AX88" s="128"/>
      <c r="AY88" s="128"/>
      <c r="AZ88" s="128"/>
      <c r="BA88" s="128"/>
      <c r="BB88" s="128"/>
      <c r="BC88" s="113"/>
      <c r="BF88" s="678" t="s">
        <v>963</v>
      </c>
    </row>
    <row r="89" spans="2:58" s="63" customFormat="1" ht="14.25" customHeight="1">
      <c r="B89" s="327"/>
      <c r="E89" s="447">
        <v>15</v>
      </c>
      <c r="F89" s="3" t="str" cm="1">
        <f t="array" aca="1" ref="F89" ca="1">OFFSET(E89,-1,1)</f>
        <v>1</v>
      </c>
      <c r="G89" s="22" t="s">
        <v>323</v>
      </c>
      <c r="T89" s="351" t="b" cm="1">
        <f t="array" ref="T89">T88</f>
        <v>1</v>
      </c>
      <c r="X89" s="1046"/>
      <c r="Z89" s="1047"/>
      <c r="AB89" s="124">
        <v>3</v>
      </c>
      <c r="AC89" s="125" t="s">
        <v>964</v>
      </c>
      <c r="AD89" s="8" t="s">
        <v>859</v>
      </c>
      <c r="AE89" s="138">
        <f t="shared" ref="AE89:BB89" si="25">SUM(AE90:AE94)</f>
        <v>0</v>
      </c>
      <c r="AF89" s="138">
        <f t="shared" si="25"/>
        <v>0</v>
      </c>
      <c r="AG89" s="138">
        <f t="shared" si="25"/>
        <v>0</v>
      </c>
      <c r="AH89" s="138">
        <f t="shared" si="25"/>
        <v>0</v>
      </c>
      <c r="AI89" s="138">
        <f t="shared" si="25"/>
        <v>0</v>
      </c>
      <c r="AJ89" s="138">
        <f t="shared" si="25"/>
        <v>0</v>
      </c>
      <c r="AK89" s="138">
        <f t="shared" si="25"/>
        <v>0</v>
      </c>
      <c r="AL89" s="138">
        <f t="shared" si="25"/>
        <v>0</v>
      </c>
      <c r="AM89" s="138">
        <f t="shared" si="25"/>
        <v>0</v>
      </c>
      <c r="AN89" s="138">
        <f t="shared" si="25"/>
        <v>0</v>
      </c>
      <c r="AO89" s="138">
        <f t="shared" si="25"/>
        <v>0</v>
      </c>
      <c r="AP89" s="138">
        <f t="shared" si="25"/>
        <v>0</v>
      </c>
      <c r="AQ89" s="138">
        <f t="shared" si="25"/>
        <v>0</v>
      </c>
      <c r="AR89" s="138">
        <f t="shared" si="25"/>
        <v>0</v>
      </c>
      <c r="AS89" s="138">
        <f t="shared" si="25"/>
        <v>0</v>
      </c>
      <c r="AT89" s="138">
        <f t="shared" si="25"/>
        <v>0</v>
      </c>
      <c r="AU89" s="138">
        <f t="shared" si="25"/>
        <v>0</v>
      </c>
      <c r="AV89" s="138">
        <f t="shared" si="25"/>
        <v>0</v>
      </c>
      <c r="AW89" s="138">
        <f t="shared" si="25"/>
        <v>0</v>
      </c>
      <c r="AX89" s="138">
        <f t="shared" si="25"/>
        <v>0</v>
      </c>
      <c r="AY89" s="138">
        <f t="shared" si="25"/>
        <v>0</v>
      </c>
      <c r="AZ89" s="138">
        <f t="shared" si="25"/>
        <v>0</v>
      </c>
      <c r="BA89" s="138">
        <f t="shared" si="25"/>
        <v>0</v>
      </c>
      <c r="BB89" s="138">
        <f t="shared" si="25"/>
        <v>0</v>
      </c>
      <c r="BC89" s="113"/>
      <c r="BF89" s="678" t="s">
        <v>965</v>
      </c>
    </row>
    <row r="90" spans="2:58" ht="14.25" customHeight="1">
      <c r="E90" s="447">
        <v>15</v>
      </c>
      <c r="F90" s="3" t="str" cm="1">
        <f t="array" aca="1" ref="F90" ca="1">OFFSET(E90,-1,1)</f>
        <v>1</v>
      </c>
      <c r="G90" s="22" t="s">
        <v>966</v>
      </c>
      <c r="T90" s="351" t="b" cm="1">
        <f t="array" ref="T90">T89</f>
        <v>1</v>
      </c>
      <c r="X90" s="1046"/>
      <c r="Z90" s="1047"/>
      <c r="AB90" s="7" t="s">
        <v>602</v>
      </c>
      <c r="AC90" s="127" t="s">
        <v>937</v>
      </c>
      <c r="AD90" s="8" t="s">
        <v>859</v>
      </c>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13"/>
      <c r="BF90" s="678" t="s">
        <v>967</v>
      </c>
    </row>
    <row r="91" spans="2:58" ht="14.25" customHeight="1">
      <c r="E91" s="447">
        <v>15</v>
      </c>
      <c r="F91" s="3" t="str" cm="1">
        <f t="array" aca="1" ref="F91" ca="1">OFFSET(E91,-1,1)</f>
        <v>1</v>
      </c>
      <c r="G91" s="22" t="s">
        <v>968</v>
      </c>
      <c r="T91" s="351" t="b" cm="1">
        <f t="array" ref="T91">T90</f>
        <v>1</v>
      </c>
      <c r="X91" s="1046"/>
      <c r="Z91" s="1047"/>
      <c r="AB91" s="7" t="s">
        <v>606</v>
      </c>
      <c r="AC91" s="127" t="s">
        <v>940</v>
      </c>
      <c r="AD91" s="8" t="s">
        <v>859</v>
      </c>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13"/>
      <c r="BF91" s="678" t="s">
        <v>969</v>
      </c>
    </row>
    <row r="92" spans="2:58" ht="14.25" customHeight="1">
      <c r="E92" s="447">
        <v>15</v>
      </c>
      <c r="F92" s="3" t="str" cm="1">
        <f t="array" aca="1" ref="F92" ca="1">OFFSET(E92,-1,1)</f>
        <v>1</v>
      </c>
      <c r="G92" s="22" t="s">
        <v>970</v>
      </c>
      <c r="T92" s="351" t="b" cm="1">
        <f t="array" ref="T92">T91</f>
        <v>1</v>
      </c>
      <c r="X92" s="1046"/>
      <c r="Z92" s="1047"/>
      <c r="AB92" s="7" t="s">
        <v>818</v>
      </c>
      <c r="AC92" s="127" t="s">
        <v>943</v>
      </c>
      <c r="AD92" s="8" t="s">
        <v>859</v>
      </c>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8"/>
      <c r="BA92" s="128"/>
      <c r="BB92" s="128"/>
      <c r="BC92" s="113"/>
      <c r="BF92" s="678" t="s">
        <v>971</v>
      </c>
    </row>
    <row r="93" spans="2:58" ht="14.25" customHeight="1">
      <c r="E93" s="447">
        <v>15</v>
      </c>
      <c r="F93" s="3" t="str" cm="1">
        <f t="array" aca="1" ref="F93" ca="1">OFFSET(E93,-1,1)</f>
        <v>1</v>
      </c>
      <c r="G93" s="22" t="s">
        <v>972</v>
      </c>
      <c r="T93" s="351" t="b" cm="1">
        <f t="array" ref="T93">T92</f>
        <v>1</v>
      </c>
      <c r="X93" s="1046"/>
      <c r="Z93" s="1047"/>
      <c r="AB93" s="7" t="s">
        <v>973</v>
      </c>
      <c r="AC93" s="127" t="s">
        <v>946</v>
      </c>
      <c r="AD93" s="8" t="s">
        <v>859</v>
      </c>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13"/>
      <c r="BF93" s="678" t="s">
        <v>974</v>
      </c>
    </row>
    <row r="94" spans="2:58" ht="14.25" customHeight="1">
      <c r="E94" s="447">
        <v>15</v>
      </c>
      <c r="F94" s="3" t="str" cm="1">
        <f t="array" aca="1" ref="F94" ca="1">OFFSET(E94,-1,1)</f>
        <v>1</v>
      </c>
      <c r="G94" s="22" t="s">
        <v>975</v>
      </c>
      <c r="T94" s="351" t="b" cm="1">
        <f t="array" ref="T94">T93</f>
        <v>1</v>
      </c>
      <c r="X94" s="1046"/>
      <c r="Z94" s="1047"/>
      <c r="AB94" s="7" t="s">
        <v>976</v>
      </c>
      <c r="AC94" s="127" t="s">
        <v>950</v>
      </c>
      <c r="AD94" s="8" t="s">
        <v>859</v>
      </c>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13"/>
      <c r="BF94" s="678" t="s">
        <v>977</v>
      </c>
    </row>
    <row r="95" spans="2:58" s="63" customFormat="1" ht="21.75" customHeight="1">
      <c r="B95" s="327"/>
      <c r="E95" s="486">
        <v>22.5</v>
      </c>
      <c r="F95" s="3" t="str" cm="1">
        <f t="array" aca="1" ref="F95" ca="1">OFFSET(E95,-1,1)</f>
        <v>1</v>
      </c>
      <c r="G95" s="22" t="s">
        <v>325</v>
      </c>
      <c r="T95" s="351" t="b" cm="1">
        <f t="array" ref="T95">T94</f>
        <v>1</v>
      </c>
      <c r="X95" s="1046"/>
      <c r="Z95" s="1047"/>
      <c r="AB95" s="124">
        <v>4</v>
      </c>
      <c r="AC95" s="125" t="s">
        <v>978</v>
      </c>
      <c r="AD95" s="8" t="s">
        <v>859</v>
      </c>
      <c r="AE95" s="138">
        <f t="shared" ref="AE95:BB95" si="26">SUM(AE96:AE100)</f>
        <v>0</v>
      </c>
      <c r="AF95" s="138">
        <f t="shared" si="26"/>
        <v>0</v>
      </c>
      <c r="AG95" s="138">
        <f t="shared" si="26"/>
        <v>0</v>
      </c>
      <c r="AH95" s="138">
        <f t="shared" si="26"/>
        <v>0</v>
      </c>
      <c r="AI95" s="138">
        <f t="shared" si="26"/>
        <v>0</v>
      </c>
      <c r="AJ95" s="138">
        <f t="shared" si="26"/>
        <v>0</v>
      </c>
      <c r="AK95" s="138">
        <f t="shared" si="26"/>
        <v>0</v>
      </c>
      <c r="AL95" s="138">
        <f t="shared" si="26"/>
        <v>0</v>
      </c>
      <c r="AM95" s="138">
        <f t="shared" si="26"/>
        <v>0</v>
      </c>
      <c r="AN95" s="138">
        <f t="shared" si="26"/>
        <v>0</v>
      </c>
      <c r="AO95" s="138">
        <f t="shared" si="26"/>
        <v>0</v>
      </c>
      <c r="AP95" s="138">
        <f t="shared" si="26"/>
        <v>0</v>
      </c>
      <c r="AQ95" s="138">
        <f t="shared" si="26"/>
        <v>0</v>
      </c>
      <c r="AR95" s="138">
        <f t="shared" si="26"/>
        <v>0</v>
      </c>
      <c r="AS95" s="138">
        <f t="shared" si="26"/>
        <v>0</v>
      </c>
      <c r="AT95" s="138">
        <f t="shared" si="26"/>
        <v>0</v>
      </c>
      <c r="AU95" s="138">
        <f t="shared" si="26"/>
        <v>0</v>
      </c>
      <c r="AV95" s="138">
        <f t="shared" si="26"/>
        <v>0</v>
      </c>
      <c r="AW95" s="138">
        <f t="shared" si="26"/>
        <v>0</v>
      </c>
      <c r="AX95" s="138">
        <f t="shared" si="26"/>
        <v>0</v>
      </c>
      <c r="AY95" s="138">
        <f t="shared" si="26"/>
        <v>0</v>
      </c>
      <c r="AZ95" s="138">
        <f t="shared" si="26"/>
        <v>0</v>
      </c>
      <c r="BA95" s="138">
        <f t="shared" si="26"/>
        <v>0</v>
      </c>
      <c r="BB95" s="138">
        <f t="shared" si="26"/>
        <v>0</v>
      </c>
      <c r="BC95" s="113"/>
      <c r="BF95" s="678" t="s">
        <v>979</v>
      </c>
    </row>
    <row r="96" spans="2:58" ht="14.25" customHeight="1">
      <c r="E96" s="447">
        <v>15</v>
      </c>
      <c r="F96" s="3" t="str" cm="1">
        <f t="array" aca="1" ref="F96" ca="1">OFFSET(E96,-1,1)</f>
        <v>1</v>
      </c>
      <c r="G96" s="22" t="s">
        <v>587</v>
      </c>
      <c r="T96" s="351" t="b" cm="1">
        <f t="array" ref="T96">T95</f>
        <v>1</v>
      </c>
      <c r="X96" s="1046"/>
      <c r="Z96" s="1047"/>
      <c r="AB96" s="7" t="s">
        <v>722</v>
      </c>
      <c r="AC96" s="127" t="s">
        <v>937</v>
      </c>
      <c r="AD96" s="8" t="s">
        <v>859</v>
      </c>
      <c r="AE96" s="128">
        <f t="shared" ref="AE96:BB96" si="27">AE78+AE84-AE90</f>
        <v>0</v>
      </c>
      <c r="AF96" s="128">
        <f t="shared" si="27"/>
        <v>0</v>
      </c>
      <c r="AG96" s="128">
        <f t="shared" si="27"/>
        <v>0</v>
      </c>
      <c r="AH96" s="128">
        <f t="shared" si="27"/>
        <v>0</v>
      </c>
      <c r="AI96" s="128">
        <f t="shared" si="27"/>
        <v>0</v>
      </c>
      <c r="AJ96" s="128">
        <f t="shared" si="27"/>
        <v>0</v>
      </c>
      <c r="AK96" s="128">
        <f t="shared" si="27"/>
        <v>0</v>
      </c>
      <c r="AL96" s="128">
        <f t="shared" si="27"/>
        <v>0</v>
      </c>
      <c r="AM96" s="128">
        <f t="shared" si="27"/>
        <v>0</v>
      </c>
      <c r="AN96" s="128">
        <f t="shared" si="27"/>
        <v>0</v>
      </c>
      <c r="AO96" s="128">
        <f t="shared" si="27"/>
        <v>0</v>
      </c>
      <c r="AP96" s="128">
        <f t="shared" si="27"/>
        <v>0</v>
      </c>
      <c r="AQ96" s="128">
        <f t="shared" si="27"/>
        <v>0</v>
      </c>
      <c r="AR96" s="128">
        <f t="shared" si="27"/>
        <v>0</v>
      </c>
      <c r="AS96" s="128">
        <f t="shared" si="27"/>
        <v>0</v>
      </c>
      <c r="AT96" s="128">
        <f t="shared" si="27"/>
        <v>0</v>
      </c>
      <c r="AU96" s="128">
        <f t="shared" si="27"/>
        <v>0</v>
      </c>
      <c r="AV96" s="128">
        <f t="shared" si="27"/>
        <v>0</v>
      </c>
      <c r="AW96" s="128">
        <f t="shared" si="27"/>
        <v>0</v>
      </c>
      <c r="AX96" s="128">
        <f t="shared" si="27"/>
        <v>0</v>
      </c>
      <c r="AY96" s="128">
        <f t="shared" si="27"/>
        <v>0</v>
      </c>
      <c r="AZ96" s="128">
        <f t="shared" si="27"/>
        <v>0</v>
      </c>
      <c r="BA96" s="128">
        <f t="shared" si="27"/>
        <v>0</v>
      </c>
      <c r="BB96" s="128">
        <f t="shared" si="27"/>
        <v>0</v>
      </c>
      <c r="BC96" s="113"/>
      <c r="BF96" s="678" t="s">
        <v>980</v>
      </c>
    </row>
    <row r="97" spans="2:58" ht="14.25" customHeight="1">
      <c r="E97" s="447">
        <v>15</v>
      </c>
      <c r="F97" s="3" t="str" cm="1">
        <f t="array" aca="1" ref="F97" ca="1">OFFSET(E97,-1,1)</f>
        <v>1</v>
      </c>
      <c r="G97" s="22" t="s">
        <v>591</v>
      </c>
      <c r="T97" s="351" t="b" cm="1">
        <f t="array" ref="T97">T96</f>
        <v>1</v>
      </c>
      <c r="X97" s="1046"/>
      <c r="Z97" s="1047"/>
      <c r="AB97" s="7" t="s">
        <v>725</v>
      </c>
      <c r="AC97" s="127" t="s">
        <v>940</v>
      </c>
      <c r="AD97" s="8" t="s">
        <v>859</v>
      </c>
      <c r="AE97" s="128">
        <f t="shared" ref="AE97:BB97" si="28">AE79+AE85-AE91</f>
        <v>0</v>
      </c>
      <c r="AF97" s="128">
        <f t="shared" si="28"/>
        <v>0</v>
      </c>
      <c r="AG97" s="128">
        <f t="shared" si="28"/>
        <v>0</v>
      </c>
      <c r="AH97" s="128">
        <f t="shared" si="28"/>
        <v>0</v>
      </c>
      <c r="AI97" s="128">
        <f t="shared" si="28"/>
        <v>0</v>
      </c>
      <c r="AJ97" s="128">
        <f t="shared" si="28"/>
        <v>0</v>
      </c>
      <c r="AK97" s="128">
        <f t="shared" si="28"/>
        <v>0</v>
      </c>
      <c r="AL97" s="128">
        <f t="shared" si="28"/>
        <v>0</v>
      </c>
      <c r="AM97" s="128">
        <f t="shared" si="28"/>
        <v>0</v>
      </c>
      <c r="AN97" s="128">
        <f t="shared" si="28"/>
        <v>0</v>
      </c>
      <c r="AO97" s="128">
        <f t="shared" si="28"/>
        <v>0</v>
      </c>
      <c r="AP97" s="128">
        <f t="shared" si="28"/>
        <v>0</v>
      </c>
      <c r="AQ97" s="128">
        <f t="shared" si="28"/>
        <v>0</v>
      </c>
      <c r="AR97" s="128">
        <f t="shared" si="28"/>
        <v>0</v>
      </c>
      <c r="AS97" s="128">
        <f t="shared" si="28"/>
        <v>0</v>
      </c>
      <c r="AT97" s="128">
        <f t="shared" si="28"/>
        <v>0</v>
      </c>
      <c r="AU97" s="128">
        <f t="shared" si="28"/>
        <v>0</v>
      </c>
      <c r="AV97" s="128">
        <f t="shared" si="28"/>
        <v>0</v>
      </c>
      <c r="AW97" s="128">
        <f t="shared" si="28"/>
        <v>0</v>
      </c>
      <c r="AX97" s="128">
        <f t="shared" si="28"/>
        <v>0</v>
      </c>
      <c r="AY97" s="128">
        <f t="shared" si="28"/>
        <v>0</v>
      </c>
      <c r="AZ97" s="128">
        <f t="shared" si="28"/>
        <v>0</v>
      </c>
      <c r="BA97" s="128">
        <f t="shared" si="28"/>
        <v>0</v>
      </c>
      <c r="BB97" s="128">
        <f t="shared" si="28"/>
        <v>0</v>
      </c>
      <c r="BC97" s="113"/>
      <c r="BF97" s="678" t="s">
        <v>981</v>
      </c>
    </row>
    <row r="98" spans="2:58" ht="14.25" customHeight="1">
      <c r="E98" s="447">
        <v>15</v>
      </c>
      <c r="F98" s="3" t="str" cm="1">
        <f t="array" aca="1" ref="F98" ca="1">OFFSET(E98,-1,1)</f>
        <v>1</v>
      </c>
      <c r="G98" s="22" t="s">
        <v>595</v>
      </c>
      <c r="T98" s="351" t="b" cm="1">
        <f t="array" ref="T98">T97</f>
        <v>1</v>
      </c>
      <c r="X98" s="1046"/>
      <c r="Z98" s="1047"/>
      <c r="AB98" s="7" t="s">
        <v>759</v>
      </c>
      <c r="AC98" s="127" t="s">
        <v>943</v>
      </c>
      <c r="AD98" s="8" t="s">
        <v>859</v>
      </c>
      <c r="AE98" s="128">
        <f t="shared" ref="AE98:BB98" si="29">AE80+AE86-AE92</f>
        <v>0</v>
      </c>
      <c r="AF98" s="128">
        <f t="shared" si="29"/>
        <v>0</v>
      </c>
      <c r="AG98" s="128">
        <f t="shared" si="29"/>
        <v>0</v>
      </c>
      <c r="AH98" s="128">
        <f t="shared" si="29"/>
        <v>0</v>
      </c>
      <c r="AI98" s="128">
        <f t="shared" si="29"/>
        <v>0</v>
      </c>
      <c r="AJ98" s="128">
        <f t="shared" si="29"/>
        <v>0</v>
      </c>
      <c r="AK98" s="128">
        <f t="shared" si="29"/>
        <v>0</v>
      </c>
      <c r="AL98" s="128">
        <f t="shared" si="29"/>
        <v>0</v>
      </c>
      <c r="AM98" s="128">
        <f t="shared" si="29"/>
        <v>0</v>
      </c>
      <c r="AN98" s="128">
        <f t="shared" si="29"/>
        <v>0</v>
      </c>
      <c r="AO98" s="128">
        <f t="shared" si="29"/>
        <v>0</v>
      </c>
      <c r="AP98" s="128">
        <f t="shared" si="29"/>
        <v>0</v>
      </c>
      <c r="AQ98" s="128">
        <f t="shared" si="29"/>
        <v>0</v>
      </c>
      <c r="AR98" s="128">
        <f t="shared" si="29"/>
        <v>0</v>
      </c>
      <c r="AS98" s="128">
        <f t="shared" si="29"/>
        <v>0</v>
      </c>
      <c r="AT98" s="128">
        <f t="shared" si="29"/>
        <v>0</v>
      </c>
      <c r="AU98" s="128">
        <f t="shared" si="29"/>
        <v>0</v>
      </c>
      <c r="AV98" s="128">
        <f t="shared" si="29"/>
        <v>0</v>
      </c>
      <c r="AW98" s="128">
        <f t="shared" si="29"/>
        <v>0</v>
      </c>
      <c r="AX98" s="128">
        <f t="shared" si="29"/>
        <v>0</v>
      </c>
      <c r="AY98" s="128">
        <f t="shared" si="29"/>
        <v>0</v>
      </c>
      <c r="AZ98" s="128">
        <f t="shared" si="29"/>
        <v>0</v>
      </c>
      <c r="BA98" s="128">
        <f t="shared" si="29"/>
        <v>0</v>
      </c>
      <c r="BB98" s="128">
        <f t="shared" si="29"/>
        <v>0</v>
      </c>
      <c r="BC98" s="113"/>
      <c r="BF98" s="678" t="s">
        <v>982</v>
      </c>
    </row>
    <row r="99" spans="2:58" ht="14.25" customHeight="1">
      <c r="E99" s="447">
        <v>15</v>
      </c>
      <c r="F99" s="3" t="str" cm="1">
        <f t="array" aca="1" ref="F99" ca="1">OFFSET(E99,-1,1)</f>
        <v>1</v>
      </c>
      <c r="G99" s="22" t="s">
        <v>983</v>
      </c>
      <c r="T99" s="351" t="b" cm="1">
        <f t="array" ref="T99">T98</f>
        <v>1</v>
      </c>
      <c r="X99" s="1046"/>
      <c r="Z99" s="1047"/>
      <c r="AB99" s="7" t="s">
        <v>768</v>
      </c>
      <c r="AC99" s="127" t="s">
        <v>946</v>
      </c>
      <c r="AD99" s="8" t="s">
        <v>859</v>
      </c>
      <c r="AE99" s="128">
        <f t="shared" ref="AE99:BB99" si="30">AE81+AE87-AE93</f>
        <v>0</v>
      </c>
      <c r="AF99" s="128">
        <f t="shared" si="30"/>
        <v>0</v>
      </c>
      <c r="AG99" s="128">
        <f t="shared" si="30"/>
        <v>0</v>
      </c>
      <c r="AH99" s="128">
        <f t="shared" si="30"/>
        <v>0</v>
      </c>
      <c r="AI99" s="128">
        <f t="shared" si="30"/>
        <v>0</v>
      </c>
      <c r="AJ99" s="128">
        <f t="shared" si="30"/>
        <v>0</v>
      </c>
      <c r="AK99" s="128">
        <f t="shared" si="30"/>
        <v>0</v>
      </c>
      <c r="AL99" s="128">
        <f t="shared" si="30"/>
        <v>0</v>
      </c>
      <c r="AM99" s="128">
        <f t="shared" si="30"/>
        <v>0</v>
      </c>
      <c r="AN99" s="128">
        <f t="shared" si="30"/>
        <v>0</v>
      </c>
      <c r="AO99" s="128">
        <f t="shared" si="30"/>
        <v>0</v>
      </c>
      <c r="AP99" s="128">
        <f t="shared" si="30"/>
        <v>0</v>
      </c>
      <c r="AQ99" s="128">
        <f t="shared" si="30"/>
        <v>0</v>
      </c>
      <c r="AR99" s="128">
        <f t="shared" si="30"/>
        <v>0</v>
      </c>
      <c r="AS99" s="128">
        <f t="shared" si="30"/>
        <v>0</v>
      </c>
      <c r="AT99" s="128">
        <f t="shared" si="30"/>
        <v>0</v>
      </c>
      <c r="AU99" s="128">
        <f t="shared" si="30"/>
        <v>0</v>
      </c>
      <c r="AV99" s="128">
        <f t="shared" si="30"/>
        <v>0</v>
      </c>
      <c r="AW99" s="128">
        <f t="shared" si="30"/>
        <v>0</v>
      </c>
      <c r="AX99" s="128">
        <f t="shared" si="30"/>
        <v>0</v>
      </c>
      <c r="AY99" s="128">
        <f t="shared" si="30"/>
        <v>0</v>
      </c>
      <c r="AZ99" s="128">
        <f t="shared" si="30"/>
        <v>0</v>
      </c>
      <c r="BA99" s="128">
        <f t="shared" si="30"/>
        <v>0</v>
      </c>
      <c r="BB99" s="128">
        <f t="shared" si="30"/>
        <v>0</v>
      </c>
      <c r="BC99" s="113"/>
      <c r="BF99" s="678" t="s">
        <v>984</v>
      </c>
    </row>
    <row r="100" spans="2:58" ht="14.25" customHeight="1">
      <c r="E100" s="447">
        <v>15</v>
      </c>
      <c r="F100" s="3" t="str" cm="1">
        <f t="array" aca="1" ref="F100" ca="1">OFFSET(E100,-1,1)</f>
        <v>1</v>
      </c>
      <c r="G100" s="22" t="s">
        <v>985</v>
      </c>
      <c r="T100" s="351" t="b" cm="1">
        <f t="array" ref="T100">T99</f>
        <v>1</v>
      </c>
      <c r="X100" s="1046"/>
      <c r="Z100" s="1047"/>
      <c r="AB100" s="7" t="s">
        <v>778</v>
      </c>
      <c r="AC100" s="127" t="s">
        <v>950</v>
      </c>
      <c r="AD100" s="8" t="s">
        <v>859</v>
      </c>
      <c r="AE100" s="128">
        <f t="shared" ref="AE100:BB100" si="31">AE82+AE88-AE94</f>
        <v>0</v>
      </c>
      <c r="AF100" s="128">
        <f t="shared" si="31"/>
        <v>0</v>
      </c>
      <c r="AG100" s="128">
        <f t="shared" si="31"/>
        <v>0</v>
      </c>
      <c r="AH100" s="128">
        <f t="shared" si="31"/>
        <v>0</v>
      </c>
      <c r="AI100" s="128">
        <f t="shared" si="31"/>
        <v>0</v>
      </c>
      <c r="AJ100" s="128">
        <f t="shared" si="31"/>
        <v>0</v>
      </c>
      <c r="AK100" s="128">
        <f t="shared" si="31"/>
        <v>0</v>
      </c>
      <c r="AL100" s="128">
        <f t="shared" si="31"/>
        <v>0</v>
      </c>
      <c r="AM100" s="128">
        <f t="shared" si="31"/>
        <v>0</v>
      </c>
      <c r="AN100" s="128">
        <f t="shared" si="31"/>
        <v>0</v>
      </c>
      <c r="AO100" s="128">
        <f t="shared" si="31"/>
        <v>0</v>
      </c>
      <c r="AP100" s="128">
        <f t="shared" si="31"/>
        <v>0</v>
      </c>
      <c r="AQ100" s="128">
        <f t="shared" si="31"/>
        <v>0</v>
      </c>
      <c r="AR100" s="128">
        <f t="shared" si="31"/>
        <v>0</v>
      </c>
      <c r="AS100" s="128">
        <f t="shared" si="31"/>
        <v>0</v>
      </c>
      <c r="AT100" s="128">
        <f t="shared" si="31"/>
        <v>0</v>
      </c>
      <c r="AU100" s="128">
        <f t="shared" si="31"/>
        <v>0</v>
      </c>
      <c r="AV100" s="128">
        <f t="shared" si="31"/>
        <v>0</v>
      </c>
      <c r="AW100" s="128">
        <f t="shared" si="31"/>
        <v>0</v>
      </c>
      <c r="AX100" s="128">
        <f t="shared" si="31"/>
        <v>0</v>
      </c>
      <c r="AY100" s="128">
        <f t="shared" si="31"/>
        <v>0</v>
      </c>
      <c r="AZ100" s="128">
        <f t="shared" si="31"/>
        <v>0</v>
      </c>
      <c r="BA100" s="128">
        <f t="shared" si="31"/>
        <v>0</v>
      </c>
      <c r="BB100" s="128">
        <f t="shared" si="31"/>
        <v>0</v>
      </c>
      <c r="BC100" s="113"/>
      <c r="BF100" s="678" t="s">
        <v>986</v>
      </c>
    </row>
    <row r="101" spans="2:58" s="63" customFormat="1" ht="14.25" customHeight="1">
      <c r="B101" s="327"/>
      <c r="E101" s="447">
        <v>15</v>
      </c>
      <c r="F101" s="3" t="str" cm="1">
        <f t="array" aca="1" ref="F101" ca="1">OFFSET(E101,-1,1)</f>
        <v>1</v>
      </c>
      <c r="G101" s="22" t="s">
        <v>324</v>
      </c>
      <c r="T101" s="351" t="b" cm="1">
        <f t="array" ref="T101">T100</f>
        <v>1</v>
      </c>
      <c r="X101" s="1046"/>
      <c r="Z101" s="1047"/>
      <c r="AB101" s="124">
        <v>5</v>
      </c>
      <c r="AC101" s="125" t="s">
        <v>987</v>
      </c>
      <c r="AD101" s="8" t="s">
        <v>859</v>
      </c>
      <c r="AE101" s="138">
        <f t="shared" ref="AE101:BB101" si="32">SUM(AE102:AE106)</f>
        <v>0</v>
      </c>
      <c r="AF101" s="138">
        <f t="shared" si="32"/>
        <v>0</v>
      </c>
      <c r="AG101" s="138">
        <f t="shared" si="32"/>
        <v>0</v>
      </c>
      <c r="AH101" s="138">
        <f t="shared" si="32"/>
        <v>0</v>
      </c>
      <c r="AI101" s="138">
        <f t="shared" si="32"/>
        <v>0</v>
      </c>
      <c r="AJ101" s="138">
        <f t="shared" si="32"/>
        <v>0</v>
      </c>
      <c r="AK101" s="138">
        <f t="shared" si="32"/>
        <v>0</v>
      </c>
      <c r="AL101" s="138">
        <f t="shared" si="32"/>
        <v>0</v>
      </c>
      <c r="AM101" s="138">
        <f t="shared" si="32"/>
        <v>0</v>
      </c>
      <c r="AN101" s="138">
        <f t="shared" si="32"/>
        <v>0</v>
      </c>
      <c r="AO101" s="138">
        <f t="shared" si="32"/>
        <v>0</v>
      </c>
      <c r="AP101" s="138">
        <f t="shared" si="32"/>
        <v>0</v>
      </c>
      <c r="AQ101" s="138">
        <f t="shared" si="32"/>
        <v>0</v>
      </c>
      <c r="AR101" s="138">
        <f t="shared" si="32"/>
        <v>0</v>
      </c>
      <c r="AS101" s="138">
        <f t="shared" si="32"/>
        <v>0</v>
      </c>
      <c r="AT101" s="138">
        <f t="shared" si="32"/>
        <v>0</v>
      </c>
      <c r="AU101" s="138">
        <f t="shared" si="32"/>
        <v>0</v>
      </c>
      <c r="AV101" s="138">
        <f t="shared" si="32"/>
        <v>0</v>
      </c>
      <c r="AW101" s="138">
        <f t="shared" si="32"/>
        <v>0</v>
      </c>
      <c r="AX101" s="138">
        <f t="shared" si="32"/>
        <v>0</v>
      </c>
      <c r="AY101" s="138">
        <f t="shared" si="32"/>
        <v>0</v>
      </c>
      <c r="AZ101" s="138">
        <f t="shared" si="32"/>
        <v>0</v>
      </c>
      <c r="BA101" s="138">
        <f t="shared" si="32"/>
        <v>0</v>
      </c>
      <c r="BB101" s="138">
        <f t="shared" si="32"/>
        <v>0</v>
      </c>
      <c r="BC101" s="113"/>
      <c r="BF101" s="678" t="s">
        <v>988</v>
      </c>
    </row>
    <row r="102" spans="2:58" ht="14.25" customHeight="1">
      <c r="E102" s="447">
        <v>15</v>
      </c>
      <c r="F102" s="3" t="str" cm="1">
        <f t="array" aca="1" ref="F102" ca="1">OFFSET(E102,-1,1)</f>
        <v>1</v>
      </c>
      <c r="G102" s="22" t="s">
        <v>601</v>
      </c>
      <c r="T102" s="351" t="b" cm="1">
        <f t="array" ref="T102">T101</f>
        <v>1</v>
      </c>
      <c r="X102" s="1046"/>
      <c r="Z102" s="1047"/>
      <c r="AB102" s="7" t="s">
        <v>729</v>
      </c>
      <c r="AC102" s="127" t="s">
        <v>937</v>
      </c>
      <c r="AD102" s="8" t="s">
        <v>859</v>
      </c>
      <c r="AE102" s="128">
        <f t="shared" ref="AE102:BB102" si="33">(AE96+AE78)/2</f>
        <v>0</v>
      </c>
      <c r="AF102" s="128">
        <f t="shared" si="33"/>
        <v>0</v>
      </c>
      <c r="AG102" s="128">
        <f t="shared" si="33"/>
        <v>0</v>
      </c>
      <c r="AH102" s="128">
        <f t="shared" si="33"/>
        <v>0</v>
      </c>
      <c r="AI102" s="128">
        <f t="shared" si="33"/>
        <v>0</v>
      </c>
      <c r="AJ102" s="128">
        <f t="shared" si="33"/>
        <v>0</v>
      </c>
      <c r="AK102" s="128">
        <f t="shared" si="33"/>
        <v>0</v>
      </c>
      <c r="AL102" s="128">
        <f t="shared" si="33"/>
        <v>0</v>
      </c>
      <c r="AM102" s="128">
        <f t="shared" si="33"/>
        <v>0</v>
      </c>
      <c r="AN102" s="128">
        <f t="shared" si="33"/>
        <v>0</v>
      </c>
      <c r="AO102" s="128">
        <f t="shared" si="33"/>
        <v>0</v>
      </c>
      <c r="AP102" s="128">
        <f t="shared" si="33"/>
        <v>0</v>
      </c>
      <c r="AQ102" s="128">
        <f t="shared" si="33"/>
        <v>0</v>
      </c>
      <c r="AR102" s="128">
        <f t="shared" si="33"/>
        <v>0</v>
      </c>
      <c r="AS102" s="128">
        <f t="shared" si="33"/>
        <v>0</v>
      </c>
      <c r="AT102" s="128">
        <f t="shared" si="33"/>
        <v>0</v>
      </c>
      <c r="AU102" s="128">
        <f t="shared" si="33"/>
        <v>0</v>
      </c>
      <c r="AV102" s="128">
        <f t="shared" si="33"/>
        <v>0</v>
      </c>
      <c r="AW102" s="128">
        <f t="shared" si="33"/>
        <v>0</v>
      </c>
      <c r="AX102" s="128">
        <f t="shared" si="33"/>
        <v>0</v>
      </c>
      <c r="AY102" s="128">
        <f t="shared" si="33"/>
        <v>0</v>
      </c>
      <c r="AZ102" s="128">
        <f t="shared" si="33"/>
        <v>0</v>
      </c>
      <c r="BA102" s="128">
        <f t="shared" si="33"/>
        <v>0</v>
      </c>
      <c r="BB102" s="128">
        <f t="shared" si="33"/>
        <v>0</v>
      </c>
      <c r="BC102" s="113"/>
      <c r="BF102" s="678" t="s">
        <v>989</v>
      </c>
    </row>
    <row r="103" spans="2:58" ht="14.25" customHeight="1">
      <c r="E103" s="447">
        <v>15</v>
      </c>
      <c r="F103" s="3" t="str" cm="1">
        <f t="array" aca="1" ref="F103" ca="1">OFFSET(E103,-1,1)</f>
        <v>1</v>
      </c>
      <c r="G103" s="22" t="s">
        <v>605</v>
      </c>
      <c r="T103" s="351" t="b" cm="1">
        <f t="array" ref="T103">T102</f>
        <v>1</v>
      </c>
      <c r="X103" s="1046"/>
      <c r="Z103" s="1047"/>
      <c r="AB103" s="7" t="s">
        <v>732</v>
      </c>
      <c r="AC103" s="127" t="s">
        <v>940</v>
      </c>
      <c r="AD103" s="8" t="s">
        <v>859</v>
      </c>
      <c r="AE103" s="128">
        <f t="shared" ref="AE103:BB103" si="34">(AE97+AE79)/2</f>
        <v>0</v>
      </c>
      <c r="AF103" s="128">
        <f t="shared" si="34"/>
        <v>0</v>
      </c>
      <c r="AG103" s="128">
        <f t="shared" si="34"/>
        <v>0</v>
      </c>
      <c r="AH103" s="128">
        <f t="shared" si="34"/>
        <v>0</v>
      </c>
      <c r="AI103" s="128">
        <f t="shared" si="34"/>
        <v>0</v>
      </c>
      <c r="AJ103" s="128">
        <f t="shared" si="34"/>
        <v>0</v>
      </c>
      <c r="AK103" s="128">
        <f t="shared" si="34"/>
        <v>0</v>
      </c>
      <c r="AL103" s="128">
        <f t="shared" si="34"/>
        <v>0</v>
      </c>
      <c r="AM103" s="128">
        <f t="shared" si="34"/>
        <v>0</v>
      </c>
      <c r="AN103" s="128">
        <f t="shared" si="34"/>
        <v>0</v>
      </c>
      <c r="AO103" s="128">
        <f t="shared" si="34"/>
        <v>0</v>
      </c>
      <c r="AP103" s="128">
        <f t="shared" si="34"/>
        <v>0</v>
      </c>
      <c r="AQ103" s="128">
        <f t="shared" si="34"/>
        <v>0</v>
      </c>
      <c r="AR103" s="128">
        <f t="shared" si="34"/>
        <v>0</v>
      </c>
      <c r="AS103" s="128">
        <f t="shared" si="34"/>
        <v>0</v>
      </c>
      <c r="AT103" s="128">
        <f t="shared" si="34"/>
        <v>0</v>
      </c>
      <c r="AU103" s="128">
        <f t="shared" si="34"/>
        <v>0</v>
      </c>
      <c r="AV103" s="128">
        <f t="shared" si="34"/>
        <v>0</v>
      </c>
      <c r="AW103" s="128">
        <f t="shared" si="34"/>
        <v>0</v>
      </c>
      <c r="AX103" s="128">
        <f t="shared" si="34"/>
        <v>0</v>
      </c>
      <c r="AY103" s="128">
        <f t="shared" si="34"/>
        <v>0</v>
      </c>
      <c r="AZ103" s="128">
        <f t="shared" si="34"/>
        <v>0</v>
      </c>
      <c r="BA103" s="128">
        <f t="shared" si="34"/>
        <v>0</v>
      </c>
      <c r="BB103" s="128">
        <f t="shared" si="34"/>
        <v>0</v>
      </c>
      <c r="BC103" s="113"/>
      <c r="BF103" s="678" t="s">
        <v>990</v>
      </c>
    </row>
    <row r="104" spans="2:58" ht="14.25" customHeight="1">
      <c r="E104" s="447">
        <v>15</v>
      </c>
      <c r="F104" s="3" t="str" cm="1">
        <f t="array" aca="1" ref="F104" ca="1">OFFSET(E104,-1,1)</f>
        <v>1</v>
      </c>
      <c r="G104" s="22" t="s">
        <v>817</v>
      </c>
      <c r="T104" s="351" t="b" cm="1">
        <f t="array" ref="T104">T103</f>
        <v>1</v>
      </c>
      <c r="X104" s="1046"/>
      <c r="Z104" s="1047"/>
      <c r="AB104" s="7" t="s">
        <v>991</v>
      </c>
      <c r="AC104" s="127" t="s">
        <v>943</v>
      </c>
      <c r="AD104" s="8" t="s">
        <v>859</v>
      </c>
      <c r="AE104" s="128">
        <f t="shared" ref="AE104:BB104" si="35">(AE98+AE80)/2</f>
        <v>0</v>
      </c>
      <c r="AF104" s="128">
        <f t="shared" si="35"/>
        <v>0</v>
      </c>
      <c r="AG104" s="128">
        <f t="shared" si="35"/>
        <v>0</v>
      </c>
      <c r="AH104" s="128">
        <f t="shared" si="35"/>
        <v>0</v>
      </c>
      <c r="AI104" s="128">
        <f t="shared" si="35"/>
        <v>0</v>
      </c>
      <c r="AJ104" s="128">
        <f t="shared" si="35"/>
        <v>0</v>
      </c>
      <c r="AK104" s="128">
        <f t="shared" si="35"/>
        <v>0</v>
      </c>
      <c r="AL104" s="128">
        <f t="shared" si="35"/>
        <v>0</v>
      </c>
      <c r="AM104" s="128">
        <f t="shared" si="35"/>
        <v>0</v>
      </c>
      <c r="AN104" s="128">
        <f t="shared" si="35"/>
        <v>0</v>
      </c>
      <c r="AO104" s="128">
        <f t="shared" si="35"/>
        <v>0</v>
      </c>
      <c r="AP104" s="128">
        <f t="shared" si="35"/>
        <v>0</v>
      </c>
      <c r="AQ104" s="128">
        <f t="shared" si="35"/>
        <v>0</v>
      </c>
      <c r="AR104" s="128">
        <f t="shared" si="35"/>
        <v>0</v>
      </c>
      <c r="AS104" s="128">
        <f t="shared" si="35"/>
        <v>0</v>
      </c>
      <c r="AT104" s="128">
        <f t="shared" si="35"/>
        <v>0</v>
      </c>
      <c r="AU104" s="128">
        <f t="shared" si="35"/>
        <v>0</v>
      </c>
      <c r="AV104" s="128">
        <f t="shared" si="35"/>
        <v>0</v>
      </c>
      <c r="AW104" s="128">
        <f t="shared" si="35"/>
        <v>0</v>
      </c>
      <c r="AX104" s="128">
        <f t="shared" si="35"/>
        <v>0</v>
      </c>
      <c r="AY104" s="128">
        <f t="shared" si="35"/>
        <v>0</v>
      </c>
      <c r="AZ104" s="128">
        <f t="shared" si="35"/>
        <v>0</v>
      </c>
      <c r="BA104" s="128">
        <f t="shared" si="35"/>
        <v>0</v>
      </c>
      <c r="BB104" s="128">
        <f t="shared" si="35"/>
        <v>0</v>
      </c>
      <c r="BC104" s="113"/>
      <c r="BF104" s="678" t="s">
        <v>992</v>
      </c>
    </row>
    <row r="105" spans="2:58" ht="14.25" customHeight="1">
      <c r="E105" s="447">
        <v>15</v>
      </c>
      <c r="F105" s="3" t="str" cm="1">
        <f t="array" aca="1" ref="F105" ca="1">OFFSET(E105,-1,1)</f>
        <v>1</v>
      </c>
      <c r="G105" s="22" t="s">
        <v>993</v>
      </c>
      <c r="T105" s="351" t="b" cm="1">
        <f t="array" ref="T105">T104</f>
        <v>1</v>
      </c>
      <c r="X105" s="1046"/>
      <c r="Z105" s="1047"/>
      <c r="AB105" s="7" t="s">
        <v>994</v>
      </c>
      <c r="AC105" s="127" t="s">
        <v>946</v>
      </c>
      <c r="AD105" s="8" t="s">
        <v>859</v>
      </c>
      <c r="AE105" s="128">
        <f t="shared" ref="AE105:BB105" si="36">(AE99+AE81)/2</f>
        <v>0</v>
      </c>
      <c r="AF105" s="128">
        <f t="shared" si="36"/>
        <v>0</v>
      </c>
      <c r="AG105" s="128">
        <f t="shared" si="36"/>
        <v>0</v>
      </c>
      <c r="AH105" s="128">
        <f t="shared" si="36"/>
        <v>0</v>
      </c>
      <c r="AI105" s="128">
        <f t="shared" si="36"/>
        <v>0</v>
      </c>
      <c r="AJ105" s="128">
        <f t="shared" si="36"/>
        <v>0</v>
      </c>
      <c r="AK105" s="128">
        <f t="shared" si="36"/>
        <v>0</v>
      </c>
      <c r="AL105" s="128">
        <f t="shared" si="36"/>
        <v>0</v>
      </c>
      <c r="AM105" s="128">
        <f t="shared" si="36"/>
        <v>0</v>
      </c>
      <c r="AN105" s="128">
        <f t="shared" si="36"/>
        <v>0</v>
      </c>
      <c r="AO105" s="128">
        <f t="shared" si="36"/>
        <v>0</v>
      </c>
      <c r="AP105" s="128">
        <f t="shared" si="36"/>
        <v>0</v>
      </c>
      <c r="AQ105" s="128">
        <f t="shared" si="36"/>
        <v>0</v>
      </c>
      <c r="AR105" s="128">
        <f t="shared" si="36"/>
        <v>0</v>
      </c>
      <c r="AS105" s="128">
        <f t="shared" si="36"/>
        <v>0</v>
      </c>
      <c r="AT105" s="128">
        <f t="shared" si="36"/>
        <v>0</v>
      </c>
      <c r="AU105" s="128">
        <f t="shared" si="36"/>
        <v>0</v>
      </c>
      <c r="AV105" s="128">
        <f t="shared" si="36"/>
        <v>0</v>
      </c>
      <c r="AW105" s="128">
        <f t="shared" si="36"/>
        <v>0</v>
      </c>
      <c r="AX105" s="128">
        <f t="shared" si="36"/>
        <v>0</v>
      </c>
      <c r="AY105" s="128">
        <f t="shared" si="36"/>
        <v>0</v>
      </c>
      <c r="AZ105" s="128">
        <f t="shared" si="36"/>
        <v>0</v>
      </c>
      <c r="BA105" s="128">
        <f t="shared" si="36"/>
        <v>0</v>
      </c>
      <c r="BB105" s="128">
        <f t="shared" si="36"/>
        <v>0</v>
      </c>
      <c r="BC105" s="113"/>
      <c r="BF105" s="678" t="s">
        <v>995</v>
      </c>
    </row>
    <row r="106" spans="2:58" ht="14.25" customHeight="1">
      <c r="E106" s="447">
        <v>15</v>
      </c>
      <c r="F106" s="3" t="str" cm="1">
        <f t="array" aca="1" ref="F106" ca="1">OFFSET(E106,-1,1)</f>
        <v>1</v>
      </c>
      <c r="G106" s="22" t="s">
        <v>996</v>
      </c>
      <c r="T106" s="351" t="b" cm="1">
        <f t="array" ref="T106">T105</f>
        <v>1</v>
      </c>
      <c r="X106" s="1046"/>
      <c r="Z106" s="1047"/>
      <c r="AB106" s="7" t="s">
        <v>997</v>
      </c>
      <c r="AC106" s="127" t="s">
        <v>950</v>
      </c>
      <c r="AD106" s="8" t="s">
        <v>859</v>
      </c>
      <c r="AE106" s="128">
        <f t="shared" ref="AE106:BB106" si="37">(AE100+AE82)/2</f>
        <v>0</v>
      </c>
      <c r="AF106" s="128">
        <f t="shared" si="37"/>
        <v>0</v>
      </c>
      <c r="AG106" s="128">
        <f t="shared" si="37"/>
        <v>0</v>
      </c>
      <c r="AH106" s="128">
        <f t="shared" si="37"/>
        <v>0</v>
      </c>
      <c r="AI106" s="128">
        <f t="shared" si="37"/>
        <v>0</v>
      </c>
      <c r="AJ106" s="128">
        <f t="shared" si="37"/>
        <v>0</v>
      </c>
      <c r="AK106" s="128">
        <f t="shared" si="37"/>
        <v>0</v>
      </c>
      <c r="AL106" s="128">
        <f t="shared" si="37"/>
        <v>0</v>
      </c>
      <c r="AM106" s="128">
        <f t="shared" si="37"/>
        <v>0</v>
      </c>
      <c r="AN106" s="128">
        <f t="shared" si="37"/>
        <v>0</v>
      </c>
      <c r="AO106" s="128">
        <f t="shared" si="37"/>
        <v>0</v>
      </c>
      <c r="AP106" s="128">
        <f t="shared" si="37"/>
        <v>0</v>
      </c>
      <c r="AQ106" s="128">
        <f t="shared" si="37"/>
        <v>0</v>
      </c>
      <c r="AR106" s="128">
        <f t="shared" si="37"/>
        <v>0</v>
      </c>
      <c r="AS106" s="128">
        <f t="shared" si="37"/>
        <v>0</v>
      </c>
      <c r="AT106" s="128">
        <f t="shared" si="37"/>
        <v>0</v>
      </c>
      <c r="AU106" s="128">
        <f t="shared" si="37"/>
        <v>0</v>
      </c>
      <c r="AV106" s="128">
        <f t="shared" si="37"/>
        <v>0</v>
      </c>
      <c r="AW106" s="128">
        <f t="shared" si="37"/>
        <v>0</v>
      </c>
      <c r="AX106" s="128">
        <f t="shared" si="37"/>
        <v>0</v>
      </c>
      <c r="AY106" s="128">
        <f t="shared" si="37"/>
        <v>0</v>
      </c>
      <c r="AZ106" s="128">
        <f t="shared" si="37"/>
        <v>0</v>
      </c>
      <c r="BA106" s="128">
        <f t="shared" si="37"/>
        <v>0</v>
      </c>
      <c r="BB106" s="128">
        <f t="shared" si="37"/>
        <v>0</v>
      </c>
      <c r="BC106" s="113"/>
      <c r="BF106" s="678" t="s">
        <v>998</v>
      </c>
    </row>
    <row r="107" spans="2:58" s="63" customFormat="1" ht="21.75" customHeight="1">
      <c r="B107" s="327"/>
      <c r="E107" s="486">
        <v>22.5</v>
      </c>
      <c r="F107" s="3" t="str" cm="1">
        <f t="array" aca="1" ref="F107" ca="1">OFFSET(E107,-1,1)</f>
        <v>1</v>
      </c>
      <c r="G107" s="22" t="s">
        <v>557</v>
      </c>
      <c r="T107" s="351" t="b" cm="1">
        <f t="array" ref="T107">T106</f>
        <v>1</v>
      </c>
      <c r="X107" s="1046"/>
      <c r="Z107" s="1047"/>
      <c r="AB107" s="124">
        <v>6</v>
      </c>
      <c r="AC107" s="125" t="s">
        <v>999</v>
      </c>
      <c r="AD107" s="124"/>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13"/>
      <c r="BF107" s="678" t="s">
        <v>1000</v>
      </c>
    </row>
    <row r="108" spans="2:58" ht="14.25" customHeight="1">
      <c r="E108" s="447">
        <v>15</v>
      </c>
      <c r="F108" s="3" t="str" cm="1">
        <f t="array" aca="1" ref="F108" ca="1">OFFSET(E108,-1,1)</f>
        <v>1</v>
      </c>
      <c r="G108" s="22" t="s">
        <v>721</v>
      </c>
      <c r="T108" s="351" t="b" cm="1">
        <f t="array" ref="T108">T107</f>
        <v>1</v>
      </c>
      <c r="X108" s="1046"/>
      <c r="Z108" s="1047"/>
      <c r="AB108" s="7" t="s">
        <v>617</v>
      </c>
      <c r="AC108" s="127" t="s">
        <v>937</v>
      </c>
      <c r="AD108" s="7" t="s">
        <v>501</v>
      </c>
      <c r="AE108" s="128">
        <f t="shared" ref="AE108:BB108" si="38">IF(AE102=0,0,AE114/AE102*100)</f>
        <v>0</v>
      </c>
      <c r="AF108" s="128">
        <f t="shared" si="38"/>
        <v>0</v>
      </c>
      <c r="AG108" s="128">
        <f t="shared" si="38"/>
        <v>0</v>
      </c>
      <c r="AH108" s="128">
        <f t="shared" si="38"/>
        <v>0</v>
      </c>
      <c r="AI108" s="128">
        <f t="shared" si="38"/>
        <v>0</v>
      </c>
      <c r="AJ108" s="128">
        <f t="shared" si="38"/>
        <v>0</v>
      </c>
      <c r="AK108" s="128">
        <f t="shared" si="38"/>
        <v>0</v>
      </c>
      <c r="AL108" s="128">
        <f t="shared" si="38"/>
        <v>0</v>
      </c>
      <c r="AM108" s="128">
        <f t="shared" si="38"/>
        <v>0</v>
      </c>
      <c r="AN108" s="128">
        <f t="shared" si="38"/>
        <v>0</v>
      </c>
      <c r="AO108" s="128">
        <f t="shared" si="38"/>
        <v>0</v>
      </c>
      <c r="AP108" s="128">
        <f t="shared" si="38"/>
        <v>0</v>
      </c>
      <c r="AQ108" s="128">
        <f t="shared" si="38"/>
        <v>0</v>
      </c>
      <c r="AR108" s="128">
        <f t="shared" si="38"/>
        <v>0</v>
      </c>
      <c r="AS108" s="128">
        <f t="shared" si="38"/>
        <v>0</v>
      </c>
      <c r="AT108" s="128">
        <f t="shared" si="38"/>
        <v>0</v>
      </c>
      <c r="AU108" s="128">
        <f t="shared" si="38"/>
        <v>0</v>
      </c>
      <c r="AV108" s="128">
        <f t="shared" si="38"/>
        <v>0</v>
      </c>
      <c r="AW108" s="128">
        <f t="shared" si="38"/>
        <v>0</v>
      </c>
      <c r="AX108" s="128">
        <f t="shared" si="38"/>
        <v>0</v>
      </c>
      <c r="AY108" s="128">
        <f t="shared" si="38"/>
        <v>0</v>
      </c>
      <c r="AZ108" s="128">
        <f t="shared" si="38"/>
        <v>0</v>
      </c>
      <c r="BA108" s="128">
        <f t="shared" si="38"/>
        <v>0</v>
      </c>
      <c r="BB108" s="128">
        <f t="shared" si="38"/>
        <v>0</v>
      </c>
      <c r="BC108" s="113"/>
      <c r="BF108" s="678" t="s">
        <v>1001</v>
      </c>
    </row>
    <row r="109" spans="2:58" ht="14.25" customHeight="1">
      <c r="E109" s="447">
        <v>15</v>
      </c>
      <c r="F109" s="3" t="str" cm="1">
        <f t="array" aca="1" ref="F109" ca="1">OFFSET(E109,-1,1)</f>
        <v>1</v>
      </c>
      <c r="G109" s="22" t="s">
        <v>724</v>
      </c>
      <c r="T109" s="351" t="b" cm="1">
        <f t="array" ref="T109">T108</f>
        <v>1</v>
      </c>
      <c r="X109" s="1046"/>
      <c r="Z109" s="1047"/>
      <c r="AB109" s="7" t="s">
        <v>621</v>
      </c>
      <c r="AC109" s="127" t="s">
        <v>940</v>
      </c>
      <c r="AD109" s="7" t="s">
        <v>501</v>
      </c>
      <c r="AE109" s="128">
        <f t="shared" ref="AE109:BB109" si="39">IF(AE103=0,0,AE115/AE103*100)</f>
        <v>0</v>
      </c>
      <c r="AF109" s="128">
        <f t="shared" si="39"/>
        <v>0</v>
      </c>
      <c r="AG109" s="128">
        <f t="shared" si="39"/>
        <v>0</v>
      </c>
      <c r="AH109" s="128">
        <f t="shared" si="39"/>
        <v>0</v>
      </c>
      <c r="AI109" s="128">
        <f t="shared" si="39"/>
        <v>0</v>
      </c>
      <c r="AJ109" s="128">
        <f t="shared" si="39"/>
        <v>0</v>
      </c>
      <c r="AK109" s="128">
        <f t="shared" si="39"/>
        <v>0</v>
      </c>
      <c r="AL109" s="128">
        <f t="shared" si="39"/>
        <v>0</v>
      </c>
      <c r="AM109" s="128">
        <f t="shared" si="39"/>
        <v>0</v>
      </c>
      <c r="AN109" s="128">
        <f t="shared" si="39"/>
        <v>0</v>
      </c>
      <c r="AO109" s="128">
        <f t="shared" si="39"/>
        <v>0</v>
      </c>
      <c r="AP109" s="128">
        <f t="shared" si="39"/>
        <v>0</v>
      </c>
      <c r="AQ109" s="128">
        <f t="shared" si="39"/>
        <v>0</v>
      </c>
      <c r="AR109" s="128">
        <f t="shared" si="39"/>
        <v>0</v>
      </c>
      <c r="AS109" s="128">
        <f t="shared" si="39"/>
        <v>0</v>
      </c>
      <c r="AT109" s="128">
        <f t="shared" si="39"/>
        <v>0</v>
      </c>
      <c r="AU109" s="128">
        <f t="shared" si="39"/>
        <v>0</v>
      </c>
      <c r="AV109" s="128">
        <f t="shared" si="39"/>
        <v>0</v>
      </c>
      <c r="AW109" s="128">
        <f t="shared" si="39"/>
        <v>0</v>
      </c>
      <c r="AX109" s="128">
        <f t="shared" si="39"/>
        <v>0</v>
      </c>
      <c r="AY109" s="128">
        <f t="shared" si="39"/>
        <v>0</v>
      </c>
      <c r="AZ109" s="128">
        <f t="shared" si="39"/>
        <v>0</v>
      </c>
      <c r="BA109" s="128">
        <f t="shared" si="39"/>
        <v>0</v>
      </c>
      <c r="BB109" s="128">
        <f t="shared" si="39"/>
        <v>0</v>
      </c>
      <c r="BC109" s="113"/>
      <c r="BF109" s="678" t="s">
        <v>1002</v>
      </c>
    </row>
    <row r="110" spans="2:58" ht="14.25" customHeight="1">
      <c r="E110" s="447">
        <v>15</v>
      </c>
      <c r="F110" s="3" t="str" cm="1">
        <f t="array" aca="1" ref="F110" ca="1">OFFSET(E110,-1,1)</f>
        <v>1</v>
      </c>
      <c r="G110" s="22" t="s">
        <v>758</v>
      </c>
      <c r="T110" s="351" t="b" cm="1">
        <f t="array" ref="T110">T109</f>
        <v>1</v>
      </c>
      <c r="X110" s="1046"/>
      <c r="Z110" s="1047"/>
      <c r="AB110" s="7" t="s">
        <v>625</v>
      </c>
      <c r="AC110" s="127" t="s">
        <v>943</v>
      </c>
      <c r="AD110" s="7" t="s">
        <v>501</v>
      </c>
      <c r="AE110" s="128">
        <f t="shared" ref="AE110:BB110" si="40">IF(AE104=0,0,AE116/AE104*100)</f>
        <v>0</v>
      </c>
      <c r="AF110" s="128">
        <f t="shared" si="40"/>
        <v>0</v>
      </c>
      <c r="AG110" s="128">
        <f t="shared" si="40"/>
        <v>0</v>
      </c>
      <c r="AH110" s="128">
        <f t="shared" si="40"/>
        <v>0</v>
      </c>
      <c r="AI110" s="128">
        <f t="shared" si="40"/>
        <v>0</v>
      </c>
      <c r="AJ110" s="128">
        <f t="shared" si="40"/>
        <v>0</v>
      </c>
      <c r="AK110" s="128">
        <f t="shared" si="40"/>
        <v>0</v>
      </c>
      <c r="AL110" s="128">
        <f t="shared" si="40"/>
        <v>0</v>
      </c>
      <c r="AM110" s="128">
        <f t="shared" si="40"/>
        <v>0</v>
      </c>
      <c r="AN110" s="128">
        <f t="shared" si="40"/>
        <v>0</v>
      </c>
      <c r="AO110" s="128">
        <f t="shared" si="40"/>
        <v>0</v>
      </c>
      <c r="AP110" s="128">
        <f t="shared" si="40"/>
        <v>0</v>
      </c>
      <c r="AQ110" s="128">
        <f t="shared" si="40"/>
        <v>0</v>
      </c>
      <c r="AR110" s="128">
        <f t="shared" si="40"/>
        <v>0</v>
      </c>
      <c r="AS110" s="128">
        <f t="shared" si="40"/>
        <v>0</v>
      </c>
      <c r="AT110" s="128">
        <f t="shared" si="40"/>
        <v>0</v>
      </c>
      <c r="AU110" s="128">
        <f t="shared" si="40"/>
        <v>0</v>
      </c>
      <c r="AV110" s="128">
        <f t="shared" si="40"/>
        <v>0</v>
      </c>
      <c r="AW110" s="128">
        <f t="shared" si="40"/>
        <v>0</v>
      </c>
      <c r="AX110" s="128">
        <f t="shared" si="40"/>
        <v>0</v>
      </c>
      <c r="AY110" s="128">
        <f t="shared" si="40"/>
        <v>0</v>
      </c>
      <c r="AZ110" s="128">
        <f t="shared" si="40"/>
        <v>0</v>
      </c>
      <c r="BA110" s="128">
        <f t="shared" si="40"/>
        <v>0</v>
      </c>
      <c r="BB110" s="128">
        <f t="shared" si="40"/>
        <v>0</v>
      </c>
      <c r="BC110" s="113"/>
      <c r="BF110" s="678" t="s">
        <v>1003</v>
      </c>
    </row>
    <row r="111" spans="2:58" ht="14.25" customHeight="1">
      <c r="E111" s="447">
        <v>15</v>
      </c>
      <c r="F111" s="3" t="str" cm="1">
        <f t="array" aca="1" ref="F111" ca="1">OFFSET(E111,-1,1)</f>
        <v>1</v>
      </c>
      <c r="G111" s="22" t="s">
        <v>767</v>
      </c>
      <c r="T111" s="351" t="b" cm="1">
        <f t="array" ref="T111">T110</f>
        <v>1</v>
      </c>
      <c r="X111" s="1046"/>
      <c r="Z111" s="1047"/>
      <c r="AB111" s="7" t="s">
        <v>1004</v>
      </c>
      <c r="AC111" s="127" t="s">
        <v>946</v>
      </c>
      <c r="AD111" s="7" t="s">
        <v>501</v>
      </c>
      <c r="AE111" s="128">
        <f t="shared" ref="AE111:BB111" si="41">IF(AE105=0,0,AE117/AE105*100)</f>
        <v>0</v>
      </c>
      <c r="AF111" s="128">
        <f t="shared" si="41"/>
        <v>0</v>
      </c>
      <c r="AG111" s="128">
        <f t="shared" si="41"/>
        <v>0</v>
      </c>
      <c r="AH111" s="128">
        <f t="shared" si="41"/>
        <v>0</v>
      </c>
      <c r="AI111" s="128">
        <f t="shared" si="41"/>
        <v>0</v>
      </c>
      <c r="AJ111" s="128">
        <f t="shared" si="41"/>
        <v>0</v>
      </c>
      <c r="AK111" s="128">
        <f t="shared" si="41"/>
        <v>0</v>
      </c>
      <c r="AL111" s="128">
        <f t="shared" si="41"/>
        <v>0</v>
      </c>
      <c r="AM111" s="128">
        <f t="shared" si="41"/>
        <v>0</v>
      </c>
      <c r="AN111" s="128">
        <f t="shared" si="41"/>
        <v>0</v>
      </c>
      <c r="AO111" s="128">
        <f t="shared" si="41"/>
        <v>0</v>
      </c>
      <c r="AP111" s="128">
        <f t="shared" si="41"/>
        <v>0</v>
      </c>
      <c r="AQ111" s="128">
        <f t="shared" si="41"/>
        <v>0</v>
      </c>
      <c r="AR111" s="128">
        <f t="shared" si="41"/>
        <v>0</v>
      </c>
      <c r="AS111" s="128">
        <f t="shared" si="41"/>
        <v>0</v>
      </c>
      <c r="AT111" s="128">
        <f t="shared" si="41"/>
        <v>0</v>
      </c>
      <c r="AU111" s="128">
        <f t="shared" si="41"/>
        <v>0</v>
      </c>
      <c r="AV111" s="128">
        <f t="shared" si="41"/>
        <v>0</v>
      </c>
      <c r="AW111" s="128">
        <f t="shared" si="41"/>
        <v>0</v>
      </c>
      <c r="AX111" s="128">
        <f t="shared" si="41"/>
        <v>0</v>
      </c>
      <c r="AY111" s="128">
        <f t="shared" si="41"/>
        <v>0</v>
      </c>
      <c r="AZ111" s="128">
        <f t="shared" si="41"/>
        <v>0</v>
      </c>
      <c r="BA111" s="128">
        <f t="shared" si="41"/>
        <v>0</v>
      </c>
      <c r="BB111" s="128">
        <f t="shared" si="41"/>
        <v>0</v>
      </c>
      <c r="BC111" s="113"/>
      <c r="BF111" s="678" t="s">
        <v>1005</v>
      </c>
    </row>
    <row r="112" spans="2:58" ht="14.25" customHeight="1">
      <c r="E112" s="447">
        <v>15</v>
      </c>
      <c r="F112" s="3" t="str" cm="1">
        <f t="array" aca="1" ref="F112" ca="1">OFFSET(E112,-1,1)</f>
        <v>1</v>
      </c>
      <c r="G112" s="22" t="s">
        <v>777</v>
      </c>
      <c r="T112" s="351" t="b" cm="1">
        <f t="array" ref="T112">T111</f>
        <v>1</v>
      </c>
      <c r="X112" s="1046"/>
      <c r="Z112" s="1047"/>
      <c r="AB112" s="7" t="s">
        <v>1006</v>
      </c>
      <c r="AC112" s="127" t="s">
        <v>950</v>
      </c>
      <c r="AD112" s="7" t="s">
        <v>501</v>
      </c>
      <c r="AE112" s="128">
        <f t="shared" ref="AE112:BB112" si="42">IF(AE106=0,0,AE118/AE106*100)</f>
        <v>0</v>
      </c>
      <c r="AF112" s="128">
        <f t="shared" si="42"/>
        <v>0</v>
      </c>
      <c r="AG112" s="128">
        <f t="shared" si="42"/>
        <v>0</v>
      </c>
      <c r="AH112" s="128">
        <f t="shared" si="42"/>
        <v>0</v>
      </c>
      <c r="AI112" s="128">
        <f t="shared" si="42"/>
        <v>0</v>
      </c>
      <c r="AJ112" s="128">
        <f t="shared" si="42"/>
        <v>0</v>
      </c>
      <c r="AK112" s="128">
        <f t="shared" si="42"/>
        <v>0</v>
      </c>
      <c r="AL112" s="128">
        <f t="shared" si="42"/>
        <v>0</v>
      </c>
      <c r="AM112" s="128">
        <f t="shared" si="42"/>
        <v>0</v>
      </c>
      <c r="AN112" s="128">
        <f t="shared" si="42"/>
        <v>0</v>
      </c>
      <c r="AO112" s="128">
        <f t="shared" si="42"/>
        <v>0</v>
      </c>
      <c r="AP112" s="128">
        <f t="shared" si="42"/>
        <v>0</v>
      </c>
      <c r="AQ112" s="128">
        <f t="shared" si="42"/>
        <v>0</v>
      </c>
      <c r="AR112" s="128">
        <f t="shared" si="42"/>
        <v>0</v>
      </c>
      <c r="AS112" s="128">
        <f t="shared" si="42"/>
        <v>0</v>
      </c>
      <c r="AT112" s="128">
        <f t="shared" si="42"/>
        <v>0</v>
      </c>
      <c r="AU112" s="128">
        <f t="shared" si="42"/>
        <v>0</v>
      </c>
      <c r="AV112" s="128">
        <f t="shared" si="42"/>
        <v>0</v>
      </c>
      <c r="AW112" s="128">
        <f t="shared" si="42"/>
        <v>0</v>
      </c>
      <c r="AX112" s="128">
        <f t="shared" si="42"/>
        <v>0</v>
      </c>
      <c r="AY112" s="128">
        <f t="shared" si="42"/>
        <v>0</v>
      </c>
      <c r="AZ112" s="128">
        <f t="shared" si="42"/>
        <v>0</v>
      </c>
      <c r="BA112" s="128">
        <f t="shared" si="42"/>
        <v>0</v>
      </c>
      <c r="BB112" s="128">
        <f t="shared" si="42"/>
        <v>0</v>
      </c>
      <c r="BC112" s="113"/>
      <c r="BF112" s="678" t="s">
        <v>1007</v>
      </c>
    </row>
    <row r="113" spans="2:58" s="63" customFormat="1" ht="14.25" customHeight="1">
      <c r="B113" s="327"/>
      <c r="E113" s="447">
        <v>15</v>
      </c>
      <c r="F113" s="3" t="str" cm="1">
        <f t="array" aca="1" ref="F113" ca="1">OFFSET(E113,-1,1)</f>
        <v>1</v>
      </c>
      <c r="G113" s="22" t="s">
        <v>560</v>
      </c>
      <c r="K113" s="40" t="str">
        <f ca="1">F113&amp;"komm"</f>
        <v>1komm</v>
      </c>
      <c r="L113" s="607" cm="1">
        <f t="array" ref="L113">BC113</f>
        <v>0</v>
      </c>
      <c r="T113" s="351" t="b" cm="1">
        <f t="array" ref="T113">T112</f>
        <v>1</v>
      </c>
      <c r="X113" s="1046"/>
      <c r="Z113" s="1047"/>
      <c r="AB113" s="124">
        <v>7</v>
      </c>
      <c r="AC113" s="125" t="s">
        <v>1008</v>
      </c>
      <c r="AD113" s="8" t="s">
        <v>859</v>
      </c>
      <c r="AE113" s="138">
        <f t="shared" ref="AE113:BB113" si="43">SUM(AE114:AE118)</f>
        <v>0</v>
      </c>
      <c r="AF113" s="138">
        <f t="shared" si="43"/>
        <v>0</v>
      </c>
      <c r="AG113" s="138">
        <f t="shared" si="43"/>
        <v>0</v>
      </c>
      <c r="AH113" s="138">
        <f t="shared" si="43"/>
        <v>0</v>
      </c>
      <c r="AI113" s="138">
        <f t="shared" si="43"/>
        <v>0</v>
      </c>
      <c r="AJ113" s="138">
        <f t="shared" si="43"/>
        <v>0</v>
      </c>
      <c r="AK113" s="138">
        <f t="shared" si="43"/>
        <v>0</v>
      </c>
      <c r="AL113" s="138">
        <f t="shared" si="43"/>
        <v>0</v>
      </c>
      <c r="AM113" s="138">
        <f t="shared" si="43"/>
        <v>0</v>
      </c>
      <c r="AN113" s="138">
        <f t="shared" si="43"/>
        <v>0</v>
      </c>
      <c r="AO113" s="138">
        <f t="shared" si="43"/>
        <v>0</v>
      </c>
      <c r="AP113" s="138">
        <f t="shared" si="43"/>
        <v>0</v>
      </c>
      <c r="AQ113" s="138">
        <f t="shared" si="43"/>
        <v>0</v>
      </c>
      <c r="AR113" s="138">
        <f t="shared" si="43"/>
        <v>0</v>
      </c>
      <c r="AS113" s="138">
        <f t="shared" si="43"/>
        <v>0</v>
      </c>
      <c r="AT113" s="138">
        <f t="shared" si="43"/>
        <v>0</v>
      </c>
      <c r="AU113" s="138">
        <f t="shared" si="43"/>
        <v>0</v>
      </c>
      <c r="AV113" s="138">
        <f t="shared" si="43"/>
        <v>0</v>
      </c>
      <c r="AW113" s="138">
        <f t="shared" si="43"/>
        <v>0</v>
      </c>
      <c r="AX113" s="138">
        <f t="shared" si="43"/>
        <v>0</v>
      </c>
      <c r="AY113" s="138">
        <f t="shared" si="43"/>
        <v>0</v>
      </c>
      <c r="AZ113" s="138">
        <f t="shared" si="43"/>
        <v>0</v>
      </c>
      <c r="BA113" s="138">
        <f t="shared" si="43"/>
        <v>0</v>
      </c>
      <c r="BB113" s="138">
        <f t="shared" si="43"/>
        <v>0</v>
      </c>
      <c r="BC113" s="113"/>
      <c r="BF113" s="678" t="s">
        <v>1009</v>
      </c>
    </row>
    <row r="114" spans="2:58" ht="14.25" customHeight="1">
      <c r="E114" s="447">
        <v>15</v>
      </c>
      <c r="F114" s="3" t="str" cm="1">
        <f t="array" aca="1" ref="F114" ca="1">OFFSET(E114,-1,1)</f>
        <v>1</v>
      </c>
      <c r="G114" s="22" t="s">
        <v>728</v>
      </c>
      <c r="T114" s="351" t="b" cm="1">
        <f t="array" ref="T114">T113</f>
        <v>1</v>
      </c>
      <c r="X114" s="1046"/>
      <c r="Z114" s="1047"/>
      <c r="AB114" s="7" t="s">
        <v>632</v>
      </c>
      <c r="AC114" s="127" t="s">
        <v>937</v>
      </c>
      <c r="AD114" s="8" t="s">
        <v>859</v>
      </c>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13"/>
      <c r="BF114" s="678" t="s">
        <v>1010</v>
      </c>
    </row>
    <row r="115" spans="2:58" ht="14.25" customHeight="1">
      <c r="E115" s="447">
        <v>15</v>
      </c>
      <c r="F115" s="3" t="str" cm="1">
        <f t="array" aca="1" ref="F115" ca="1">OFFSET(E115,-1,1)</f>
        <v>1</v>
      </c>
      <c r="G115" s="22" t="s">
        <v>731</v>
      </c>
      <c r="T115" s="351" t="b" cm="1">
        <f t="array" ref="T115">T114</f>
        <v>1</v>
      </c>
      <c r="X115" s="1046"/>
      <c r="Z115" s="1047"/>
      <c r="AB115" s="7" t="s">
        <v>1011</v>
      </c>
      <c r="AC115" s="127" t="s">
        <v>940</v>
      </c>
      <c r="AD115" s="8" t="s">
        <v>859</v>
      </c>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13"/>
      <c r="BF115" s="678" t="s">
        <v>1012</v>
      </c>
    </row>
    <row r="116" spans="2:58" ht="14.25" customHeight="1">
      <c r="E116" s="447">
        <v>15</v>
      </c>
      <c r="F116" s="3" t="str" cm="1">
        <f t="array" aca="1" ref="F116" ca="1">OFFSET(E116,-1,1)</f>
        <v>1</v>
      </c>
      <c r="G116" s="22" t="s">
        <v>1013</v>
      </c>
      <c r="T116" s="351" t="b" cm="1">
        <f t="array" ref="T116">T115</f>
        <v>1</v>
      </c>
      <c r="X116" s="1046"/>
      <c r="Z116" s="1047"/>
      <c r="AB116" s="7" t="s">
        <v>1014</v>
      </c>
      <c r="AC116" s="127" t="s">
        <v>943</v>
      </c>
      <c r="AD116" s="8" t="s">
        <v>859</v>
      </c>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13"/>
      <c r="BF116" s="678" t="s">
        <v>1015</v>
      </c>
    </row>
    <row r="117" spans="2:58" ht="14.25" customHeight="1">
      <c r="E117" s="447">
        <v>15</v>
      </c>
      <c r="F117" s="3" t="str" cm="1">
        <f t="array" aca="1" ref="F117" ca="1">OFFSET(E117,-1,1)</f>
        <v>1</v>
      </c>
      <c r="G117" s="22" t="s">
        <v>1016</v>
      </c>
      <c r="T117" s="351" t="b" cm="1">
        <f t="array" ref="T117">T116</f>
        <v>1</v>
      </c>
      <c r="X117" s="1046"/>
      <c r="Z117" s="1047"/>
      <c r="AB117" s="7" t="s">
        <v>1017</v>
      </c>
      <c r="AC117" s="127" t="s">
        <v>946</v>
      </c>
      <c r="AD117" s="8" t="s">
        <v>859</v>
      </c>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13"/>
      <c r="BF117" s="678" t="s">
        <v>1018</v>
      </c>
    </row>
    <row r="118" spans="2:58" ht="14.25" customHeight="1">
      <c r="E118" s="447">
        <v>15</v>
      </c>
      <c r="F118" s="3" t="str" cm="1">
        <f t="array" aca="1" ref="F118" ca="1">OFFSET(E118,-1,1)</f>
        <v>1</v>
      </c>
      <c r="G118" s="22" t="s">
        <v>1019</v>
      </c>
      <c r="T118" s="351" t="b" cm="1">
        <f t="array" ref="T118">T117</f>
        <v>1</v>
      </c>
      <c r="X118" s="1046"/>
      <c r="Z118" s="1047"/>
      <c r="AB118" s="7" t="s">
        <v>1020</v>
      </c>
      <c r="AC118" s="127" t="s">
        <v>950</v>
      </c>
      <c r="AD118" s="8" t="s">
        <v>859</v>
      </c>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13"/>
      <c r="BF118" s="678" t="s">
        <v>1021</v>
      </c>
    </row>
    <row r="119" spans="2:58" s="63" customFormat="1" ht="14.25" customHeight="1">
      <c r="B119" s="327"/>
      <c r="E119" s="447">
        <v>15</v>
      </c>
      <c r="F119" s="3" t="str" cm="1">
        <f t="array" aca="1" ref="F119" ca="1">OFFSET(E119,-1,1)</f>
        <v>1</v>
      </c>
      <c r="G119" s="22" t="s">
        <v>613</v>
      </c>
      <c r="T119" s="351" t="b" cm="1">
        <f t="array" ref="T119">T118</f>
        <v>1</v>
      </c>
      <c r="X119" s="1046"/>
      <c r="Z119" s="1047"/>
      <c r="AB119" s="124">
        <v>8</v>
      </c>
      <c r="AC119" s="125" t="s">
        <v>1022</v>
      </c>
      <c r="AD119" s="8" t="s">
        <v>859</v>
      </c>
      <c r="AE119" s="138">
        <f t="shared" ref="AE119:BB119" si="44">SUM(AE120:AE124)</f>
        <v>0</v>
      </c>
      <c r="AF119" s="138">
        <f t="shared" si="44"/>
        <v>0</v>
      </c>
      <c r="AG119" s="138">
        <f t="shared" si="44"/>
        <v>0</v>
      </c>
      <c r="AH119" s="138">
        <f t="shared" si="44"/>
        <v>0</v>
      </c>
      <c r="AI119" s="138">
        <f t="shared" si="44"/>
        <v>0</v>
      </c>
      <c r="AJ119" s="138">
        <f t="shared" si="44"/>
        <v>0</v>
      </c>
      <c r="AK119" s="138">
        <f t="shared" si="44"/>
        <v>0</v>
      </c>
      <c r="AL119" s="138">
        <f t="shared" si="44"/>
        <v>0</v>
      </c>
      <c r="AM119" s="138">
        <f t="shared" si="44"/>
        <v>0</v>
      </c>
      <c r="AN119" s="138">
        <f t="shared" si="44"/>
        <v>0</v>
      </c>
      <c r="AO119" s="138">
        <f t="shared" si="44"/>
        <v>0</v>
      </c>
      <c r="AP119" s="138">
        <f t="shared" si="44"/>
        <v>0</v>
      </c>
      <c r="AQ119" s="138">
        <f t="shared" si="44"/>
        <v>0</v>
      </c>
      <c r="AR119" s="138">
        <f t="shared" si="44"/>
        <v>0</v>
      </c>
      <c r="AS119" s="138">
        <f t="shared" si="44"/>
        <v>0</v>
      </c>
      <c r="AT119" s="138">
        <f t="shared" si="44"/>
        <v>0</v>
      </c>
      <c r="AU119" s="138">
        <f t="shared" si="44"/>
        <v>0</v>
      </c>
      <c r="AV119" s="138">
        <f t="shared" si="44"/>
        <v>0</v>
      </c>
      <c r="AW119" s="138">
        <f t="shared" si="44"/>
        <v>0</v>
      </c>
      <c r="AX119" s="138">
        <f t="shared" si="44"/>
        <v>0</v>
      </c>
      <c r="AY119" s="138">
        <f t="shared" si="44"/>
        <v>0</v>
      </c>
      <c r="AZ119" s="138">
        <f t="shared" si="44"/>
        <v>0</v>
      </c>
      <c r="BA119" s="138">
        <f t="shared" si="44"/>
        <v>0</v>
      </c>
      <c r="BB119" s="138">
        <f t="shared" si="44"/>
        <v>0</v>
      </c>
      <c r="BC119" s="113"/>
      <c r="BF119" s="678" t="s">
        <v>1023</v>
      </c>
    </row>
    <row r="120" spans="2:58" ht="14.25" customHeight="1">
      <c r="E120" s="447">
        <v>15</v>
      </c>
      <c r="F120" s="3" t="str" cm="1">
        <f t="array" aca="1" ref="F120" ca="1">OFFSET(E120,-1,1)</f>
        <v>1</v>
      </c>
      <c r="G120" s="22" t="s">
        <v>616</v>
      </c>
      <c r="T120" s="351" t="b" cm="1">
        <f t="array" ref="T120">T119</f>
        <v>1</v>
      </c>
      <c r="X120" s="1046"/>
      <c r="Z120" s="1047"/>
      <c r="AB120" s="7" t="s">
        <v>639</v>
      </c>
      <c r="AC120" s="127" t="s">
        <v>937</v>
      </c>
      <c r="AD120" s="8" t="s">
        <v>859</v>
      </c>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13"/>
      <c r="BF120" s="678" t="s">
        <v>1024</v>
      </c>
    </row>
    <row r="121" spans="2:58" ht="14.25" customHeight="1">
      <c r="E121" s="447">
        <v>15</v>
      </c>
      <c r="F121" s="3" t="str" cm="1">
        <f t="array" aca="1" ref="F121" ca="1">OFFSET(E121,-1,1)</f>
        <v>1</v>
      </c>
      <c r="G121" s="22" t="s">
        <v>620</v>
      </c>
      <c r="T121" s="351" t="b" cm="1">
        <f t="array" ref="T121">T120</f>
        <v>1</v>
      </c>
      <c r="X121" s="1046"/>
      <c r="Z121" s="1047"/>
      <c r="AB121" s="7" t="s">
        <v>656</v>
      </c>
      <c r="AC121" s="127" t="s">
        <v>940</v>
      </c>
      <c r="AD121" s="8" t="s">
        <v>859</v>
      </c>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13"/>
      <c r="BF121" s="678" t="s">
        <v>1025</v>
      </c>
    </row>
    <row r="122" spans="2:58" ht="14.25" customHeight="1">
      <c r="E122" s="447">
        <v>15</v>
      </c>
      <c r="F122" s="3" t="str" cm="1">
        <f t="array" aca="1" ref="F122" ca="1">OFFSET(E122,-1,1)</f>
        <v>1</v>
      </c>
      <c r="G122" s="22" t="s">
        <v>624</v>
      </c>
      <c r="T122" s="351" t="b" cm="1">
        <f t="array" ref="T122">T121</f>
        <v>1</v>
      </c>
      <c r="X122" s="1046"/>
      <c r="Z122" s="1047"/>
      <c r="AB122" s="7" t="s">
        <v>668</v>
      </c>
      <c r="AC122" s="127" t="s">
        <v>943</v>
      </c>
      <c r="AD122" s="8" t="s">
        <v>859</v>
      </c>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13"/>
      <c r="BF122" s="678" t="s">
        <v>1026</v>
      </c>
    </row>
    <row r="123" spans="2:58" ht="14.25" customHeight="1">
      <c r="E123" s="447">
        <v>15</v>
      </c>
      <c r="F123" s="3" t="str" cm="1">
        <f t="array" aca="1" ref="F123" ca="1">OFFSET(E123,-1,1)</f>
        <v>1</v>
      </c>
      <c r="G123" s="22" t="s">
        <v>1027</v>
      </c>
      <c r="T123" s="351" t="b" cm="1">
        <f t="array" ref="T123">T122</f>
        <v>1</v>
      </c>
      <c r="X123" s="1046"/>
      <c r="Z123" s="1047"/>
      <c r="AB123" s="7" t="s">
        <v>703</v>
      </c>
      <c r="AC123" s="127" t="s">
        <v>946</v>
      </c>
      <c r="AD123" s="8" t="s">
        <v>859</v>
      </c>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13"/>
      <c r="BF123" s="678" t="s">
        <v>1028</v>
      </c>
    </row>
    <row r="124" spans="2:58" ht="14.25" customHeight="1">
      <c r="E124" s="447">
        <v>15</v>
      </c>
      <c r="F124" s="3" t="str" cm="1">
        <f t="array" aca="1" ref="F124" ca="1">OFFSET(E124,-1,1)</f>
        <v>1</v>
      </c>
      <c r="G124" s="22" t="s">
        <v>1029</v>
      </c>
      <c r="T124" s="351" t="b" cm="1">
        <f t="array" ref="T124">T123</f>
        <v>1</v>
      </c>
      <c r="X124" s="1046"/>
      <c r="Z124" s="1047"/>
      <c r="AB124" s="7" t="s">
        <v>706</v>
      </c>
      <c r="AC124" s="127" t="s">
        <v>950</v>
      </c>
      <c r="AD124" s="8" t="s">
        <v>859</v>
      </c>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13"/>
      <c r="BF124" s="678" t="s">
        <v>1030</v>
      </c>
    </row>
    <row r="125" spans="2:58" ht="10.7" customHeight="1">
      <c r="E125" s="447">
        <v>11</v>
      </c>
      <c r="F125" s="252"/>
      <c r="U125" s="22" t="s">
        <v>175</v>
      </c>
      <c r="V125" s="56" t="s">
        <v>1031</v>
      </c>
      <c r="AB125" s="64"/>
      <c r="AC125" s="64"/>
      <c r="AD125" s="64"/>
      <c r="AE125" s="64"/>
      <c r="AF125" s="64"/>
      <c r="AG125" s="64"/>
      <c r="AH125" s="64"/>
      <c r="AI125" s="629"/>
      <c r="AJ125" s="629"/>
      <c r="AK125" s="629"/>
      <c r="AL125" s="629"/>
      <c r="AM125" s="629"/>
      <c r="AN125" s="629"/>
      <c r="AO125" s="629"/>
      <c r="AP125" s="629"/>
      <c r="AQ125" s="629"/>
      <c r="AR125" s="629"/>
      <c r="AS125" s="629"/>
      <c r="AT125" s="629"/>
      <c r="AU125" s="629"/>
      <c r="AV125" s="629"/>
      <c r="AW125" s="629"/>
      <c r="AX125" s="629"/>
      <c r="AY125" s="629"/>
      <c r="AZ125" s="629"/>
      <c r="BA125" s="629"/>
      <c r="BB125" s="629"/>
      <c r="BC125" s="629"/>
    </row>
    <row r="126" spans="2:58" ht="14.65" customHeight="1">
      <c r="E126" s="447">
        <v>15</v>
      </c>
      <c r="AA126" s="17"/>
      <c r="AB126" s="1028" t="s">
        <v>396</v>
      </c>
      <c r="AC126" s="1028"/>
      <c r="AD126" s="1028"/>
      <c r="AE126" s="1028"/>
      <c r="AF126" s="1028"/>
      <c r="AG126" s="1028"/>
      <c r="AH126" s="1028"/>
      <c r="AI126" s="1048"/>
      <c r="AJ126" s="1048"/>
      <c r="AK126" s="1048"/>
      <c r="AL126" s="1048"/>
      <c r="AM126" s="1048"/>
      <c r="AN126" s="1048"/>
      <c r="AO126" s="1048"/>
      <c r="AP126" s="1048"/>
      <c r="AQ126" s="1048"/>
      <c r="AR126" s="1048"/>
      <c r="AS126" s="1048"/>
      <c r="AT126" s="1048"/>
      <c r="AU126" s="1048"/>
      <c r="AV126" s="1048"/>
      <c r="AW126" s="1048"/>
      <c r="AX126" s="1048"/>
      <c r="AY126" s="1048"/>
      <c r="AZ126" s="1048"/>
      <c r="BA126" s="1048"/>
      <c r="BB126" s="1048"/>
      <c r="BC126" s="1048"/>
      <c r="BD126" s="17"/>
    </row>
    <row r="127" spans="2:58" ht="21.95" customHeight="1">
      <c r="E127" s="447">
        <v>15</v>
      </c>
      <c r="T127" s="17"/>
      <c r="AA127" s="87"/>
      <c r="AB127" s="1049" t="s">
        <v>1032</v>
      </c>
      <c r="AC127" s="1049"/>
      <c r="AD127" s="1049"/>
      <c r="AE127" s="1049"/>
      <c r="AF127" s="1049"/>
      <c r="AG127" s="1049"/>
      <c r="AH127" s="1049"/>
      <c r="AI127" s="1050"/>
      <c r="AJ127" s="1050"/>
      <c r="AK127" s="1050"/>
      <c r="AL127" s="1078"/>
      <c r="AM127" s="1078"/>
      <c r="AN127" s="1078"/>
      <c r="AO127" s="1078"/>
      <c r="AP127" s="1078"/>
      <c r="AQ127" s="1078"/>
      <c r="AR127" s="1078"/>
      <c r="AS127" s="1050"/>
      <c r="AT127" s="1050"/>
      <c r="AU127" s="1050"/>
      <c r="AV127" s="1078"/>
      <c r="AW127" s="1078"/>
      <c r="AX127" s="1078"/>
      <c r="AY127" s="1078"/>
      <c r="AZ127" s="1078"/>
      <c r="BA127" s="1078"/>
      <c r="BB127" s="1078"/>
      <c r="BC127" s="1050"/>
      <c r="BD127" s="17"/>
    </row>
    <row r="128" spans="2:58" ht="14.65" hidden="1" customHeight="1">
      <c r="E128" s="447">
        <v>15</v>
      </c>
      <c r="T128" s="351" t="b">
        <f>ROW(W128)&gt;ROW(W$128)</f>
        <v>0</v>
      </c>
      <c r="W128" s="515" t="s">
        <v>171</v>
      </c>
      <c r="AA128" s="487" t="s">
        <v>172</v>
      </c>
      <c r="AB128" s="1077" t="s">
        <v>124</v>
      </c>
      <c r="AC128" s="1077"/>
      <c r="AD128" s="1077"/>
      <c r="AE128" s="1077"/>
      <c r="AF128" s="1077"/>
      <c r="AG128" s="1077"/>
      <c r="AH128" s="1077"/>
      <c r="AI128" s="1050"/>
      <c r="AJ128" s="1050"/>
      <c r="AK128" s="1050"/>
      <c r="AL128" s="1078"/>
      <c r="AM128" s="1078"/>
      <c r="AN128" s="1078"/>
      <c r="AO128" s="1078"/>
      <c r="AP128" s="1078"/>
      <c r="AQ128" s="1078"/>
      <c r="AR128" s="1078"/>
      <c r="AS128" s="1050"/>
      <c r="AT128" s="1050"/>
      <c r="AU128" s="1050"/>
      <c r="AV128" s="1078"/>
      <c r="AW128" s="1078"/>
      <c r="AX128" s="1078"/>
      <c r="AY128" s="1078"/>
      <c r="AZ128" s="1078"/>
      <c r="BA128" s="1078"/>
      <c r="BB128" s="1078"/>
      <c r="BC128" s="1078"/>
      <c r="BD128" s="17"/>
    </row>
    <row r="129" spans="5:56" ht="14.65" customHeight="1">
      <c r="E129" s="447">
        <v>15</v>
      </c>
      <c r="W129" s="515" t="s">
        <v>407</v>
      </c>
      <c r="AA129" s="17"/>
      <c r="AB129" s="472"/>
      <c r="AC129" s="380" t="s">
        <v>408</v>
      </c>
      <c r="AD129" s="217"/>
      <c r="AE129" s="217"/>
      <c r="AF129" s="218"/>
      <c r="AG129" s="218"/>
      <c r="AH129" s="218"/>
      <c r="AI129" s="218"/>
      <c r="AJ129" s="218"/>
      <c r="AK129" s="218"/>
      <c r="AL129" s="218"/>
      <c r="AM129" s="218"/>
      <c r="AN129" s="218"/>
      <c r="AO129" s="218"/>
      <c r="AP129" s="218"/>
      <c r="AQ129" s="218"/>
      <c r="AR129" s="218"/>
      <c r="AS129" s="218"/>
      <c r="AT129" s="218"/>
      <c r="AU129" s="218"/>
      <c r="AV129" s="218"/>
      <c r="AW129" s="218"/>
      <c r="AX129" s="218"/>
      <c r="AY129" s="218"/>
      <c r="AZ129" s="218"/>
      <c r="BA129" s="218"/>
      <c r="BB129" s="218"/>
      <c r="BC129" s="219"/>
      <c r="BD129" s="17"/>
    </row>
    <row r="130" spans="5:56" ht="10.9" customHeight="1">
      <c r="E130" s="447">
        <v>11.25</v>
      </c>
    </row>
  </sheetData>
  <sheetProtection formatColumns="0" formatRows="0" insertRows="0" deleteColumns="0" deleteRows="0" sort="0" autoFilter="0"/>
  <mergeCells count="12">
    <mergeCell ref="AB128:BC128"/>
    <mergeCell ref="X27:X75"/>
    <mergeCell ref="Z27:Z75"/>
    <mergeCell ref="AB127:BC127"/>
    <mergeCell ref="AB126:BC126"/>
    <mergeCell ref="X76:X124"/>
    <mergeCell ref="Z76:Z1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D3E5-7B6C-F263-E6B8-BA024217F3C8}">
  <sheetPr>
    <tabColor rgb="FF002060"/>
    <outlinePr summaryBelow="0" summaryRight="0"/>
    <pageSetUpPr fitToPage="1"/>
  </sheetPr>
  <dimension ref="A1:BF52"/>
  <sheetViews>
    <sheetView showGridLines="0" workbookViewId="0">
      <pane xSplit="30" ySplit="25" topLeftCell="AE37" activePane="bottomRight" state="frozen"/>
      <selection pane="topRight" activeCell="AE1" sqref="AE1"/>
      <selection pane="bottomLeft" activeCell="A26" sqref="A26"/>
      <selection pane="bottomRight" activeCell="AB51" sqref="AB51"/>
    </sheetView>
  </sheetViews>
  <sheetFormatPr defaultColWidth="9.140625" defaultRowHeight="11.25" customHeight="1"/>
  <cols>
    <col min="1" max="1" width="3.5703125" style="38" hidden="1" customWidth="1"/>
    <col min="2" max="2" width="4.85546875" style="43" hidden="1" customWidth="1"/>
    <col min="3" max="3" width="3.5703125" style="38" hidden="1" customWidth="1"/>
    <col min="4" max="4" width="7.140625" style="38" hidden="1" customWidth="1"/>
    <col min="5" max="5" width="3.5703125" style="446"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5" style="38" customWidth="1"/>
    <col min="30" max="30" width="12" style="38" customWidth="1"/>
    <col min="31" max="31" width="13" style="48" customWidth="1"/>
    <col min="32" max="37" width="13" style="38" customWidth="1"/>
    <col min="38" max="44" width="13" style="38" hidden="1" customWidth="1"/>
    <col min="45" max="47" width="13" style="38" customWidth="1"/>
    <col min="48" max="54" width="13" style="38" hidden="1" customWidth="1"/>
    <col min="55" max="55" width="20" style="38" customWidth="1"/>
    <col min="56" max="56" width="3" style="38" customWidth="1"/>
    <col min="57" max="57" width="9.140625" style="38" hidden="1"/>
    <col min="58" max="58" width="9.140625" style="654" hidden="1"/>
  </cols>
  <sheetData>
    <row r="1" spans="1:58" ht="11.25" hidden="1" customHeight="1">
      <c r="E1" s="38"/>
      <c r="F1" s="38" t="s">
        <v>309</v>
      </c>
      <c r="H1" s="38" t="s">
        <v>320</v>
      </c>
      <c r="T1" s="351" t="s">
        <v>92</v>
      </c>
      <c r="U1" s="351" t="s">
        <v>97</v>
      </c>
      <c r="V1" s="351" t="s">
        <v>93</v>
      </c>
      <c r="W1" s="351" t="s">
        <v>94</v>
      </c>
      <c r="X1" s="351" t="s">
        <v>95</v>
      </c>
      <c r="Y1" s="353" t="s">
        <v>311</v>
      </c>
      <c r="Z1" s="351" t="s">
        <v>99</v>
      </c>
      <c r="AA1" s="352" t="s">
        <v>96</v>
      </c>
      <c r="AB1" s="4"/>
      <c r="AC1" s="352" t="s">
        <v>98</v>
      </c>
      <c r="BF1" s="654" t="s">
        <v>312</v>
      </c>
    </row>
    <row r="2" spans="1:58" s="43" customFormat="1" ht="11.25" hidden="1" customHeight="1">
      <c r="B2" s="341" t="s">
        <v>18</v>
      </c>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63"/>
    </row>
    <row r="3" spans="1:58" ht="11.25" hidden="1" customHeight="1">
      <c r="E3" s="38"/>
      <c r="AI3" s="371"/>
      <c r="AJ3" s="371"/>
      <c r="AK3" s="371"/>
      <c r="AL3" s="371"/>
      <c r="AM3" s="371"/>
      <c r="AN3" s="371"/>
      <c r="AO3" s="371"/>
      <c r="AP3" s="371"/>
      <c r="AQ3" s="371"/>
      <c r="AR3" s="371"/>
      <c r="AS3" s="371"/>
      <c r="AT3" s="371"/>
      <c r="AU3" s="371"/>
      <c r="AV3" s="371"/>
      <c r="AW3" s="371"/>
      <c r="AX3" s="371"/>
      <c r="AY3" s="371"/>
      <c r="AZ3" s="371"/>
      <c r="BA3" s="371"/>
      <c r="BB3" s="371"/>
    </row>
    <row r="4" spans="1:58" ht="11.25" hidden="1" customHeight="1">
      <c r="E4" s="38"/>
    </row>
    <row r="5" spans="1:58" s="446" customFormat="1" ht="11.25" hidden="1" customHeight="1">
      <c r="A5" s="38"/>
      <c r="B5" s="43"/>
      <c r="C5" s="38"/>
      <c r="D5" s="38"/>
      <c r="E5" s="446" t="s">
        <v>19</v>
      </c>
      <c r="AA5" s="446">
        <v>3</v>
      </c>
      <c r="AB5" s="446">
        <v>11</v>
      </c>
      <c r="AC5" s="446">
        <v>35</v>
      </c>
      <c r="AD5" s="446">
        <v>12</v>
      </c>
      <c r="AE5" s="456">
        <v>13</v>
      </c>
      <c r="AF5" s="446">
        <v>13</v>
      </c>
      <c r="AG5" s="446">
        <v>13</v>
      </c>
      <c r="AH5" s="446">
        <v>13</v>
      </c>
      <c r="AI5" s="446">
        <v>13</v>
      </c>
      <c r="AJ5" s="446">
        <v>13</v>
      </c>
      <c r="AK5" s="446">
        <v>13</v>
      </c>
      <c r="AL5" s="446">
        <v>13</v>
      </c>
      <c r="AM5" s="446">
        <v>13</v>
      </c>
      <c r="AN5" s="446">
        <v>13</v>
      </c>
      <c r="AO5" s="446">
        <v>13</v>
      </c>
      <c r="AP5" s="446">
        <v>13</v>
      </c>
      <c r="AQ5" s="446">
        <v>13</v>
      </c>
      <c r="AR5" s="446">
        <v>13</v>
      </c>
      <c r="AS5" s="446">
        <v>13</v>
      </c>
      <c r="AT5" s="446">
        <v>13</v>
      </c>
      <c r="AU5" s="446">
        <v>13</v>
      </c>
      <c r="AV5" s="446">
        <v>13</v>
      </c>
      <c r="AW5" s="446">
        <v>13</v>
      </c>
      <c r="AX5" s="446">
        <v>13</v>
      </c>
      <c r="AY5" s="446">
        <v>13</v>
      </c>
      <c r="AZ5" s="446">
        <v>13</v>
      </c>
      <c r="BA5" s="446">
        <v>13</v>
      </c>
      <c r="BB5" s="446">
        <v>13</v>
      </c>
      <c r="BC5" s="446">
        <v>20</v>
      </c>
      <c r="BD5" s="446">
        <v>3</v>
      </c>
      <c r="BF5" s="654"/>
    </row>
    <row r="6" spans="1:58" ht="11.25" hidden="1" customHeight="1">
      <c r="A6" s="38" t="s">
        <v>349</v>
      </c>
      <c r="AE6" s="274">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38" t="s">
        <v>350</v>
      </c>
      <c r="AE7" s="274" t="str" cm="1">
        <f t="array" ref="AE7">AE25</f>
        <v>Принято органом регулирования</v>
      </c>
      <c r="AF7" s="274" t="str" cm="1">
        <f t="array" ref="AF7">AF25</f>
        <v>Факт по данным организации</v>
      </c>
      <c r="AG7" s="274" t="str" cm="1">
        <f t="array" ref="AG7">AG25</f>
        <v>Факт, принятый органом регулирования</v>
      </c>
      <c r="AH7" s="274" t="str" cm="1">
        <f t="array" ref="AH7">AH25</f>
        <v>Принято органом регулирования</v>
      </c>
      <c r="AI7" s="274" t="str" cm="1">
        <f t="array" ref="AI7">AI25</f>
        <v>Предложение организации</v>
      </c>
      <c r="AJ7" s="274" t="str" cm="1">
        <f t="array" ref="AJ7">AJ25</f>
        <v>Предложение организации</v>
      </c>
      <c r="AK7" s="274" t="str" cm="1">
        <f t="array" ref="AK7">AK25</f>
        <v>Предложение организации</v>
      </c>
      <c r="AL7" s="274" t="str" cm="1">
        <f t="array" ref="AL7">AL25</f>
        <v>Предложение организации</v>
      </c>
      <c r="AM7" s="274" t="str" cm="1">
        <f t="array" ref="AM7">AM25</f>
        <v>Предложение организации</v>
      </c>
      <c r="AN7" s="274" t="str" cm="1">
        <f t="array" ref="AN7">AN25</f>
        <v>Предложение организации</v>
      </c>
      <c r="AO7" s="274" t="str" cm="1">
        <f t="array" ref="AO7">AO25</f>
        <v>Предложение организации</v>
      </c>
      <c r="AP7" s="274" t="str" cm="1">
        <f t="array" ref="AP7">AP25</f>
        <v>Предложение организации</v>
      </c>
      <c r="AQ7" s="274" t="str" cm="1">
        <f t="array" ref="AQ7">AQ25</f>
        <v>Предложение организации</v>
      </c>
      <c r="AR7" s="274" t="str" cm="1">
        <f t="array" ref="AR7">AR25</f>
        <v>Предложение организации</v>
      </c>
      <c r="AS7" s="274" t="str" cm="1">
        <f t="array" ref="AS7">AS25</f>
        <v>Принято органом регулирования</v>
      </c>
      <c r="AT7" s="274" t="str" cm="1">
        <f t="array" ref="AT7">AT25</f>
        <v>Принято органом регулирования</v>
      </c>
      <c r="AU7" s="274" t="str" cm="1">
        <f t="array" ref="AU7">AU25</f>
        <v>Принято органом регулирования</v>
      </c>
      <c r="AV7" s="274" t="str" cm="1">
        <f t="array" ref="AV7">AV25</f>
        <v>Принято органом регулирования</v>
      </c>
      <c r="AW7" s="274" t="str" cm="1">
        <f t="array" ref="AW7">AW25</f>
        <v>Принято органом регулирования</v>
      </c>
      <c r="AX7" s="274" t="str" cm="1">
        <f t="array" ref="AX7">AX25</f>
        <v>Принято органом регулирования</v>
      </c>
      <c r="AY7" s="274" t="str" cm="1">
        <f t="array" ref="AY7">AY25</f>
        <v>Принято органом регулирования</v>
      </c>
      <c r="AZ7" s="274" t="str" cm="1">
        <f t="array" ref="AZ7">AZ25</f>
        <v>Принято органом регулирования</v>
      </c>
      <c r="BA7" s="274" t="str" cm="1">
        <f t="array" ref="BA7">BA25</f>
        <v>Принято органом регулирования</v>
      </c>
      <c r="BB7" s="274" t="str" cm="1">
        <f t="array" ref="BB7">BB25</f>
        <v>Принято органом регулирования</v>
      </c>
    </row>
    <row r="8" spans="1:58" ht="11.25" hidden="1" customHeight="1"/>
    <row r="9" spans="1:58" s="654" customFormat="1" ht="11.25" hidden="1" customHeight="1">
      <c r="A9" s="669" t="s">
        <v>354</v>
      </c>
      <c r="B9" s="663"/>
      <c r="AE9" s="666" cm="1">
        <f t="array" ref="AE9">AE6</f>
        <v>2024</v>
      </c>
      <c r="AF9" s="666" cm="1">
        <f t="array" ref="AF9">AF6</f>
        <v>2024</v>
      </c>
      <c r="AG9" s="666" cm="1">
        <f t="array" ref="AG9">AG6</f>
        <v>2024</v>
      </c>
      <c r="AH9" s="666" cm="1">
        <f t="array" ref="AH9">AH6</f>
        <v>2025</v>
      </c>
      <c r="AI9" s="666" cm="1">
        <f t="array" ref="AI9">AI6</f>
        <v>2026</v>
      </c>
      <c r="AJ9" s="666" cm="1">
        <f t="array" ref="AJ9">AJ6</f>
        <v>2027</v>
      </c>
      <c r="AK9" s="666" cm="1">
        <f t="array" ref="AK9">AK6</f>
        <v>2028</v>
      </c>
      <c r="AL9" s="666" cm="1">
        <f t="array" ref="AL9">AL6</f>
        <v>2029</v>
      </c>
      <c r="AM9" s="666" cm="1">
        <f t="array" ref="AM9">AM6</f>
        <v>2030</v>
      </c>
      <c r="AN9" s="666" cm="1">
        <f t="array" ref="AN9">AN6</f>
        <v>2031</v>
      </c>
      <c r="AO9" s="666" cm="1">
        <f t="array" ref="AO9">AO6</f>
        <v>2032</v>
      </c>
      <c r="AP9" s="666" cm="1">
        <f t="array" ref="AP9">AP6</f>
        <v>2033</v>
      </c>
      <c r="AQ9" s="666" cm="1">
        <f t="array" ref="AQ9">AQ6</f>
        <v>2034</v>
      </c>
      <c r="AR9" s="666" cm="1">
        <f t="array" ref="AR9">AR6</f>
        <v>2035</v>
      </c>
      <c r="AS9" s="666" cm="1">
        <f t="array" ref="AS9">AS6</f>
        <v>2026</v>
      </c>
      <c r="AT9" s="666" cm="1">
        <f t="array" ref="AT9">AT6</f>
        <v>2027</v>
      </c>
      <c r="AU9" s="666" cm="1">
        <f t="array" ref="AU9">AU6</f>
        <v>2028</v>
      </c>
      <c r="AV9" s="666" cm="1">
        <f t="array" ref="AV9">AV6</f>
        <v>2029</v>
      </c>
      <c r="AW9" s="666" cm="1">
        <f t="array" ref="AW9">AW6</f>
        <v>2030</v>
      </c>
      <c r="AX9" s="666" cm="1">
        <f t="array" ref="AX9">AX6</f>
        <v>2031</v>
      </c>
      <c r="AY9" s="666" cm="1">
        <f t="array" ref="AY9">AY6</f>
        <v>2032</v>
      </c>
      <c r="AZ9" s="666" cm="1">
        <f t="array" ref="AZ9">AZ6</f>
        <v>2033</v>
      </c>
      <c r="BA9" s="666" cm="1">
        <f t="array" ref="BA9">BA6</f>
        <v>2034</v>
      </c>
      <c r="BB9" s="666" cm="1">
        <f t="array" ref="BB9">BB6</f>
        <v>2035</v>
      </c>
    </row>
    <row r="10" spans="1:58" s="654" customFormat="1" ht="11.25" hidden="1" customHeight="1">
      <c r="A10" s="669" t="s">
        <v>355</v>
      </c>
      <c r="B10" s="663"/>
      <c r="AE10" s="666" t="str" cm="1">
        <f t="array" ref="AE10">AE25</f>
        <v>Принято органом регулирования</v>
      </c>
      <c r="AF10" s="666" t="str" cm="1">
        <f t="array" ref="AF10">AF25</f>
        <v>Факт по данным организации</v>
      </c>
      <c r="AG10" s="666" t="str" cm="1">
        <f t="array" ref="AG10">AG25</f>
        <v>Факт, принятый органом регулирования</v>
      </c>
      <c r="AH10" s="666" t="str" cm="1">
        <f t="array" ref="AH10">AH25</f>
        <v>Принято органом регулирования</v>
      </c>
      <c r="AI10" s="666" t="str" cm="1">
        <f t="array" ref="AI10">AI25</f>
        <v>Предложение организации</v>
      </c>
      <c r="AJ10" s="666" t="str" cm="1">
        <f t="array" ref="AJ10">AJ25</f>
        <v>Предложение организации</v>
      </c>
      <c r="AK10" s="666" t="str" cm="1">
        <f t="array" ref="AK10">AK25</f>
        <v>Предложение организации</v>
      </c>
      <c r="AL10" s="666" t="str" cm="1">
        <f t="array" ref="AL10">AL25</f>
        <v>Предложение организации</v>
      </c>
      <c r="AM10" s="666" t="str" cm="1">
        <f t="array" ref="AM10">AM25</f>
        <v>Предложение организации</v>
      </c>
      <c r="AN10" s="666" t="str" cm="1">
        <f t="array" ref="AN10">AN25</f>
        <v>Предложение организации</v>
      </c>
      <c r="AO10" s="666" t="str" cm="1">
        <f t="array" ref="AO10">AO25</f>
        <v>Предложение организации</v>
      </c>
      <c r="AP10" s="666" t="str" cm="1">
        <f t="array" ref="AP10">AP25</f>
        <v>Предложение организации</v>
      </c>
      <c r="AQ10" s="666" t="str" cm="1">
        <f t="array" ref="AQ10">AQ25</f>
        <v>Предложение организации</v>
      </c>
      <c r="AR10" s="666" t="str" cm="1">
        <f t="array" ref="AR10">AR25</f>
        <v>Предложение организации</v>
      </c>
      <c r="AS10" s="666" t="str" cm="1">
        <f t="array" ref="AS10">AS25</f>
        <v>Принято органом регулирования</v>
      </c>
      <c r="AT10" s="666" t="str" cm="1">
        <f t="array" ref="AT10">AT25</f>
        <v>Принято органом регулирования</v>
      </c>
      <c r="AU10" s="666" t="str" cm="1">
        <f t="array" ref="AU10">AU25</f>
        <v>Принято органом регулирования</v>
      </c>
      <c r="AV10" s="666" t="str" cm="1">
        <f t="array" ref="AV10">AV25</f>
        <v>Принято органом регулирования</v>
      </c>
      <c r="AW10" s="666" t="str" cm="1">
        <f t="array" ref="AW10">AW25</f>
        <v>Принято органом регулирования</v>
      </c>
      <c r="AX10" s="666" t="str" cm="1">
        <f t="array" ref="AX10">AX25</f>
        <v>Принято органом регулирования</v>
      </c>
      <c r="AY10" s="666" t="str" cm="1">
        <f t="array" ref="AY10">AY25</f>
        <v>Принято органом регулирования</v>
      </c>
      <c r="AZ10" s="666" t="str" cm="1">
        <f t="array" ref="AZ10">AZ25</f>
        <v>Принято органом регулирования</v>
      </c>
      <c r="BA10" s="666" t="str" cm="1">
        <f t="array" ref="BA10">BA25</f>
        <v>Принято органом регулирования</v>
      </c>
      <c r="BB10" s="666" t="str" cm="1">
        <f t="array" ref="BB10">BB25</f>
        <v>Принято органом регулирования</v>
      </c>
    </row>
    <row r="11" spans="1:58" s="654" customFormat="1" ht="11.25" hidden="1" customHeight="1">
      <c r="A11" s="669" t="s">
        <v>356</v>
      </c>
      <c r="B11" s="663"/>
      <c r="AE11" s="666"/>
      <c r="BC11" s="654"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6">
        <v>15</v>
      </c>
      <c r="AA21" s="324"/>
      <c r="AC21" s="266" t="str" cm="1">
        <f t="array" ref="AC21">tpl_title</f>
        <v>Кемеровская область / 2026 / МУП "Водоканал" (ИНН:4202043124, КПП:420201001) / ДПР: 2026-2028</v>
      </c>
    </row>
    <row r="22" spans="1:58" s="38" customFormat="1" ht="19.5" customHeight="1">
      <c r="B22" s="43"/>
      <c r="E22" s="446">
        <v>20</v>
      </c>
      <c r="AB22" s="225" t="s">
        <v>57</v>
      </c>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F22" s="654"/>
    </row>
    <row r="23" spans="1:58" s="38" customFormat="1" ht="10.9" customHeight="1">
      <c r="B23" s="43"/>
      <c r="E23" s="446">
        <v>11.25</v>
      </c>
      <c r="AB23" s="65"/>
      <c r="AE23" s="48"/>
      <c r="BF23" s="654"/>
    </row>
    <row r="24" spans="1:58" s="38" customFormat="1" ht="14.65" customHeight="1">
      <c r="B24" s="43"/>
      <c r="E24" s="446">
        <v>15</v>
      </c>
      <c r="AB24" s="1028" t="s">
        <v>21</v>
      </c>
      <c r="AC24" s="1028" t="s">
        <v>358</v>
      </c>
      <c r="AD24" s="1028" t="s">
        <v>1033</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51" t="s">
        <v>580</v>
      </c>
      <c r="BF24" s="654"/>
    </row>
    <row r="25" spans="1:58" s="38" customFormat="1" ht="48.75" customHeight="1">
      <c r="B25" s="43"/>
      <c r="E25" s="446">
        <v>50</v>
      </c>
      <c r="AB25" s="1028"/>
      <c r="AC25" s="1028"/>
      <c r="AD25" s="1028"/>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51"/>
      <c r="BF25" s="654"/>
    </row>
    <row r="26" spans="1:58" ht="11.25" hidden="1" customHeight="1">
      <c r="A26" s="314"/>
      <c r="B26" s="477"/>
      <c r="C26" s="314"/>
      <c r="D26" s="314"/>
      <c r="E26" s="478">
        <v>0</v>
      </c>
      <c r="F26" s="476" t="s">
        <v>1034</v>
      </c>
      <c r="G26" s="314"/>
      <c r="H26" s="314"/>
      <c r="I26" s="314"/>
      <c r="J26" s="314"/>
      <c r="K26" s="314"/>
      <c r="L26" s="314"/>
      <c r="M26" s="314"/>
      <c r="N26" s="314"/>
      <c r="O26" s="314"/>
      <c r="P26" s="314"/>
      <c r="Q26" s="314"/>
      <c r="R26" s="314"/>
      <c r="S26" s="314"/>
      <c r="T26" s="314"/>
      <c r="U26" s="314"/>
      <c r="V26" s="314"/>
      <c r="W26" s="314"/>
      <c r="X26" s="314"/>
      <c r="Y26" s="314"/>
      <c r="Z26" s="314"/>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s="38" customFormat="1" ht="14.65" hidden="1" customHeight="1">
      <c r="B27" s="43"/>
      <c r="E27" s="446">
        <v>15</v>
      </c>
      <c r="F27" s="17" cm="1">
        <f t="array" ref="F27">X27</f>
        <v>0</v>
      </c>
      <c r="T27" s="351" t="b">
        <f>X27&gt;0</f>
        <v>0</v>
      </c>
      <c r="V27" s="38" t="s">
        <v>266</v>
      </c>
      <c r="X27" s="1024">
        <v>0</v>
      </c>
      <c r="Z27" s="1046"/>
      <c r="AB27" s="135" t="str" cm="1">
        <f t="array" ref="AB27">INDEX('Общие сведения'!$AG$179:$AG$208,MATCH($X27,'Общие сведения'!$Z$179:$Z$208,0))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c r="BF27" s="654"/>
    </row>
    <row r="28" spans="1:58" s="38" customFormat="1" ht="71.650000000000006" hidden="1" customHeight="1">
      <c r="B28" s="43"/>
      <c r="E28" s="446">
        <v>73.5</v>
      </c>
      <c r="F28" s="3" cm="1">
        <f t="array" aca="1" ref="F28" ca="1">OFFSET(E28,-1,1)</f>
        <v>0</v>
      </c>
      <c r="G28" s="370" t="s">
        <v>1035</v>
      </c>
      <c r="H28" s="38" t="s">
        <v>321</v>
      </c>
      <c r="K28" s="40" t="str">
        <f ca="1">F28&amp;"komm"</f>
        <v>0komm</v>
      </c>
      <c r="L28" s="607" cm="1">
        <f t="array" ref="L28">BC28</f>
        <v>0</v>
      </c>
      <c r="T28" s="351" t="b" cm="1">
        <f t="array" ref="T28">T27</f>
        <v>0</v>
      </c>
      <c r="X28" s="1024"/>
      <c r="Z28" s="1046"/>
      <c r="AB28" s="131" t="s">
        <v>277</v>
      </c>
      <c r="AC28" s="132" t="s">
        <v>1036</v>
      </c>
      <c r="AD28" s="118" t="s">
        <v>859</v>
      </c>
      <c r="AE28" s="170">
        <f t="shared" ref="AE28:BB28" si="1">AE29+AE32+AE33+AE34</f>
        <v>0</v>
      </c>
      <c r="AF28" s="170">
        <f t="shared" si="1"/>
        <v>0</v>
      </c>
      <c r="AG28" s="170">
        <f t="shared" si="1"/>
        <v>0</v>
      </c>
      <c r="AH28" s="170">
        <f t="shared" si="1"/>
        <v>0</v>
      </c>
      <c r="AI28" s="170">
        <f t="shared" si="1"/>
        <v>0</v>
      </c>
      <c r="AJ28" s="170">
        <f t="shared" si="1"/>
        <v>0</v>
      </c>
      <c r="AK28" s="170">
        <f t="shared" si="1"/>
        <v>0</v>
      </c>
      <c r="AL28" s="170">
        <f t="shared" si="1"/>
        <v>0</v>
      </c>
      <c r="AM28" s="170">
        <f t="shared" si="1"/>
        <v>0</v>
      </c>
      <c r="AN28" s="170">
        <f t="shared" si="1"/>
        <v>0</v>
      </c>
      <c r="AO28" s="170">
        <f t="shared" si="1"/>
        <v>0</v>
      </c>
      <c r="AP28" s="170">
        <f t="shared" si="1"/>
        <v>0</v>
      </c>
      <c r="AQ28" s="170">
        <f t="shared" si="1"/>
        <v>0</v>
      </c>
      <c r="AR28" s="170">
        <f t="shared" si="1"/>
        <v>0</v>
      </c>
      <c r="AS28" s="170">
        <f t="shared" si="1"/>
        <v>0</v>
      </c>
      <c r="AT28" s="170">
        <f t="shared" si="1"/>
        <v>0</v>
      </c>
      <c r="AU28" s="170">
        <f t="shared" si="1"/>
        <v>0</v>
      </c>
      <c r="AV28" s="170">
        <f t="shared" si="1"/>
        <v>0</v>
      </c>
      <c r="AW28" s="170">
        <f t="shared" si="1"/>
        <v>0</v>
      </c>
      <c r="AX28" s="170">
        <f t="shared" si="1"/>
        <v>0</v>
      </c>
      <c r="AY28" s="170">
        <f t="shared" si="1"/>
        <v>0</v>
      </c>
      <c r="AZ28" s="170">
        <f t="shared" si="1"/>
        <v>0</v>
      </c>
      <c r="BA28" s="170">
        <f t="shared" si="1"/>
        <v>0</v>
      </c>
      <c r="BB28" s="170">
        <f t="shared" si="1"/>
        <v>0</v>
      </c>
      <c r="BC28" s="823"/>
      <c r="BF28" s="678" t="s">
        <v>1037</v>
      </c>
    </row>
    <row r="29" spans="1:58" s="38" customFormat="1" ht="14.65" hidden="1" customHeight="1">
      <c r="B29" s="43"/>
      <c r="D29" s="38" t="s">
        <v>1038</v>
      </c>
      <c r="E29" s="446">
        <v>15</v>
      </c>
      <c r="F29" s="3" cm="1">
        <f t="array" aca="1" ref="F29" ca="1">OFFSET(E29,-1,1)</f>
        <v>0</v>
      </c>
      <c r="H29" s="38" t="s">
        <v>507</v>
      </c>
      <c r="T29" s="351" t="b" cm="1">
        <f t="array" ref="T29">T28</f>
        <v>0</v>
      </c>
      <c r="X29" s="1024"/>
      <c r="Z29" s="1046"/>
      <c r="AB29" s="133" t="s">
        <v>936</v>
      </c>
      <c r="AC29" s="127" t="s">
        <v>1038</v>
      </c>
      <c r="AD29" s="8" t="s">
        <v>859</v>
      </c>
      <c r="AE29" s="777">
        <f t="shared" ref="AE29:BB29" si="2">SUM(AE30:AE31)</f>
        <v>0</v>
      </c>
      <c r="AF29" s="777">
        <f t="shared" si="2"/>
        <v>0</v>
      </c>
      <c r="AG29" s="777">
        <f t="shared" si="2"/>
        <v>0</v>
      </c>
      <c r="AH29" s="777">
        <f t="shared" si="2"/>
        <v>0</v>
      </c>
      <c r="AI29" s="128">
        <f t="shared" si="2"/>
        <v>0</v>
      </c>
      <c r="AJ29" s="128">
        <f t="shared" si="2"/>
        <v>0</v>
      </c>
      <c r="AK29" s="128">
        <f t="shared" si="2"/>
        <v>0</v>
      </c>
      <c r="AL29" s="777">
        <f t="shared" si="2"/>
        <v>0</v>
      </c>
      <c r="AM29" s="777">
        <f t="shared" si="2"/>
        <v>0</v>
      </c>
      <c r="AN29" s="777">
        <f t="shared" si="2"/>
        <v>0</v>
      </c>
      <c r="AO29" s="777">
        <f t="shared" si="2"/>
        <v>0</v>
      </c>
      <c r="AP29" s="777">
        <f t="shared" si="2"/>
        <v>0</v>
      </c>
      <c r="AQ29" s="777">
        <f t="shared" si="2"/>
        <v>0</v>
      </c>
      <c r="AR29" s="777">
        <f t="shared" si="2"/>
        <v>0</v>
      </c>
      <c r="AS29" s="128">
        <f t="shared" si="2"/>
        <v>0</v>
      </c>
      <c r="AT29" s="128">
        <f t="shared" si="2"/>
        <v>0</v>
      </c>
      <c r="AU29" s="128">
        <f t="shared" si="2"/>
        <v>0</v>
      </c>
      <c r="AV29" s="777">
        <f t="shared" si="2"/>
        <v>0</v>
      </c>
      <c r="AW29" s="777">
        <f t="shared" si="2"/>
        <v>0</v>
      </c>
      <c r="AX29" s="777">
        <f t="shared" si="2"/>
        <v>0</v>
      </c>
      <c r="AY29" s="777">
        <f t="shared" si="2"/>
        <v>0</v>
      </c>
      <c r="AZ29" s="777">
        <f t="shared" si="2"/>
        <v>0</v>
      </c>
      <c r="BA29" s="777">
        <f t="shared" si="2"/>
        <v>0</v>
      </c>
      <c r="BB29" s="777">
        <f t="shared" si="2"/>
        <v>0</v>
      </c>
      <c r="BC29" s="823"/>
      <c r="BF29" s="678" t="s">
        <v>1039</v>
      </c>
    </row>
    <row r="30" spans="1:58" s="38" customFormat="1" ht="23.45" hidden="1" customHeight="1">
      <c r="B30" s="43"/>
      <c r="E30" s="446">
        <v>24</v>
      </c>
      <c r="F30" s="3" cm="1">
        <f t="array" aca="1" ref="F30" ca="1">OFFSET(E30,-1,1)</f>
        <v>0</v>
      </c>
      <c r="H30" s="38" t="s">
        <v>1040</v>
      </c>
      <c r="T30" s="351" t="b" cm="1">
        <f t="array" ref="T30">T29</f>
        <v>0</v>
      </c>
      <c r="X30" s="1024"/>
      <c r="Z30" s="1046"/>
      <c r="AB30" s="133" t="s">
        <v>1041</v>
      </c>
      <c r="AC30" s="134" t="s">
        <v>1042</v>
      </c>
      <c r="AD30" s="8" t="s">
        <v>859</v>
      </c>
      <c r="AE30" s="777"/>
      <c r="AF30" s="777"/>
      <c r="AG30" s="777"/>
      <c r="AH30" s="777"/>
      <c r="AI30" s="128"/>
      <c r="AJ30" s="128"/>
      <c r="AK30" s="128"/>
      <c r="AL30" s="777"/>
      <c r="AM30" s="777"/>
      <c r="AN30" s="777"/>
      <c r="AO30" s="777"/>
      <c r="AP30" s="777"/>
      <c r="AQ30" s="777"/>
      <c r="AR30" s="777"/>
      <c r="AS30" s="128"/>
      <c r="AT30" s="128"/>
      <c r="AU30" s="128"/>
      <c r="AV30" s="777"/>
      <c r="AW30" s="777"/>
      <c r="AX30" s="777"/>
      <c r="AY30" s="777"/>
      <c r="AZ30" s="777"/>
      <c r="BA30" s="777"/>
      <c r="BB30" s="777"/>
      <c r="BC30" s="823"/>
      <c r="BF30" s="654" t="s">
        <v>1043</v>
      </c>
    </row>
    <row r="31" spans="1:58" s="38" customFormat="1" ht="14.65" hidden="1" customHeight="1">
      <c r="B31" s="43"/>
      <c r="E31" s="446">
        <v>15</v>
      </c>
      <c r="F31" s="3" cm="1">
        <f t="array" aca="1" ref="F31" ca="1">OFFSET(E31,-1,1)</f>
        <v>0</v>
      </c>
      <c r="H31" s="38" t="s">
        <v>1044</v>
      </c>
      <c r="T31" s="351" t="b" cm="1">
        <f t="array" ref="T31">T30</f>
        <v>0</v>
      </c>
      <c r="X31" s="1024"/>
      <c r="Z31" s="1046"/>
      <c r="AB31" s="133" t="s">
        <v>1045</v>
      </c>
      <c r="AC31" s="134" t="s">
        <v>1046</v>
      </c>
      <c r="AD31" s="8" t="s">
        <v>859</v>
      </c>
      <c r="AE31" s="777"/>
      <c r="AF31" s="777"/>
      <c r="AG31" s="777"/>
      <c r="AH31" s="777"/>
      <c r="AI31" s="128"/>
      <c r="AJ31" s="128"/>
      <c r="AK31" s="128"/>
      <c r="AL31" s="777"/>
      <c r="AM31" s="777"/>
      <c r="AN31" s="777"/>
      <c r="AO31" s="777"/>
      <c r="AP31" s="777"/>
      <c r="AQ31" s="777"/>
      <c r="AR31" s="777"/>
      <c r="AS31" s="128"/>
      <c r="AT31" s="128"/>
      <c r="AU31" s="128"/>
      <c r="AV31" s="777"/>
      <c r="AW31" s="777"/>
      <c r="AX31" s="777"/>
      <c r="AY31" s="777"/>
      <c r="AZ31" s="777"/>
      <c r="BA31" s="777"/>
      <c r="BB31" s="777"/>
      <c r="BC31" s="823"/>
      <c r="BF31" s="654" t="s">
        <v>1047</v>
      </c>
    </row>
    <row r="32" spans="1:58" s="38" customFormat="1" ht="14.65" hidden="1" customHeight="1">
      <c r="B32" s="43"/>
      <c r="D32" s="38" t="s">
        <v>1048</v>
      </c>
      <c r="E32" s="446">
        <v>15</v>
      </c>
      <c r="F32" s="3" cm="1">
        <f t="array" aca="1" ref="F32" ca="1">OFFSET(E32,-1,1)</f>
        <v>0</v>
      </c>
      <c r="H32" s="38" t="s">
        <v>511</v>
      </c>
      <c r="T32" s="351" t="b" cm="1">
        <f t="array" ref="T32">T31</f>
        <v>0</v>
      </c>
      <c r="X32" s="1024"/>
      <c r="Z32" s="1046"/>
      <c r="AB32" s="133" t="s">
        <v>939</v>
      </c>
      <c r="AC32" s="615" t="s">
        <v>1049</v>
      </c>
      <c r="AD32" s="8" t="s">
        <v>859</v>
      </c>
      <c r="AE32" s="777"/>
      <c r="AF32" s="777"/>
      <c r="AG32" s="777"/>
      <c r="AH32" s="777"/>
      <c r="AI32" s="128"/>
      <c r="AJ32" s="128"/>
      <c r="AK32" s="128"/>
      <c r="AL32" s="777"/>
      <c r="AM32" s="777"/>
      <c r="AN32" s="777"/>
      <c r="AO32" s="777"/>
      <c r="AP32" s="777"/>
      <c r="AQ32" s="777"/>
      <c r="AR32" s="777"/>
      <c r="AS32" s="128"/>
      <c r="AT32" s="128"/>
      <c r="AU32" s="128"/>
      <c r="AV32" s="777"/>
      <c r="AW32" s="777"/>
      <c r="AX32" s="777"/>
      <c r="AY32" s="777"/>
      <c r="AZ32" s="777"/>
      <c r="BA32" s="777"/>
      <c r="BB32" s="777"/>
      <c r="BC32" s="823"/>
      <c r="BF32" s="654" t="s">
        <v>1050</v>
      </c>
    </row>
    <row r="33" spans="1:58" s="38" customFormat="1" ht="14.65" hidden="1" customHeight="1">
      <c r="B33" s="43"/>
      <c r="D33" s="38" t="s">
        <v>1051</v>
      </c>
      <c r="E33" s="446">
        <v>15</v>
      </c>
      <c r="F33" s="3" cm="1">
        <f t="array" aca="1" ref="F33" ca="1">OFFSET(E33,-1,1)</f>
        <v>0</v>
      </c>
      <c r="H33" s="38" t="s">
        <v>514</v>
      </c>
      <c r="T33" s="351" t="b" cm="1">
        <f t="array" ref="T33">T32</f>
        <v>0</v>
      </c>
      <c r="X33" s="1024"/>
      <c r="Z33" s="1046"/>
      <c r="AB33" s="133" t="s">
        <v>942</v>
      </c>
      <c r="AC33" s="127" t="s">
        <v>1052</v>
      </c>
      <c r="AD33" s="8" t="s">
        <v>859</v>
      </c>
      <c r="AE33" s="777"/>
      <c r="AF33" s="777"/>
      <c r="AG33" s="777"/>
      <c r="AH33" s="777"/>
      <c r="AI33" s="128"/>
      <c r="AJ33" s="128"/>
      <c r="AK33" s="128"/>
      <c r="AL33" s="777"/>
      <c r="AM33" s="777"/>
      <c r="AN33" s="777"/>
      <c r="AO33" s="777"/>
      <c r="AP33" s="777"/>
      <c r="AQ33" s="777"/>
      <c r="AR33" s="777"/>
      <c r="AS33" s="128"/>
      <c r="AT33" s="128"/>
      <c r="AU33" s="128"/>
      <c r="AV33" s="777"/>
      <c r="AW33" s="777"/>
      <c r="AX33" s="777"/>
      <c r="AY33" s="777"/>
      <c r="AZ33" s="777"/>
      <c r="BA33" s="777"/>
      <c r="BB33" s="777"/>
      <c r="BC33" s="823"/>
      <c r="BF33" s="654" t="s">
        <v>1053</v>
      </c>
    </row>
    <row r="34" spans="1:58" s="38" customFormat="1" ht="14.65" hidden="1" customHeight="1">
      <c r="B34" s="43"/>
      <c r="D34" s="38" t="s">
        <v>1054</v>
      </c>
      <c r="E34" s="446">
        <v>15</v>
      </c>
      <c r="F34" s="3" cm="1">
        <f t="array" aca="1" ref="F34" ca="1">OFFSET(E34,-1,1)</f>
        <v>0</v>
      </c>
      <c r="H34" s="38" t="s">
        <v>518</v>
      </c>
      <c r="T34" s="351" t="b" cm="1">
        <f t="array" ref="T34">T33</f>
        <v>0</v>
      </c>
      <c r="X34" s="1024"/>
      <c r="Z34" s="1046"/>
      <c r="AB34" s="133" t="s">
        <v>945</v>
      </c>
      <c r="AC34" s="127" t="s">
        <v>1055</v>
      </c>
      <c r="AD34" s="8" t="s">
        <v>859</v>
      </c>
      <c r="AE34" s="777">
        <f t="shared" ref="AE34:BB34" si="3">SUM(AE35:AE36)</f>
        <v>0</v>
      </c>
      <c r="AF34" s="777">
        <f t="shared" si="3"/>
        <v>0</v>
      </c>
      <c r="AG34" s="777">
        <f t="shared" si="3"/>
        <v>0</v>
      </c>
      <c r="AH34" s="777">
        <f t="shared" si="3"/>
        <v>0</v>
      </c>
      <c r="AI34" s="128">
        <f t="shared" si="3"/>
        <v>0</v>
      </c>
      <c r="AJ34" s="128">
        <f t="shared" si="3"/>
        <v>0</v>
      </c>
      <c r="AK34" s="128">
        <f t="shared" si="3"/>
        <v>0</v>
      </c>
      <c r="AL34" s="777">
        <f t="shared" si="3"/>
        <v>0</v>
      </c>
      <c r="AM34" s="777">
        <f t="shared" si="3"/>
        <v>0</v>
      </c>
      <c r="AN34" s="777">
        <f t="shared" si="3"/>
        <v>0</v>
      </c>
      <c r="AO34" s="777">
        <f t="shared" si="3"/>
        <v>0</v>
      </c>
      <c r="AP34" s="777">
        <f t="shared" si="3"/>
        <v>0</v>
      </c>
      <c r="AQ34" s="777">
        <f t="shared" si="3"/>
        <v>0</v>
      </c>
      <c r="AR34" s="777">
        <f t="shared" si="3"/>
        <v>0</v>
      </c>
      <c r="AS34" s="128">
        <f t="shared" si="3"/>
        <v>0</v>
      </c>
      <c r="AT34" s="128">
        <f t="shared" si="3"/>
        <v>0</v>
      </c>
      <c r="AU34" s="128">
        <f t="shared" si="3"/>
        <v>0</v>
      </c>
      <c r="AV34" s="777">
        <f t="shared" si="3"/>
        <v>0</v>
      </c>
      <c r="AW34" s="777">
        <f t="shared" si="3"/>
        <v>0</v>
      </c>
      <c r="AX34" s="777">
        <f t="shared" si="3"/>
        <v>0</v>
      </c>
      <c r="AY34" s="777">
        <f t="shared" si="3"/>
        <v>0</v>
      </c>
      <c r="AZ34" s="777">
        <f t="shared" si="3"/>
        <v>0</v>
      </c>
      <c r="BA34" s="777">
        <f t="shared" si="3"/>
        <v>0</v>
      </c>
      <c r="BB34" s="777">
        <f t="shared" si="3"/>
        <v>0</v>
      </c>
      <c r="BC34" s="823"/>
      <c r="BF34" s="654" t="s">
        <v>1056</v>
      </c>
    </row>
    <row r="35" spans="1:58" s="38" customFormat="1" ht="35.1" hidden="1" customHeight="1">
      <c r="B35" s="43"/>
      <c r="E35" s="446">
        <v>36</v>
      </c>
      <c r="F35" s="3" cm="1">
        <f t="array" aca="1" ref="F35" ca="1">OFFSET(E35,-1,1)</f>
        <v>0</v>
      </c>
      <c r="T35" s="351" t="b" cm="1">
        <f t="array" ref="T35">T34</f>
        <v>0</v>
      </c>
      <c r="X35" s="1024"/>
      <c r="Z35" s="1046"/>
      <c r="AB35" s="133" t="s">
        <v>1057</v>
      </c>
      <c r="AC35" s="127" t="s">
        <v>1058</v>
      </c>
      <c r="AD35" s="8" t="s">
        <v>859</v>
      </c>
      <c r="AE35" s="777"/>
      <c r="AF35" s="777"/>
      <c r="AG35" s="777"/>
      <c r="AH35" s="777"/>
      <c r="AI35" s="128"/>
      <c r="AJ35" s="128"/>
      <c r="AK35" s="128"/>
      <c r="AL35" s="777"/>
      <c r="AM35" s="777"/>
      <c r="AN35" s="777"/>
      <c r="AO35" s="777"/>
      <c r="AP35" s="777"/>
      <c r="AQ35" s="777"/>
      <c r="AR35" s="777"/>
      <c r="AS35" s="128"/>
      <c r="AT35" s="128"/>
      <c r="AU35" s="128"/>
      <c r="AV35" s="777"/>
      <c r="AW35" s="777"/>
      <c r="AX35" s="777"/>
      <c r="AY35" s="777"/>
      <c r="AZ35" s="777"/>
      <c r="BA35" s="777"/>
      <c r="BB35" s="777"/>
      <c r="BC35" s="823"/>
      <c r="BF35" s="654" t="s">
        <v>1059</v>
      </c>
    </row>
    <row r="36" spans="1:58" s="38" customFormat="1" ht="35.1" hidden="1" customHeight="1">
      <c r="B36" s="43"/>
      <c r="E36" s="446">
        <v>36</v>
      </c>
      <c r="F36" s="3" cm="1">
        <f t="array" aca="1" ref="F36" ca="1">OFFSET(E36,-1,1)</f>
        <v>0</v>
      </c>
      <c r="T36" s="351" t="b" cm="1">
        <f t="array" ref="T36">T35</f>
        <v>0</v>
      </c>
      <c r="X36" s="1024"/>
      <c r="Z36" s="1046"/>
      <c r="AB36" s="133" t="s">
        <v>1060</v>
      </c>
      <c r="AC36" s="127" t="s">
        <v>1061</v>
      </c>
      <c r="AD36" s="8" t="s">
        <v>859</v>
      </c>
      <c r="AE36" s="777"/>
      <c r="AF36" s="777"/>
      <c r="AG36" s="777"/>
      <c r="AH36" s="777"/>
      <c r="AI36" s="128"/>
      <c r="AJ36" s="128"/>
      <c r="AK36" s="128"/>
      <c r="AL36" s="777"/>
      <c r="AM36" s="777"/>
      <c r="AN36" s="777"/>
      <c r="AO36" s="777"/>
      <c r="AP36" s="777"/>
      <c r="AQ36" s="777"/>
      <c r="AR36" s="777"/>
      <c r="AS36" s="128"/>
      <c r="AT36" s="128"/>
      <c r="AU36" s="128"/>
      <c r="AV36" s="777"/>
      <c r="AW36" s="777"/>
      <c r="AX36" s="777"/>
      <c r="AY36" s="777"/>
      <c r="AZ36" s="777"/>
      <c r="BA36" s="777"/>
      <c r="BB36" s="777"/>
      <c r="BC36" s="823"/>
      <c r="BF36" s="654" t="s">
        <v>1062</v>
      </c>
    </row>
    <row r="37" spans="1:58" s="394" customFormat="1" ht="24.95" customHeight="1">
      <c r="A37" s="38"/>
      <c r="B37" s="43"/>
      <c r="C37" s="38"/>
      <c r="D37" s="38"/>
      <c r="E37" s="446">
        <v>15</v>
      </c>
      <c r="F37" s="17" t="str" cm="1">
        <f t="array" ref="F37">X37</f>
        <v>1</v>
      </c>
      <c r="G37" s="38"/>
      <c r="H37" s="38"/>
      <c r="I37" s="38"/>
      <c r="J37" s="38"/>
      <c r="K37" s="38"/>
      <c r="L37" s="38"/>
      <c r="M37" s="38"/>
      <c r="N37" s="38"/>
      <c r="O37" s="38"/>
      <c r="P37" s="38"/>
      <c r="Q37" s="38"/>
      <c r="R37" s="38"/>
      <c r="S37" s="38"/>
      <c r="T37" s="351" t="b">
        <f>X37&gt;0</f>
        <v>1</v>
      </c>
      <c r="U37" s="38"/>
      <c r="V37" s="38" t="str" cm="1">
        <f t="array" ref="V37">'Амортизация (аналог)'!$AB$34</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37" s="38"/>
      <c r="X37" s="1024" t="s">
        <v>277</v>
      </c>
      <c r="Y37" s="38"/>
      <c r="Z37" s="1046"/>
      <c r="AA37" s="38"/>
      <c r="AB37" s="135" t="str" cm="1">
        <f t="array" ref="AB37">'Амортизация (аналог)'!$AB$34</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7" s="94"/>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123"/>
      <c r="BD37" s="38"/>
      <c r="BE37" s="38"/>
      <c r="BF37" s="654"/>
    </row>
    <row r="38" spans="1:58" s="394" customFormat="1" ht="71.25" customHeight="1">
      <c r="A38" s="38"/>
      <c r="B38" s="43"/>
      <c r="C38" s="38"/>
      <c r="D38" s="38"/>
      <c r="E38" s="446">
        <v>73.5</v>
      </c>
      <c r="F38" s="3" t="str" cm="1">
        <f t="array" aca="1" ref="F38" ca="1">OFFSET(E38,-1,1)</f>
        <v>1</v>
      </c>
      <c r="G38" s="370" t="s">
        <v>1035</v>
      </c>
      <c r="H38" s="38" t="s">
        <v>321</v>
      </c>
      <c r="I38" s="38"/>
      <c r="J38" s="38"/>
      <c r="K38" s="40" t="str">
        <f ca="1">F38&amp;"komm"</f>
        <v>1komm</v>
      </c>
      <c r="L38" s="607" cm="1">
        <f t="array" ref="L38">BC38</f>
        <v>0</v>
      </c>
      <c r="M38" s="38"/>
      <c r="N38" s="38"/>
      <c r="O38" s="38"/>
      <c r="P38" s="38"/>
      <c r="Q38" s="38"/>
      <c r="R38" s="38"/>
      <c r="S38" s="38"/>
      <c r="T38" s="351" t="b" cm="1">
        <f t="array" ref="T38">T37</f>
        <v>1</v>
      </c>
      <c r="U38" s="38"/>
      <c r="V38" s="38"/>
      <c r="W38" s="38"/>
      <c r="X38" s="1024"/>
      <c r="Y38" s="38"/>
      <c r="Z38" s="1046"/>
      <c r="AA38" s="38"/>
      <c r="AB38" s="131" t="s">
        <v>277</v>
      </c>
      <c r="AC38" s="132" t="s">
        <v>1036</v>
      </c>
      <c r="AD38" s="118" t="s">
        <v>859</v>
      </c>
      <c r="AE38" s="170">
        <f t="shared" ref="AE38:BB38" si="4">AE39+AE42+AE43+AE44</f>
        <v>0</v>
      </c>
      <c r="AF38" s="170">
        <f t="shared" si="4"/>
        <v>0</v>
      </c>
      <c r="AG38" s="170">
        <f t="shared" si="4"/>
        <v>0</v>
      </c>
      <c r="AH38" s="170">
        <f t="shared" si="4"/>
        <v>0</v>
      </c>
      <c r="AI38" s="170">
        <f t="shared" si="4"/>
        <v>0</v>
      </c>
      <c r="AJ38" s="170">
        <f t="shared" si="4"/>
        <v>0</v>
      </c>
      <c r="AK38" s="170">
        <f t="shared" si="4"/>
        <v>0</v>
      </c>
      <c r="AL38" s="170">
        <f t="shared" si="4"/>
        <v>0</v>
      </c>
      <c r="AM38" s="170">
        <f t="shared" si="4"/>
        <v>0</v>
      </c>
      <c r="AN38" s="170">
        <f t="shared" si="4"/>
        <v>0</v>
      </c>
      <c r="AO38" s="170">
        <f t="shared" si="4"/>
        <v>0</v>
      </c>
      <c r="AP38" s="170">
        <f t="shared" si="4"/>
        <v>0</v>
      </c>
      <c r="AQ38" s="170">
        <f t="shared" si="4"/>
        <v>0</v>
      </c>
      <c r="AR38" s="170">
        <f t="shared" si="4"/>
        <v>0</v>
      </c>
      <c r="AS38" s="170">
        <f t="shared" si="4"/>
        <v>0</v>
      </c>
      <c r="AT38" s="170">
        <f t="shared" si="4"/>
        <v>0</v>
      </c>
      <c r="AU38" s="170">
        <f t="shared" si="4"/>
        <v>0</v>
      </c>
      <c r="AV38" s="170">
        <f t="shared" si="4"/>
        <v>0</v>
      </c>
      <c r="AW38" s="170">
        <f t="shared" si="4"/>
        <v>0</v>
      </c>
      <c r="AX38" s="170">
        <f t="shared" si="4"/>
        <v>0</v>
      </c>
      <c r="AY38" s="170">
        <f t="shared" si="4"/>
        <v>0</v>
      </c>
      <c r="AZ38" s="170">
        <f t="shared" si="4"/>
        <v>0</v>
      </c>
      <c r="BA38" s="170">
        <f t="shared" si="4"/>
        <v>0</v>
      </c>
      <c r="BB38" s="170">
        <f t="shared" si="4"/>
        <v>0</v>
      </c>
      <c r="BC38" s="113"/>
      <c r="BD38" s="38"/>
      <c r="BE38" s="38"/>
      <c r="BF38" s="678" t="s">
        <v>1037</v>
      </c>
    </row>
    <row r="39" spans="1:58" s="394" customFormat="1" ht="14.25" customHeight="1">
      <c r="A39" s="38"/>
      <c r="B39" s="43"/>
      <c r="C39" s="38"/>
      <c r="D39" s="38" t="s">
        <v>1038</v>
      </c>
      <c r="E39" s="446">
        <v>15</v>
      </c>
      <c r="F39" s="3" t="str" cm="1">
        <f t="array" aca="1" ref="F39" ca="1">OFFSET(E39,-1,1)</f>
        <v>1</v>
      </c>
      <c r="G39" s="38"/>
      <c r="H39" s="38" t="s">
        <v>507</v>
      </c>
      <c r="I39" s="38"/>
      <c r="J39" s="38"/>
      <c r="K39" s="38"/>
      <c r="L39" s="38"/>
      <c r="M39" s="38"/>
      <c r="N39" s="38"/>
      <c r="O39" s="38"/>
      <c r="P39" s="38"/>
      <c r="Q39" s="38"/>
      <c r="R39" s="38"/>
      <c r="S39" s="38"/>
      <c r="T39" s="351" t="b" cm="1">
        <f t="array" ref="T39">T38</f>
        <v>1</v>
      </c>
      <c r="U39" s="38"/>
      <c r="V39" s="38"/>
      <c r="W39" s="38"/>
      <c r="X39" s="1024"/>
      <c r="Y39" s="38"/>
      <c r="Z39" s="1046"/>
      <c r="AA39" s="38"/>
      <c r="AB39" s="133" t="s">
        <v>936</v>
      </c>
      <c r="AC39" s="127" t="s">
        <v>1038</v>
      </c>
      <c r="AD39" s="8" t="s">
        <v>859</v>
      </c>
      <c r="AE39" s="128">
        <f t="shared" ref="AE39:BB39" si="5">SUM(AE40:AE41)</f>
        <v>0</v>
      </c>
      <c r="AF39" s="128">
        <f t="shared" si="5"/>
        <v>0</v>
      </c>
      <c r="AG39" s="128">
        <f t="shared" si="5"/>
        <v>0</v>
      </c>
      <c r="AH39" s="128">
        <f t="shared" si="5"/>
        <v>0</v>
      </c>
      <c r="AI39" s="128">
        <f t="shared" si="5"/>
        <v>0</v>
      </c>
      <c r="AJ39" s="128">
        <f t="shared" si="5"/>
        <v>0</v>
      </c>
      <c r="AK39" s="128">
        <f t="shared" si="5"/>
        <v>0</v>
      </c>
      <c r="AL39" s="128">
        <f t="shared" si="5"/>
        <v>0</v>
      </c>
      <c r="AM39" s="128">
        <f t="shared" si="5"/>
        <v>0</v>
      </c>
      <c r="AN39" s="128">
        <f t="shared" si="5"/>
        <v>0</v>
      </c>
      <c r="AO39" s="128">
        <f t="shared" si="5"/>
        <v>0</v>
      </c>
      <c r="AP39" s="128">
        <f t="shared" si="5"/>
        <v>0</v>
      </c>
      <c r="AQ39" s="128">
        <f t="shared" si="5"/>
        <v>0</v>
      </c>
      <c r="AR39" s="128">
        <f t="shared" si="5"/>
        <v>0</v>
      </c>
      <c r="AS39" s="128">
        <f t="shared" si="5"/>
        <v>0</v>
      </c>
      <c r="AT39" s="128">
        <f t="shared" si="5"/>
        <v>0</v>
      </c>
      <c r="AU39" s="128">
        <f t="shared" si="5"/>
        <v>0</v>
      </c>
      <c r="AV39" s="128">
        <f t="shared" si="5"/>
        <v>0</v>
      </c>
      <c r="AW39" s="128">
        <f t="shared" si="5"/>
        <v>0</v>
      </c>
      <c r="AX39" s="128">
        <f t="shared" si="5"/>
        <v>0</v>
      </c>
      <c r="AY39" s="128">
        <f t="shared" si="5"/>
        <v>0</v>
      </c>
      <c r="AZ39" s="128">
        <f t="shared" si="5"/>
        <v>0</v>
      </c>
      <c r="BA39" s="128">
        <f t="shared" si="5"/>
        <v>0</v>
      </c>
      <c r="BB39" s="128">
        <f t="shared" si="5"/>
        <v>0</v>
      </c>
      <c r="BC39" s="113"/>
      <c r="BD39" s="38"/>
      <c r="BE39" s="38"/>
      <c r="BF39" s="678" t="s">
        <v>1039</v>
      </c>
    </row>
    <row r="40" spans="1:58" s="394" customFormat="1" ht="23.25" customHeight="1">
      <c r="A40" s="38"/>
      <c r="B40" s="43"/>
      <c r="C40" s="38"/>
      <c r="D40" s="38"/>
      <c r="E40" s="446">
        <v>24</v>
      </c>
      <c r="F40" s="3" t="str" cm="1">
        <f t="array" aca="1" ref="F40" ca="1">OFFSET(E40,-1,1)</f>
        <v>1</v>
      </c>
      <c r="G40" s="38"/>
      <c r="H40" s="38" t="s">
        <v>1040</v>
      </c>
      <c r="I40" s="38"/>
      <c r="J40" s="38"/>
      <c r="K40" s="38"/>
      <c r="L40" s="38"/>
      <c r="M40" s="38"/>
      <c r="N40" s="38"/>
      <c r="O40" s="38"/>
      <c r="P40" s="38"/>
      <c r="Q40" s="38"/>
      <c r="R40" s="38"/>
      <c r="S40" s="38"/>
      <c r="T40" s="351" t="b" cm="1">
        <f t="array" ref="T40">T39</f>
        <v>1</v>
      </c>
      <c r="U40" s="38"/>
      <c r="V40" s="38"/>
      <c r="W40" s="38"/>
      <c r="X40" s="1024"/>
      <c r="Y40" s="38"/>
      <c r="Z40" s="1046"/>
      <c r="AA40" s="38"/>
      <c r="AB40" s="133" t="s">
        <v>1041</v>
      </c>
      <c r="AC40" s="134" t="s">
        <v>1042</v>
      </c>
      <c r="AD40" s="8" t="s">
        <v>859</v>
      </c>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13"/>
      <c r="BD40" s="38"/>
      <c r="BE40" s="38"/>
      <c r="BF40" s="654" t="s">
        <v>1043</v>
      </c>
    </row>
    <row r="41" spans="1:58" s="394" customFormat="1" ht="14.25" customHeight="1">
      <c r="A41" s="38"/>
      <c r="B41" s="43"/>
      <c r="C41" s="38"/>
      <c r="D41" s="38"/>
      <c r="E41" s="446">
        <v>15</v>
      </c>
      <c r="F41" s="3" t="str" cm="1">
        <f t="array" aca="1" ref="F41" ca="1">OFFSET(E41,-1,1)</f>
        <v>1</v>
      </c>
      <c r="G41" s="38"/>
      <c r="H41" s="38" t="s">
        <v>1044</v>
      </c>
      <c r="I41" s="38"/>
      <c r="J41" s="38"/>
      <c r="K41" s="38"/>
      <c r="L41" s="38"/>
      <c r="M41" s="38"/>
      <c r="N41" s="38"/>
      <c r="O41" s="38"/>
      <c r="P41" s="38"/>
      <c r="Q41" s="38"/>
      <c r="R41" s="38"/>
      <c r="S41" s="38"/>
      <c r="T41" s="351" t="b" cm="1">
        <f t="array" ref="T41">T40</f>
        <v>1</v>
      </c>
      <c r="U41" s="38"/>
      <c r="V41" s="38"/>
      <c r="W41" s="38"/>
      <c r="X41" s="1024"/>
      <c r="Y41" s="38"/>
      <c r="Z41" s="1046"/>
      <c r="AA41" s="38"/>
      <c r="AB41" s="133" t="s">
        <v>1045</v>
      </c>
      <c r="AC41" s="134" t="s">
        <v>1046</v>
      </c>
      <c r="AD41" s="8" t="s">
        <v>859</v>
      </c>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13"/>
      <c r="BD41" s="38"/>
      <c r="BE41" s="38"/>
      <c r="BF41" s="654" t="s">
        <v>1047</v>
      </c>
    </row>
    <row r="42" spans="1:58" s="394" customFormat="1" ht="14.25" customHeight="1">
      <c r="A42" s="38"/>
      <c r="B42" s="43"/>
      <c r="C42" s="38"/>
      <c r="D42" s="38" t="s">
        <v>1048</v>
      </c>
      <c r="E42" s="446">
        <v>15</v>
      </c>
      <c r="F42" s="3" t="str" cm="1">
        <f t="array" aca="1" ref="F42" ca="1">OFFSET(E42,-1,1)</f>
        <v>1</v>
      </c>
      <c r="G42" s="38"/>
      <c r="H42" s="38" t="s">
        <v>511</v>
      </c>
      <c r="I42" s="38"/>
      <c r="J42" s="38"/>
      <c r="K42" s="38"/>
      <c r="L42" s="38"/>
      <c r="M42" s="38"/>
      <c r="N42" s="38"/>
      <c r="O42" s="38"/>
      <c r="P42" s="38"/>
      <c r="Q42" s="38"/>
      <c r="R42" s="38"/>
      <c r="S42" s="38"/>
      <c r="T42" s="351" t="b" cm="1">
        <f t="array" ref="T42">T41</f>
        <v>1</v>
      </c>
      <c r="U42" s="38"/>
      <c r="V42" s="38"/>
      <c r="W42" s="38"/>
      <c r="X42" s="1024"/>
      <c r="Y42" s="38"/>
      <c r="Z42" s="1046"/>
      <c r="AA42" s="38"/>
      <c r="AB42" s="133" t="s">
        <v>939</v>
      </c>
      <c r="AC42" s="615" t="s">
        <v>1049</v>
      </c>
      <c r="AD42" s="8" t="s">
        <v>859</v>
      </c>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13"/>
      <c r="BD42" s="38"/>
      <c r="BE42" s="38"/>
      <c r="BF42" s="654" t="s">
        <v>1050</v>
      </c>
    </row>
    <row r="43" spans="1:58" s="394" customFormat="1" ht="14.25" customHeight="1">
      <c r="A43" s="38"/>
      <c r="B43" s="43"/>
      <c r="C43" s="38"/>
      <c r="D43" s="38" t="s">
        <v>1051</v>
      </c>
      <c r="E43" s="446">
        <v>15</v>
      </c>
      <c r="F43" s="3" t="str" cm="1">
        <f t="array" aca="1" ref="F43" ca="1">OFFSET(E43,-1,1)</f>
        <v>1</v>
      </c>
      <c r="G43" s="38"/>
      <c r="H43" s="38" t="s">
        <v>514</v>
      </c>
      <c r="I43" s="38"/>
      <c r="J43" s="38"/>
      <c r="K43" s="38"/>
      <c r="L43" s="38"/>
      <c r="M43" s="38"/>
      <c r="N43" s="38"/>
      <c r="O43" s="38"/>
      <c r="P43" s="38"/>
      <c r="Q43" s="38"/>
      <c r="R43" s="38"/>
      <c r="S43" s="38"/>
      <c r="T43" s="351" t="b" cm="1">
        <f t="array" ref="T43">T42</f>
        <v>1</v>
      </c>
      <c r="U43" s="38"/>
      <c r="V43" s="38"/>
      <c r="W43" s="38"/>
      <c r="X43" s="1024"/>
      <c r="Y43" s="38"/>
      <c r="Z43" s="1046"/>
      <c r="AA43" s="38"/>
      <c r="AB43" s="133" t="s">
        <v>942</v>
      </c>
      <c r="AC43" s="127" t="s">
        <v>1052</v>
      </c>
      <c r="AD43" s="8" t="s">
        <v>859</v>
      </c>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13"/>
      <c r="BD43" s="38"/>
      <c r="BE43" s="38"/>
      <c r="BF43" s="654" t="s">
        <v>1053</v>
      </c>
    </row>
    <row r="44" spans="1:58" s="394" customFormat="1" ht="14.25" customHeight="1">
      <c r="A44" s="38"/>
      <c r="B44" s="43"/>
      <c r="C44" s="38"/>
      <c r="D44" s="38" t="s">
        <v>1054</v>
      </c>
      <c r="E44" s="446">
        <v>15</v>
      </c>
      <c r="F44" s="3" t="str" cm="1">
        <f t="array" aca="1" ref="F44" ca="1">OFFSET(E44,-1,1)</f>
        <v>1</v>
      </c>
      <c r="G44" s="38"/>
      <c r="H44" s="38" t="s">
        <v>518</v>
      </c>
      <c r="I44" s="38"/>
      <c r="J44" s="38"/>
      <c r="K44" s="38"/>
      <c r="L44" s="38"/>
      <c r="M44" s="38"/>
      <c r="N44" s="38"/>
      <c r="O44" s="38"/>
      <c r="P44" s="38"/>
      <c r="Q44" s="38"/>
      <c r="R44" s="38"/>
      <c r="S44" s="38"/>
      <c r="T44" s="351" t="b" cm="1">
        <f t="array" ref="T44">T43</f>
        <v>1</v>
      </c>
      <c r="U44" s="38"/>
      <c r="V44" s="38"/>
      <c r="W44" s="38"/>
      <c r="X44" s="1024"/>
      <c r="Y44" s="38"/>
      <c r="Z44" s="1046"/>
      <c r="AA44" s="38"/>
      <c r="AB44" s="133" t="s">
        <v>945</v>
      </c>
      <c r="AC44" s="127" t="s">
        <v>1055</v>
      </c>
      <c r="AD44" s="8" t="s">
        <v>859</v>
      </c>
      <c r="AE44" s="128">
        <f t="shared" ref="AE44:BB44" si="6">SUM(AE45:AE46)</f>
        <v>0</v>
      </c>
      <c r="AF44" s="128">
        <f t="shared" si="6"/>
        <v>0</v>
      </c>
      <c r="AG44" s="128">
        <f t="shared" si="6"/>
        <v>0</v>
      </c>
      <c r="AH44" s="128">
        <f t="shared" si="6"/>
        <v>0</v>
      </c>
      <c r="AI44" s="128">
        <f t="shared" si="6"/>
        <v>0</v>
      </c>
      <c r="AJ44" s="128">
        <f t="shared" si="6"/>
        <v>0</v>
      </c>
      <c r="AK44" s="128">
        <f t="shared" si="6"/>
        <v>0</v>
      </c>
      <c r="AL44" s="128">
        <f t="shared" si="6"/>
        <v>0</v>
      </c>
      <c r="AM44" s="128">
        <f t="shared" si="6"/>
        <v>0</v>
      </c>
      <c r="AN44" s="128">
        <f t="shared" si="6"/>
        <v>0</v>
      </c>
      <c r="AO44" s="128">
        <f t="shared" si="6"/>
        <v>0</v>
      </c>
      <c r="AP44" s="128">
        <f t="shared" si="6"/>
        <v>0</v>
      </c>
      <c r="AQ44" s="128">
        <f t="shared" si="6"/>
        <v>0</v>
      </c>
      <c r="AR44" s="128">
        <f t="shared" si="6"/>
        <v>0</v>
      </c>
      <c r="AS44" s="128">
        <f t="shared" si="6"/>
        <v>0</v>
      </c>
      <c r="AT44" s="128">
        <f t="shared" si="6"/>
        <v>0</v>
      </c>
      <c r="AU44" s="128">
        <f t="shared" si="6"/>
        <v>0</v>
      </c>
      <c r="AV44" s="128">
        <f t="shared" si="6"/>
        <v>0</v>
      </c>
      <c r="AW44" s="128">
        <f t="shared" si="6"/>
        <v>0</v>
      </c>
      <c r="AX44" s="128">
        <f t="shared" si="6"/>
        <v>0</v>
      </c>
      <c r="AY44" s="128">
        <f t="shared" si="6"/>
        <v>0</v>
      </c>
      <c r="AZ44" s="128">
        <f t="shared" si="6"/>
        <v>0</v>
      </c>
      <c r="BA44" s="128">
        <f t="shared" si="6"/>
        <v>0</v>
      </c>
      <c r="BB44" s="128">
        <f t="shared" si="6"/>
        <v>0</v>
      </c>
      <c r="BC44" s="113"/>
      <c r="BD44" s="38"/>
      <c r="BE44" s="38"/>
      <c r="BF44" s="654" t="s">
        <v>1056</v>
      </c>
    </row>
    <row r="45" spans="1:58" s="394" customFormat="1" ht="34.5" customHeight="1">
      <c r="A45" s="38"/>
      <c r="B45" s="43"/>
      <c r="C45" s="38"/>
      <c r="D45" s="38"/>
      <c r="E45" s="446">
        <v>36</v>
      </c>
      <c r="F45" s="3" t="str" cm="1">
        <f t="array" aca="1" ref="F45" ca="1">OFFSET(E45,-1,1)</f>
        <v>1</v>
      </c>
      <c r="G45" s="38"/>
      <c r="H45" s="38"/>
      <c r="I45" s="38"/>
      <c r="J45" s="38"/>
      <c r="K45" s="38"/>
      <c r="L45" s="38"/>
      <c r="M45" s="38"/>
      <c r="N45" s="38"/>
      <c r="O45" s="38"/>
      <c r="P45" s="38"/>
      <c r="Q45" s="38"/>
      <c r="R45" s="38"/>
      <c r="S45" s="38"/>
      <c r="T45" s="351" t="b" cm="1">
        <f t="array" ref="T45">T44</f>
        <v>1</v>
      </c>
      <c r="U45" s="38"/>
      <c r="V45" s="38"/>
      <c r="W45" s="38"/>
      <c r="X45" s="1024"/>
      <c r="Y45" s="38"/>
      <c r="Z45" s="1046"/>
      <c r="AA45" s="38"/>
      <c r="AB45" s="133" t="s">
        <v>1057</v>
      </c>
      <c r="AC45" s="127" t="s">
        <v>1058</v>
      </c>
      <c r="AD45" s="8" t="s">
        <v>859</v>
      </c>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13"/>
      <c r="BD45" s="38"/>
      <c r="BE45" s="38"/>
      <c r="BF45" s="654" t="s">
        <v>1059</v>
      </c>
    </row>
    <row r="46" spans="1:58" s="394" customFormat="1" ht="34.5" customHeight="1">
      <c r="A46" s="38"/>
      <c r="B46" s="43"/>
      <c r="C46" s="38"/>
      <c r="D46" s="38"/>
      <c r="E46" s="446">
        <v>36</v>
      </c>
      <c r="F46" s="3" t="str" cm="1">
        <f t="array" aca="1" ref="F46" ca="1">OFFSET(E46,-1,1)</f>
        <v>1</v>
      </c>
      <c r="G46" s="38"/>
      <c r="H46" s="38"/>
      <c r="I46" s="38"/>
      <c r="J46" s="38"/>
      <c r="K46" s="38"/>
      <c r="L46" s="38"/>
      <c r="M46" s="38"/>
      <c r="N46" s="38"/>
      <c r="O46" s="38"/>
      <c r="P46" s="38"/>
      <c r="Q46" s="38"/>
      <c r="R46" s="38"/>
      <c r="S46" s="38"/>
      <c r="T46" s="351" t="b" cm="1">
        <f t="array" ref="T46">T45</f>
        <v>1</v>
      </c>
      <c r="U46" s="38"/>
      <c r="V46" s="38"/>
      <c r="W46" s="38"/>
      <c r="X46" s="1024"/>
      <c r="Y46" s="38"/>
      <c r="Z46" s="1046"/>
      <c r="AA46" s="38"/>
      <c r="AB46" s="133" t="s">
        <v>1060</v>
      </c>
      <c r="AC46" s="127" t="s">
        <v>1061</v>
      </c>
      <c r="AD46" s="8" t="s">
        <v>859</v>
      </c>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13"/>
      <c r="BD46" s="38"/>
      <c r="BE46" s="38"/>
      <c r="BF46" s="654" t="s">
        <v>1062</v>
      </c>
    </row>
    <row r="47" spans="1:58" ht="10.9" customHeight="1">
      <c r="E47" s="446">
        <v>11.25</v>
      </c>
      <c r="U47" s="38" t="s">
        <v>175</v>
      </c>
      <c r="V47" s="56" t="s">
        <v>1063</v>
      </c>
    </row>
    <row r="48" spans="1:58" ht="14.65" customHeight="1">
      <c r="E48" s="446">
        <v>15</v>
      </c>
      <c r="AA48" s="17"/>
      <c r="AB48" s="1028" t="s">
        <v>396</v>
      </c>
      <c r="AC48" s="1028"/>
      <c r="AD48" s="1028"/>
      <c r="AE48" s="1028"/>
      <c r="AF48" s="1028"/>
      <c r="AG48" s="1028"/>
      <c r="AH48" s="1028"/>
      <c r="AI48" s="1048"/>
      <c r="AJ48" s="1048"/>
      <c r="AK48" s="1048"/>
      <c r="AL48" s="1048"/>
      <c r="AM48" s="1048"/>
      <c r="AN48" s="1048"/>
      <c r="AO48" s="1048"/>
      <c r="AP48" s="1048"/>
      <c r="AQ48" s="1048"/>
      <c r="AR48" s="1048"/>
      <c r="AS48" s="1048"/>
      <c r="AT48" s="1048"/>
      <c r="AU48" s="1048"/>
      <c r="AV48" s="1048"/>
      <c r="AW48" s="1048"/>
      <c r="AX48" s="1048"/>
      <c r="AY48" s="1048"/>
      <c r="AZ48" s="1048"/>
      <c r="BA48" s="1048"/>
      <c r="BB48" s="1048"/>
      <c r="BC48" s="1048"/>
      <c r="BD48" s="17"/>
    </row>
    <row r="49" spans="5:56" ht="25.7" customHeight="1">
      <c r="E49" s="446">
        <v>15</v>
      </c>
      <c r="AA49" s="87"/>
      <c r="AB49" s="1049" t="s">
        <v>1064</v>
      </c>
      <c r="AC49" s="1049"/>
      <c r="AD49" s="1049"/>
      <c r="AE49" s="1049"/>
      <c r="AF49" s="1049"/>
      <c r="AG49" s="1049"/>
      <c r="AH49" s="1049"/>
      <c r="AI49" s="1050"/>
      <c r="AJ49" s="1050"/>
      <c r="AK49" s="1050"/>
      <c r="AL49" s="1078"/>
      <c r="AM49" s="1078"/>
      <c r="AN49" s="1078"/>
      <c r="AO49" s="1078"/>
      <c r="AP49" s="1078"/>
      <c r="AQ49" s="1078"/>
      <c r="AR49" s="1078"/>
      <c r="AS49" s="1050"/>
      <c r="AT49" s="1050"/>
      <c r="AU49" s="1050"/>
      <c r="AV49" s="1078"/>
      <c r="AW49" s="1078"/>
      <c r="AX49" s="1078"/>
      <c r="AY49" s="1078"/>
      <c r="AZ49" s="1078"/>
      <c r="BA49" s="1078"/>
      <c r="BB49" s="1078"/>
      <c r="BC49" s="1050"/>
      <c r="BD49" s="17"/>
    </row>
    <row r="50" spans="5:56" ht="14.65" hidden="1" customHeight="1">
      <c r="E50" s="446">
        <v>15</v>
      </c>
      <c r="T50" s="351" t="b">
        <f>ROW(W50)&gt;ROW(W$50)</f>
        <v>0</v>
      </c>
      <c r="W50" s="515" t="s">
        <v>171</v>
      </c>
      <c r="AA50" s="487" t="s">
        <v>172</v>
      </c>
      <c r="AB50" s="1077" t="s">
        <v>124</v>
      </c>
      <c r="AC50" s="1077"/>
      <c r="AD50" s="1077"/>
      <c r="AE50" s="1077"/>
      <c r="AF50" s="1077"/>
      <c r="AG50" s="1077"/>
      <c r="AH50" s="1077"/>
      <c r="AI50" s="1050"/>
      <c r="AJ50" s="1050"/>
      <c r="AK50" s="1050"/>
      <c r="AL50" s="1078"/>
      <c r="AM50" s="1078"/>
      <c r="AN50" s="1078"/>
      <c r="AO50" s="1078"/>
      <c r="AP50" s="1078"/>
      <c r="AQ50" s="1078"/>
      <c r="AR50" s="1078"/>
      <c r="AS50" s="1050"/>
      <c r="AT50" s="1050"/>
      <c r="AU50" s="1050"/>
      <c r="AV50" s="1078"/>
      <c r="AW50" s="1078"/>
      <c r="AX50" s="1078"/>
      <c r="AY50" s="1078"/>
      <c r="AZ50" s="1078"/>
      <c r="BA50" s="1078"/>
      <c r="BB50" s="1078"/>
      <c r="BC50" s="1078"/>
      <c r="BD50" s="17"/>
    </row>
    <row r="51" spans="5:56" ht="14.65" customHeight="1">
      <c r="E51" s="446">
        <v>15</v>
      </c>
      <c r="W51" s="515" t="s">
        <v>407</v>
      </c>
      <c r="AA51" s="17"/>
      <c r="AB51" s="472"/>
      <c r="AC51" s="380" t="s">
        <v>408</v>
      </c>
      <c r="AD51" s="217"/>
      <c r="AE51" s="217"/>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9"/>
      <c r="BD51" s="17"/>
    </row>
    <row r="52" spans="5:56" ht="10.9" customHeight="1">
      <c r="E52" s="446">
        <v>11.25</v>
      </c>
      <c r="BD52" s="22"/>
    </row>
  </sheetData>
  <sheetProtection formatColumns="0" formatRows="0" insertRows="0" deleteColumns="0" deleteRows="0" sort="0" autoFilter="0"/>
  <mergeCells count="11">
    <mergeCell ref="AB50:BC50"/>
    <mergeCell ref="AB48:BC48"/>
    <mergeCell ref="AB49:BC49"/>
    <mergeCell ref="X37:X46"/>
    <mergeCell ref="Z37:Z4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A6D6-AAB8-B518-9238-2DB8EEEB0398}">
  <sheetPr>
    <tabColor rgb="FF002060"/>
    <outlinePr summaryBelow="0" summaryRight="0"/>
    <pageSetUpPr fitToPage="1"/>
  </sheetPr>
  <dimension ref="A1:AI4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22" hidden="1" customWidth="1"/>
    <col min="2" max="2" width="6.7109375" style="22" hidden="1" customWidth="1"/>
    <col min="3" max="4" width="2.7109375" style="22" hidden="1" customWidth="1"/>
    <col min="5" max="5" width="3.7109375" style="447"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56" hidden="1"/>
  </cols>
  <sheetData>
    <row r="1" spans="1:35" ht="11.25" hidden="1" customHeight="1">
      <c r="E1" s="22"/>
      <c r="F1" s="22" t="s">
        <v>309</v>
      </c>
      <c r="G1" s="22" t="s">
        <v>320</v>
      </c>
      <c r="T1" s="351" t="s">
        <v>92</v>
      </c>
      <c r="U1" s="351" t="s">
        <v>97</v>
      </c>
      <c r="V1" s="351" t="s">
        <v>93</v>
      </c>
      <c r="W1" s="351" t="s">
        <v>94</v>
      </c>
      <c r="X1" s="351" t="s">
        <v>95</v>
      </c>
      <c r="Y1" s="353" t="s">
        <v>311</v>
      </c>
      <c r="Z1" s="351" t="s">
        <v>99</v>
      </c>
      <c r="AA1" s="353" t="s">
        <v>96</v>
      </c>
      <c r="AB1" s="4"/>
      <c r="AC1" s="352" t="s">
        <v>98</v>
      </c>
      <c r="AI1" s="656" t="s">
        <v>312</v>
      </c>
    </row>
    <row r="2" spans="1:35" ht="11.25" hidden="1" customHeight="1">
      <c r="B2" s="341" t="s">
        <v>18</v>
      </c>
      <c r="E2" s="22"/>
      <c r="T2" s="42"/>
      <c r="U2" s="42"/>
      <c r="V2" s="42"/>
      <c r="W2" s="42"/>
      <c r="X2" s="42"/>
      <c r="Y2" s="382"/>
      <c r="Z2" s="42"/>
      <c r="AA2" s="382"/>
      <c r="AB2" s="379"/>
      <c r="AC2" s="379"/>
      <c r="AE2" s="375" t="b">
        <f>AE13&lt;=last_year_vis</f>
        <v>1</v>
      </c>
      <c r="AF2" s="375" t="b">
        <f>AF13&lt;=last_year_vis</f>
        <v>1</v>
      </c>
    </row>
    <row r="3" spans="1:35" ht="11.25" hidden="1" customHeight="1">
      <c r="A3" s="314"/>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I3" s="659"/>
    </row>
    <row r="4" spans="1:35" ht="11.25" hidden="1" customHeight="1">
      <c r="A4" s="314"/>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I4" s="659"/>
    </row>
    <row r="5" spans="1:35" s="452" customFormat="1" ht="11.25" hidden="1" customHeight="1">
      <c r="A5" s="314"/>
      <c r="B5" s="314"/>
      <c r="C5" s="314"/>
      <c r="D5" s="314"/>
      <c r="E5" s="478" t="s">
        <v>19</v>
      </c>
      <c r="F5" s="478"/>
      <c r="G5" s="478"/>
      <c r="H5" s="478"/>
      <c r="I5" s="478"/>
      <c r="J5" s="478"/>
      <c r="K5" s="478"/>
      <c r="L5" s="478"/>
      <c r="M5" s="478"/>
      <c r="N5" s="478"/>
      <c r="O5" s="478"/>
      <c r="P5" s="478"/>
      <c r="Q5" s="478"/>
      <c r="R5" s="478"/>
      <c r="S5" s="478"/>
      <c r="T5" s="478"/>
      <c r="U5" s="478"/>
      <c r="V5" s="478"/>
      <c r="W5" s="478"/>
      <c r="X5" s="478"/>
      <c r="Y5" s="478"/>
      <c r="Z5" s="478"/>
      <c r="AA5" s="478">
        <v>3</v>
      </c>
      <c r="AB5" s="452" t="s">
        <v>452</v>
      </c>
      <c r="AC5" s="452">
        <v>41.71</v>
      </c>
      <c r="AD5" s="452">
        <v>15.71</v>
      </c>
      <c r="AE5" s="452">
        <v>12.57</v>
      </c>
      <c r="AF5" s="452">
        <v>12.57</v>
      </c>
      <c r="AG5" s="452" t="s">
        <v>319</v>
      </c>
      <c r="AI5" s="659"/>
    </row>
    <row r="6" spans="1:35" ht="11.25" hidden="1" customHeight="1">
      <c r="A6" s="314"/>
      <c r="B6" s="314"/>
      <c r="C6" s="314"/>
      <c r="D6" s="314"/>
      <c r="E6" s="478"/>
      <c r="F6" s="314"/>
      <c r="G6" s="314"/>
      <c r="H6" s="314"/>
      <c r="I6" s="314"/>
      <c r="J6" s="314"/>
      <c r="K6" s="314"/>
      <c r="L6" s="314"/>
      <c r="M6" s="314"/>
      <c r="N6" s="314"/>
      <c r="O6" s="314"/>
      <c r="P6" s="314"/>
      <c r="Q6" s="314"/>
      <c r="R6" s="314"/>
      <c r="S6" s="314"/>
      <c r="T6" s="314"/>
      <c r="U6" s="314"/>
      <c r="V6" s="314"/>
      <c r="W6" s="314"/>
      <c r="X6" s="314"/>
      <c r="Y6" s="314"/>
      <c r="Z6" s="314"/>
      <c r="AA6" s="314"/>
      <c r="AI6" s="659"/>
    </row>
    <row r="7" spans="1:35" ht="11.25" hidden="1" customHeight="1">
      <c r="A7" s="314"/>
      <c r="B7" s="314"/>
      <c r="C7" s="314"/>
      <c r="D7" s="314"/>
      <c r="E7" s="478"/>
      <c r="F7" s="314"/>
      <c r="G7" s="314"/>
      <c r="H7" s="314"/>
      <c r="I7" s="314"/>
      <c r="J7" s="314"/>
      <c r="K7" s="314"/>
      <c r="L7" s="314"/>
      <c r="M7" s="314"/>
      <c r="N7" s="314"/>
      <c r="O7" s="314"/>
      <c r="P7" s="314"/>
      <c r="Q7" s="314"/>
      <c r="R7" s="314"/>
      <c r="S7" s="314"/>
      <c r="T7" s="314"/>
      <c r="U7" s="314"/>
      <c r="V7" s="314"/>
      <c r="W7" s="314"/>
      <c r="X7" s="314"/>
      <c r="Y7" s="314"/>
      <c r="Z7" s="314"/>
      <c r="AA7" s="314"/>
      <c r="AI7" s="659"/>
    </row>
    <row r="8" spans="1:35" ht="11.25" hidden="1" customHeight="1">
      <c r="A8" s="314"/>
      <c r="B8" s="314"/>
      <c r="C8" s="314"/>
      <c r="D8" s="314"/>
      <c r="E8" s="478"/>
      <c r="F8" s="314"/>
      <c r="G8" s="314"/>
      <c r="H8" s="314"/>
      <c r="I8" s="314"/>
      <c r="J8" s="314"/>
      <c r="K8" s="314"/>
      <c r="L8" s="314"/>
      <c r="M8" s="314"/>
      <c r="N8" s="314"/>
      <c r="O8" s="314"/>
      <c r="P8" s="314"/>
      <c r="Q8" s="314"/>
      <c r="R8" s="314"/>
      <c r="S8" s="314"/>
      <c r="T8" s="314"/>
      <c r="U8" s="314"/>
      <c r="V8" s="314"/>
      <c r="W8" s="314"/>
      <c r="X8" s="314"/>
      <c r="Y8" s="314"/>
      <c r="Z8" s="314"/>
      <c r="AA8" s="314"/>
      <c r="AI8" s="659"/>
    </row>
    <row r="9" spans="1:35" s="659" customFormat="1" ht="11.25" hidden="1" customHeight="1">
      <c r="A9" s="653" t="s">
        <v>354</v>
      </c>
      <c r="B9" s="653"/>
      <c r="C9" s="653"/>
      <c r="D9" s="653"/>
      <c r="E9" s="653"/>
      <c r="F9" s="653"/>
      <c r="G9" s="653"/>
      <c r="H9" s="653"/>
      <c r="I9" s="653"/>
      <c r="J9" s="653"/>
      <c r="K9" s="653"/>
      <c r="L9" s="653"/>
      <c r="M9" s="653"/>
      <c r="N9" s="653"/>
      <c r="O9" s="653"/>
      <c r="P9" s="653"/>
      <c r="Q9" s="653"/>
      <c r="R9" s="653"/>
      <c r="S9" s="653"/>
      <c r="T9" s="653"/>
      <c r="U9" s="653"/>
      <c r="V9" s="653"/>
      <c r="W9" s="653"/>
      <c r="X9" s="653"/>
      <c r="Y9" s="653"/>
      <c r="Z9" s="653"/>
      <c r="AA9" s="653"/>
    </row>
    <row r="10" spans="1:35" s="659" customFormat="1" ht="11.25" hidden="1" customHeight="1">
      <c r="A10" s="653" t="s">
        <v>355</v>
      </c>
      <c r="B10" s="653"/>
      <c r="C10" s="653"/>
      <c r="D10" s="653"/>
      <c r="E10" s="653"/>
      <c r="F10" s="653"/>
      <c r="G10" s="653"/>
      <c r="H10" s="653"/>
      <c r="I10" s="653"/>
      <c r="J10" s="653"/>
      <c r="K10" s="653"/>
      <c r="L10" s="653"/>
      <c r="M10" s="653"/>
      <c r="N10" s="653"/>
      <c r="O10" s="653"/>
      <c r="P10" s="653"/>
      <c r="Q10" s="653"/>
      <c r="R10" s="653"/>
      <c r="S10" s="653"/>
      <c r="T10" s="653"/>
      <c r="U10" s="653"/>
      <c r="V10" s="653"/>
      <c r="W10" s="653"/>
      <c r="X10" s="653"/>
      <c r="Y10" s="653"/>
      <c r="Z10" s="653"/>
      <c r="AA10" s="653"/>
      <c r="AE10" s="653" cm="1">
        <f t="array" ref="AE10">AE13</f>
        <v>2026</v>
      </c>
      <c r="AF10" s="653" cm="1">
        <f t="array" ref="AF10">AF13</f>
        <v>2026</v>
      </c>
    </row>
    <row r="11" spans="1:35" ht="11.25" hidden="1" customHeight="1">
      <c r="A11" s="314"/>
      <c r="B11" s="314"/>
      <c r="C11" s="314"/>
      <c r="D11" s="314"/>
      <c r="E11" s="478"/>
      <c r="F11" s="314"/>
      <c r="G11" s="314"/>
      <c r="H11" s="314"/>
      <c r="I11" s="314"/>
      <c r="J11" s="314"/>
      <c r="K11" s="314"/>
      <c r="L11" s="314"/>
      <c r="M11" s="314"/>
      <c r="N11" s="314"/>
      <c r="O11" s="314"/>
      <c r="P11" s="314"/>
      <c r="Q11" s="314"/>
      <c r="R11" s="314"/>
      <c r="S11" s="314"/>
      <c r="T11" s="314"/>
      <c r="U11" s="314"/>
      <c r="V11" s="314"/>
      <c r="W11" s="314"/>
      <c r="X11" s="314"/>
      <c r="Y11" s="314"/>
      <c r="Z11" s="314"/>
      <c r="AA11" s="314"/>
      <c r="AE11" s="314" t="str" cm="1">
        <f t="array" ref="AE11">AE25</f>
        <v>Предложение организации</v>
      </c>
      <c r="AF11" s="314" t="str" cm="1">
        <f t="array" ref="AF11">AF25</f>
        <v>Принято органом регулирования</v>
      </c>
      <c r="AI11" s="659"/>
    </row>
    <row r="12" spans="1:35" ht="11.25" hidden="1" customHeight="1">
      <c r="B12" s="43"/>
      <c r="T12" s="42"/>
      <c r="U12" s="42"/>
      <c r="V12" s="42"/>
      <c r="W12" s="42"/>
      <c r="X12" s="42"/>
      <c r="Y12" s="382"/>
      <c r="Z12" s="42"/>
      <c r="AA12" s="382"/>
      <c r="AB12" s="379"/>
      <c r="AC12" s="379"/>
    </row>
    <row r="13" spans="1:35" ht="11.25" hidden="1" customHeight="1">
      <c r="A13" s="22" t="s">
        <v>349</v>
      </c>
      <c r="B13" s="43"/>
      <c r="AE13" s="17" cm="1">
        <f t="array" ref="AE13">god</f>
        <v>2026</v>
      </c>
      <c r="AF13" s="17" cm="1">
        <f t="array" ref="AF13">god</f>
        <v>2026</v>
      </c>
    </row>
    <row r="14" spans="1:35" ht="11.25" hidden="1" customHeight="1">
      <c r="A14" s="22" t="s">
        <v>350</v>
      </c>
      <c r="AE14" s="17" t="str" cm="1">
        <f t="array" ref="AE14">AE25</f>
        <v>Предложение организации</v>
      </c>
      <c r="AF14" s="17" t="str" cm="1">
        <f t="array" ref="AF14">AF25</f>
        <v>Принято органом регулирования</v>
      </c>
    </row>
    <row r="15" spans="1:35" ht="11.25" hidden="1" customHeight="1">
      <c r="AE15" s="17"/>
      <c r="AF15" s="17"/>
    </row>
    <row r="16" spans="1:35" ht="11.25" hidden="1" customHeight="1">
      <c r="AE16" s="17"/>
      <c r="AF16" s="17"/>
    </row>
    <row r="17" spans="1:35" ht="11.25" hidden="1" customHeight="1">
      <c r="AE17" s="17"/>
      <c r="AF17" s="17"/>
    </row>
    <row r="18" spans="1:35" ht="11.25" hidden="1" customHeight="1"/>
    <row r="19" spans="1:35" ht="11.25" hidden="1" customHeight="1"/>
    <row r="20" spans="1:35" ht="11.25" hidden="1" customHeight="1"/>
    <row r="21" spans="1:35" ht="14.65" customHeight="1">
      <c r="E21" s="447">
        <v>15</v>
      </c>
      <c r="AC21" s="266" t="str" cm="1">
        <f t="array" ref="AC21">tpl_title</f>
        <v>Кемеровская область / 2026 / МУП "Водоканал" (ИНН:4202043124, КПП:420201001) / ДПР: 2026-2028</v>
      </c>
    </row>
    <row r="22" spans="1:35" ht="37.35" customHeight="1">
      <c r="E22" s="447">
        <v>38.25</v>
      </c>
      <c r="AB22" s="1079" t="s">
        <v>55</v>
      </c>
      <c r="AC22" s="1080"/>
      <c r="AD22" s="1080"/>
      <c r="AE22" s="1080"/>
      <c r="AF22" s="1080"/>
    </row>
    <row r="23" spans="1:35" ht="10.9" customHeight="1">
      <c r="E23" s="447">
        <v>11.25</v>
      </c>
      <c r="AB23" s="1055"/>
      <c r="AC23" s="1055"/>
      <c r="AD23" s="1055"/>
      <c r="AE23" s="1055"/>
      <c r="AF23" s="1055"/>
    </row>
    <row r="24" spans="1:35" ht="14.65" customHeight="1">
      <c r="E24" s="447">
        <v>15</v>
      </c>
      <c r="AB24" s="1028" t="s">
        <v>841</v>
      </c>
      <c r="AC24" s="1074" t="s">
        <v>192</v>
      </c>
      <c r="AD24" s="1028" t="s">
        <v>359</v>
      </c>
      <c r="AE24" s="1081" t="str">
        <f>god&amp;" год"</f>
        <v>2026 год</v>
      </c>
      <c r="AF24" s="1082"/>
    </row>
    <row r="25" spans="1:35" ht="48.75" customHeight="1">
      <c r="E25" s="447">
        <v>50</v>
      </c>
      <c r="AB25" s="1028"/>
      <c r="AC25" s="1074"/>
      <c r="AD25" s="1028"/>
      <c r="AE25" s="728" t="s">
        <v>352</v>
      </c>
      <c r="AF25" s="10" t="s">
        <v>351</v>
      </c>
    </row>
    <row r="26" spans="1:35" ht="11.25" hidden="1" customHeight="1">
      <c r="E26" s="447">
        <v>0</v>
      </c>
      <c r="AB26" s="521"/>
      <c r="AC26" s="528"/>
      <c r="AD26" s="521"/>
      <c r="AE26" s="62"/>
      <c r="AF26" s="62"/>
    </row>
    <row r="27" spans="1:35" ht="14.65" hidden="1" customHeight="1">
      <c r="C27" s="17"/>
      <c r="E27" s="447">
        <v>15</v>
      </c>
      <c r="F27" s="17" cm="1">
        <f t="array" ref="F27">X27</f>
        <v>0</v>
      </c>
      <c r="T27" s="351" t="b">
        <f>X27&gt;0</f>
        <v>0</v>
      </c>
      <c r="V27" s="22" t="s">
        <v>266</v>
      </c>
      <c r="X27" s="1046">
        <v>0</v>
      </c>
      <c r="Z27" s="1047"/>
      <c r="AB27" s="135" t="str" cm="1">
        <f t="array" ref="AB27">INDEX('Общие сведения'!$AG$179:$AG$208,MATCH($X27,'Общие сведения'!$Z$179:$Z$208,0))</f>
        <v xml:space="preserve">Тариф 0 () - </v>
      </c>
      <c r="AC27" s="94"/>
      <c r="AD27" s="88"/>
      <c r="AE27" s="88"/>
      <c r="AF27" s="123"/>
    </row>
    <row r="28" spans="1:35" s="63" customFormat="1" ht="14.65" hidden="1" customHeight="1">
      <c r="A28" s="22"/>
      <c r="C28" s="252"/>
      <c r="E28" s="486">
        <v>15</v>
      </c>
      <c r="F28" s="3" cm="1">
        <f t="array" aca="1" ref="F28" ca="1">OFFSET(E28,-1,1)</f>
        <v>0</v>
      </c>
      <c r="G28" s="63" t="s">
        <v>321</v>
      </c>
      <c r="T28" s="351" t="b" cm="1">
        <f t="array" ref="T28">T27</f>
        <v>0</v>
      </c>
      <c r="X28" s="1046"/>
      <c r="Z28" s="1047"/>
      <c r="AB28" s="381" t="s">
        <v>277</v>
      </c>
      <c r="AC28" s="384" t="s">
        <v>1065</v>
      </c>
      <c r="AD28" s="381" t="s">
        <v>1066</v>
      </c>
      <c r="AE28" s="385">
        <f ca="1">IF(AE30=0,0,AE29/AE30)</f>
        <v>0</v>
      </c>
      <c r="AF28" s="385">
        <f ca="1">IF(AF30=0,0,AF29/AF30)</f>
        <v>0</v>
      </c>
      <c r="AI28" s="679" t="s">
        <v>1067</v>
      </c>
    </row>
    <row r="29" spans="1:35" ht="14.65" hidden="1" customHeight="1">
      <c r="C29" s="252"/>
      <c r="E29" s="447">
        <v>15</v>
      </c>
      <c r="F29" s="3" cm="1">
        <f t="array" aca="1" ref="F29" ca="1">OFFSET(E29,-1,1)</f>
        <v>0</v>
      </c>
      <c r="G29" s="22" t="s">
        <v>507</v>
      </c>
      <c r="T29" s="351" t="b" cm="1">
        <f t="array" ref="T29">T28</f>
        <v>0</v>
      </c>
      <c r="X29" s="1046"/>
      <c r="Z29" s="1047"/>
      <c r="AB29" s="386" t="s">
        <v>936</v>
      </c>
      <c r="AC29" s="387" t="s">
        <v>1068</v>
      </c>
      <c r="AD29" s="386" t="s">
        <v>859</v>
      </c>
      <c r="AE29" s="770"/>
      <c r="AF29" s="770"/>
      <c r="AI29" s="656" t="s">
        <v>1069</v>
      </c>
    </row>
    <row r="30" spans="1:35" ht="32.85" hidden="1" customHeight="1">
      <c r="C30" s="252"/>
      <c r="E30" s="447">
        <v>33.75</v>
      </c>
      <c r="F30" s="3" cm="1">
        <f t="array" aca="1" ref="F30" ca="1">OFFSET(E30,-1,1)</f>
        <v>0</v>
      </c>
      <c r="G30" s="22" t="s">
        <v>511</v>
      </c>
      <c r="T30" s="351" t="b" cm="1">
        <f t="array" ref="T30">T29</f>
        <v>0</v>
      </c>
      <c r="X30" s="1046"/>
      <c r="Z30" s="1047"/>
      <c r="AB30" s="386" t="s">
        <v>939</v>
      </c>
      <c r="AC30" s="387" t="s">
        <v>1070</v>
      </c>
      <c r="AD30" s="386" t="s">
        <v>851</v>
      </c>
      <c r="AE30" s="388">
        <f ca="1">SUMIFS('Условные метры'!$AL$28:$AL$35,'Условные метры'!$F$28:$F$35,$F30,'Условные метры'!$G$28:$G$35,"Итог")</f>
        <v>0</v>
      </c>
      <c r="AF30" s="388">
        <f ca="1">SUMIFS('Условные метры'!$AN$28:$AN$35,'Условные метры'!$F$28:$F$35,$F30,'Условные метры'!$G$28:$G$35,"Итог")</f>
        <v>0</v>
      </c>
      <c r="AI30" s="656" t="s">
        <v>1071</v>
      </c>
    </row>
    <row r="31" spans="1:35" s="63" customFormat="1" ht="32.85" hidden="1" customHeight="1">
      <c r="A31" s="22"/>
      <c r="C31" s="793"/>
      <c r="E31" s="486">
        <v>33.75</v>
      </c>
      <c r="F31" s="3" cm="1">
        <f t="array" aca="1" ref="F31" ca="1">OFFSET(E31,-1,1)</f>
        <v>0</v>
      </c>
      <c r="G31" s="63" t="s">
        <v>322</v>
      </c>
      <c r="T31" s="351" t="b" cm="1">
        <f t="array" ref="T31">T30</f>
        <v>0</v>
      </c>
      <c r="X31" s="1046"/>
      <c r="Z31" s="1047"/>
      <c r="AB31" s="771">
        <v>2</v>
      </c>
      <c r="AC31" s="389" t="s">
        <v>1072</v>
      </c>
      <c r="AD31" s="772" t="s">
        <v>1066</v>
      </c>
      <c r="AE31" s="390">
        <f ca="1">MIN(AE33,AE28)</f>
        <v>0</v>
      </c>
      <c r="AF31" s="390">
        <f ca="1">MIN(AF33,AF28)</f>
        <v>0</v>
      </c>
      <c r="AI31" s="679" t="s">
        <v>1073</v>
      </c>
    </row>
    <row r="32" spans="1:35" ht="21.95" hidden="1" customHeight="1">
      <c r="C32" s="252"/>
      <c r="E32" s="447">
        <v>22.5</v>
      </c>
      <c r="F32" s="3" cm="1">
        <f t="array" aca="1" ref="F32" ca="1">OFFSET(E32,-1,1)</f>
        <v>0</v>
      </c>
      <c r="G32" s="22" t="s">
        <v>323</v>
      </c>
      <c r="T32" s="351" t="b" cm="1">
        <f t="array" ref="T32">T31</f>
        <v>0</v>
      </c>
      <c r="X32" s="1046"/>
      <c r="Z32" s="1047"/>
      <c r="AB32" s="391">
        <v>3</v>
      </c>
      <c r="AC32" s="384" t="s">
        <v>1074</v>
      </c>
      <c r="AD32" s="381" t="s">
        <v>1066</v>
      </c>
      <c r="AE32" s="385" cm="1">
        <f t="array" aca="1" ref="AE32" ca="1">INDEX('Калькуляция (МСА)'!$L$26:$M$67,MATCH('Амортизация (аналог)'!$F32&amp;"УТР",'Калькуляция (МСА)'!$K$26:$K$67,0),1)</f>
        <v>0</v>
      </c>
      <c r="AF32" s="385" cm="1">
        <f t="array" aca="1" ref="AF32" ca="1">INDEX('Калькуляция (МСА)'!$L$26:$M$67,MATCH('Амортизация (аналог)'!$F32&amp;"УТР",'Калькуляция (МСА)'!$K$26:$K$67,0),2)</f>
        <v>0</v>
      </c>
      <c r="AI32" s="656" t="s">
        <v>1075</v>
      </c>
    </row>
    <row r="33" spans="1:35" ht="14.65" hidden="1" customHeight="1">
      <c r="C33" s="252"/>
      <c r="E33" s="447">
        <v>15</v>
      </c>
      <c r="F33" s="3" cm="1">
        <f t="array" aca="1" ref="F33" ca="1">OFFSET(E33,-1,1)</f>
        <v>0</v>
      </c>
      <c r="G33" s="22" t="s">
        <v>325</v>
      </c>
      <c r="T33" s="351" t="b" cm="1">
        <f t="array" ref="T33">T32</f>
        <v>0</v>
      </c>
      <c r="X33" s="1046"/>
      <c r="Z33" s="1047"/>
      <c r="AB33" s="391">
        <v>4</v>
      </c>
      <c r="AC33" s="384" t="s">
        <v>1076</v>
      </c>
      <c r="AD33" s="381" t="s">
        <v>1066</v>
      </c>
      <c r="AE33" s="392">
        <f ca="1">AE32*0.15</f>
        <v>0</v>
      </c>
      <c r="AF33" s="392">
        <f ca="1">AF32*0.15</f>
        <v>0</v>
      </c>
      <c r="AI33" s="656" t="s">
        <v>1077</v>
      </c>
    </row>
    <row r="34" spans="1:35" ht="14.25" customHeight="1">
      <c r="C34" s="17"/>
      <c r="E34" s="447">
        <v>15</v>
      </c>
      <c r="F34" s="17" t="str" cm="1">
        <f t="array" ref="F34">X34</f>
        <v>1</v>
      </c>
      <c r="T34" s="351" t="b">
        <f>X34&gt;0</f>
        <v>1</v>
      </c>
      <c r="V34" s="22" t="str" cm="1">
        <f t="array" ref="V34">Амортизация!$AB$76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34" s="1046" t="s">
        <v>277</v>
      </c>
      <c r="Z34" s="1047"/>
      <c r="AB34" s="135" t="str" cm="1">
        <f t="array" ref="AB34">Амортизация!$AB$76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4" s="94"/>
      <c r="AD34" s="88"/>
      <c r="AE34" s="88"/>
      <c r="AF34" s="123"/>
    </row>
    <row r="35" spans="1:35" s="63" customFormat="1" ht="14.25" customHeight="1">
      <c r="A35" s="22"/>
      <c r="C35" s="252"/>
      <c r="E35" s="486">
        <v>15</v>
      </c>
      <c r="F35" s="3" t="str" cm="1">
        <f t="array" aca="1" ref="F35" ca="1">OFFSET(E35,-1,1)</f>
        <v>1</v>
      </c>
      <c r="G35" s="63" t="s">
        <v>321</v>
      </c>
      <c r="T35" s="351" t="b" cm="1">
        <f t="array" ref="T35">T34</f>
        <v>1</v>
      </c>
      <c r="X35" s="1046"/>
      <c r="Z35" s="1047"/>
      <c r="AB35" s="381" t="s">
        <v>277</v>
      </c>
      <c r="AC35" s="384" t="s">
        <v>1065</v>
      </c>
      <c r="AD35" s="381" t="s">
        <v>1066</v>
      </c>
      <c r="AE35" s="385">
        <f ca="1">IF(AE37=0,0,AE36/AE37)</f>
        <v>0</v>
      </c>
      <c r="AF35" s="385">
        <f ca="1">IF(AF37=0,0,AF36/AF37)</f>
        <v>0</v>
      </c>
      <c r="AI35" s="679" t="s">
        <v>1067</v>
      </c>
    </row>
    <row r="36" spans="1:35" ht="14.25" customHeight="1">
      <c r="C36" s="252"/>
      <c r="E36" s="447">
        <v>15</v>
      </c>
      <c r="F36" s="3" t="str" cm="1">
        <f t="array" aca="1" ref="F36" ca="1">OFFSET(E36,-1,1)</f>
        <v>1</v>
      </c>
      <c r="G36" s="22" t="s">
        <v>507</v>
      </c>
      <c r="T36" s="351" t="b" cm="1">
        <f t="array" ref="T36">T35</f>
        <v>1</v>
      </c>
      <c r="X36" s="1046"/>
      <c r="Z36" s="1047"/>
      <c r="AB36" s="386" t="s">
        <v>936</v>
      </c>
      <c r="AC36" s="387" t="s">
        <v>1068</v>
      </c>
      <c r="AD36" s="386" t="s">
        <v>859</v>
      </c>
      <c r="AE36" s="770"/>
      <c r="AF36" s="770"/>
      <c r="AI36" s="656" t="s">
        <v>1069</v>
      </c>
    </row>
    <row r="37" spans="1:35" ht="32.25" customHeight="1">
      <c r="C37" s="252"/>
      <c r="E37" s="447">
        <v>33.75</v>
      </c>
      <c r="F37" s="3" t="str" cm="1">
        <f t="array" aca="1" ref="F37" ca="1">OFFSET(E37,-1,1)</f>
        <v>1</v>
      </c>
      <c r="G37" s="22" t="s">
        <v>511</v>
      </c>
      <c r="T37" s="351" t="b" cm="1">
        <f t="array" ref="T37">T36</f>
        <v>1</v>
      </c>
      <c r="X37" s="1046"/>
      <c r="Z37" s="1047"/>
      <c r="AB37" s="386" t="s">
        <v>939</v>
      </c>
      <c r="AC37" s="387" t="s">
        <v>1070</v>
      </c>
      <c r="AD37" s="386" t="s">
        <v>851</v>
      </c>
      <c r="AE37" s="388">
        <f ca="1">SUMIFS('Условные метры'!$AL$28:$AL$35,'Условные метры'!$F$28:$F$35,$F37,'Условные метры'!$G$28:$G$35,"Итог")</f>
        <v>0</v>
      </c>
      <c r="AF37" s="388">
        <f ca="1">SUMIFS('Условные метры'!$AN$28:$AN$35,'Условные метры'!$F$28:$F$35,$F37,'Условные метры'!$G$28:$G$35,"Итог")</f>
        <v>0</v>
      </c>
      <c r="AI37" s="656" t="s">
        <v>1071</v>
      </c>
    </row>
    <row r="38" spans="1:35" s="63" customFormat="1" ht="32.25" customHeight="1">
      <c r="A38" s="22"/>
      <c r="C38" s="793"/>
      <c r="E38" s="486">
        <v>33.75</v>
      </c>
      <c r="F38" s="3" t="str" cm="1">
        <f t="array" aca="1" ref="F38" ca="1">OFFSET(E38,-1,1)</f>
        <v>1</v>
      </c>
      <c r="G38" s="63" t="s">
        <v>322</v>
      </c>
      <c r="T38" s="351" t="b" cm="1">
        <f t="array" ref="T38">T37</f>
        <v>1</v>
      </c>
      <c r="X38" s="1046"/>
      <c r="Z38" s="1047"/>
      <c r="AB38" s="771">
        <v>2</v>
      </c>
      <c r="AC38" s="389" t="s">
        <v>1072</v>
      </c>
      <c r="AD38" s="772" t="s">
        <v>1066</v>
      </c>
      <c r="AE38" s="390">
        <f ca="1">MIN(AE40,AE35)</f>
        <v>0</v>
      </c>
      <c r="AF38" s="390">
        <f ca="1">MIN(AF40,AF35)</f>
        <v>0</v>
      </c>
      <c r="AI38" s="679" t="s">
        <v>1073</v>
      </c>
    </row>
    <row r="39" spans="1:35" ht="21.75" customHeight="1">
      <c r="C39" s="252"/>
      <c r="E39" s="447">
        <v>22.5</v>
      </c>
      <c r="F39" s="3" t="str" cm="1">
        <f t="array" aca="1" ref="F39" ca="1">OFFSET(E39,-1,1)</f>
        <v>1</v>
      </c>
      <c r="G39" s="22" t="s">
        <v>323</v>
      </c>
      <c r="T39" s="351" t="b" cm="1">
        <f t="array" ref="T39">T38</f>
        <v>1</v>
      </c>
      <c r="X39" s="1046"/>
      <c r="Z39" s="1047"/>
      <c r="AB39" s="391">
        <v>3</v>
      </c>
      <c r="AC39" s="384" t="s">
        <v>1074</v>
      </c>
      <c r="AD39" s="381" t="s">
        <v>1066</v>
      </c>
      <c r="AE39" s="385" cm="1">
        <f t="array" aca="1" ref="AE39" ca="1">INDEX('Калькуляция (МСА)'!$L$26:$M$67,MATCH('Амортизация (аналог)'!$F39&amp;"УТР",'Калькуляция (МСА)'!$K$26:$K$67,0),1)</f>
        <v>0</v>
      </c>
      <c r="AF39" s="385" cm="1">
        <f t="array" aca="1" ref="AF39" ca="1">INDEX('Калькуляция (МСА)'!$L$26:$M$67,MATCH('Амортизация (аналог)'!$F39&amp;"УТР",'Калькуляция (МСА)'!$K$26:$K$67,0),2)</f>
        <v>0</v>
      </c>
      <c r="AI39" s="656" t="s">
        <v>1075</v>
      </c>
    </row>
    <row r="40" spans="1:35" ht="14.25" customHeight="1">
      <c r="C40" s="252"/>
      <c r="E40" s="447">
        <v>15</v>
      </c>
      <c r="F40" s="3" t="str" cm="1">
        <f t="array" aca="1" ref="F40" ca="1">OFFSET(E40,-1,1)</f>
        <v>1</v>
      </c>
      <c r="G40" s="22" t="s">
        <v>325</v>
      </c>
      <c r="T40" s="351" t="b" cm="1">
        <f t="array" ref="T40">T39</f>
        <v>1</v>
      </c>
      <c r="X40" s="1046"/>
      <c r="Z40" s="1047"/>
      <c r="AB40" s="391">
        <v>4</v>
      </c>
      <c r="AC40" s="384" t="s">
        <v>1076</v>
      </c>
      <c r="AD40" s="381" t="s">
        <v>1066</v>
      </c>
      <c r="AE40" s="392">
        <f ca="1">AE39*0.15</f>
        <v>0</v>
      </c>
      <c r="AF40" s="392">
        <f ca="1">AF39*0.15</f>
        <v>0</v>
      </c>
      <c r="AI40" s="656" t="s">
        <v>1077</v>
      </c>
    </row>
    <row r="41" spans="1:35" ht="10.9" customHeight="1">
      <c r="E41" s="447">
        <v>11.25</v>
      </c>
      <c r="U41" s="22" t="s">
        <v>175</v>
      </c>
      <c r="V41" s="56" t="s">
        <v>1078</v>
      </c>
      <c r="AB41" s="382"/>
      <c r="AC41" s="64"/>
      <c r="AD41" s="382"/>
      <c r="AE41" s="393"/>
    </row>
    <row r="42" spans="1:35" s="17" customFormat="1" ht="14.65" customHeight="1">
      <c r="E42" s="459">
        <v>15</v>
      </c>
      <c r="AB42" s="1028" t="s">
        <v>396</v>
      </c>
      <c r="AC42" s="1028"/>
      <c r="AD42" s="1028"/>
      <c r="AE42" s="1048"/>
      <c r="AF42" s="1048"/>
      <c r="AI42" s="669"/>
    </row>
    <row r="43" spans="1:35" s="17" customFormat="1" ht="14.65" customHeight="1">
      <c r="E43" s="459">
        <v>15</v>
      </c>
      <c r="AB43" s="1049"/>
      <c r="AC43" s="1049"/>
      <c r="AD43" s="1049"/>
      <c r="AE43" s="1050"/>
      <c r="AF43" s="1050"/>
      <c r="AI43" s="669"/>
    </row>
    <row r="44" spans="1:35" s="17" customFormat="1" ht="14.65" hidden="1" customHeight="1">
      <c r="E44" s="459">
        <v>15</v>
      </c>
      <c r="T44" s="351" t="b">
        <f>ROW(W44)&gt;ROW(W$44)</f>
        <v>0</v>
      </c>
      <c r="U44" s="22"/>
      <c r="V44" s="22"/>
      <c r="W44" s="515" t="s">
        <v>171</v>
      </c>
      <c r="X44" s="22"/>
      <c r="Y44" s="22"/>
      <c r="Z44" s="22"/>
      <c r="AA44" s="487" t="s">
        <v>172</v>
      </c>
      <c r="AB44" s="1065"/>
      <c r="AC44" s="1066"/>
      <c r="AD44" s="1066"/>
      <c r="AE44" s="1067"/>
      <c r="AF44" s="1070"/>
      <c r="AI44" s="669"/>
    </row>
    <row r="45" spans="1:35" s="17" customFormat="1" ht="14.65" customHeight="1">
      <c r="E45" s="459">
        <v>15</v>
      </c>
      <c r="W45" s="515" t="s">
        <v>407</v>
      </c>
      <c r="AB45" s="472"/>
      <c r="AC45" s="380" t="s">
        <v>408</v>
      </c>
      <c r="AD45" s="217"/>
      <c r="AE45" s="218"/>
      <c r="AF45" s="219"/>
      <c r="AI45" s="669"/>
    </row>
    <row r="46" spans="1:35" ht="10.9" customHeight="1">
      <c r="E46" s="447">
        <v>11.25</v>
      </c>
      <c r="AC46" s="394"/>
    </row>
  </sheetData>
  <sheetProtection formatColumns="0" formatRows="0" insertRows="0" deleteColumns="0" deleteRows="0" sort="0" autoFilter="0"/>
  <mergeCells count="13">
    <mergeCell ref="AB22:AF22"/>
    <mergeCell ref="AB23:AF23"/>
    <mergeCell ref="AB24:AB25"/>
    <mergeCell ref="AC24:AC25"/>
    <mergeCell ref="AD24:AD25"/>
    <mergeCell ref="AE24:AF24"/>
    <mergeCell ref="X27:X33"/>
    <mergeCell ref="Z27:Z33"/>
    <mergeCell ref="AB42:AF42"/>
    <mergeCell ref="AB43:AF43"/>
    <mergeCell ref="AB44:AF4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FAEE-D23E-AF6D-0675-7FF6C218DE41}">
  <sheetPr>
    <tabColor rgb="FF002060"/>
    <outlinePr summaryBelow="0" summaryRight="0"/>
    <pageSetUpPr fitToPage="1"/>
  </sheetPr>
  <dimension ref="A1:BJ101"/>
  <sheetViews>
    <sheetView showGridLines="0" zoomScale="110" workbookViewId="0">
      <pane xSplit="30" ySplit="25" topLeftCell="AE86" activePane="bottomRight" state="frozen"/>
      <selection pane="topRight" activeCell="AE1" sqref="AE1"/>
      <selection pane="bottomLeft" activeCell="A26" sqref="A26"/>
      <selection pane="bottomRight" activeCell="AB94" sqref="AB94:BC94"/>
    </sheetView>
  </sheetViews>
  <sheetFormatPr defaultColWidth="8.7109375" defaultRowHeight="10.5" customHeight="1"/>
  <cols>
    <col min="1" max="1" width="3.5703125" style="66" hidden="1" customWidth="1"/>
    <col min="2" max="2" width="8.5703125" style="336" hidden="1" customWidth="1"/>
    <col min="3" max="4" width="3.5703125" style="66" hidden="1" customWidth="1"/>
    <col min="5" max="5" width="3.5703125" style="489"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600"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42.5703125" style="66" customWidth="1"/>
    <col min="30" max="34" width="15.7109375" style="66" customWidth="1"/>
    <col min="35" max="37" width="12.5703125" style="66" customWidth="1"/>
    <col min="38" max="44" width="12.5703125" style="66" hidden="1" customWidth="1"/>
    <col min="45" max="47" width="12.5703125" style="66" customWidth="1"/>
    <col min="48" max="54" width="12.5703125" style="66" hidden="1" customWidth="1"/>
    <col min="55" max="55" width="51.5703125" style="66" customWidth="1"/>
    <col min="56" max="56" width="3" style="66" customWidth="1"/>
    <col min="57" max="57" width="8.7109375" style="66" hidden="1"/>
    <col min="58" max="60" width="8.7109375" style="680" hidden="1"/>
    <col min="61" max="62" width="8.7109375" style="489" hidden="1"/>
  </cols>
  <sheetData>
    <row r="1" spans="1:62" ht="11.25" hidden="1" customHeight="1">
      <c r="E1" s="66"/>
      <c r="F1" s="66" t="s">
        <v>309</v>
      </c>
      <c r="G1" s="66" t="s">
        <v>320</v>
      </c>
      <c r="H1" s="66" t="s">
        <v>346</v>
      </c>
      <c r="T1" s="351" t="s">
        <v>92</v>
      </c>
      <c r="U1" s="351" t="s">
        <v>97</v>
      </c>
      <c r="V1" s="351" t="s">
        <v>93</v>
      </c>
      <c r="W1" s="351" t="s">
        <v>94</v>
      </c>
      <c r="X1" s="351" t="s">
        <v>95</v>
      </c>
      <c r="Y1" s="353" t="s">
        <v>311</v>
      </c>
      <c r="Z1" s="351" t="s">
        <v>99</v>
      </c>
      <c r="AA1" s="353" t="s">
        <v>96</v>
      </c>
      <c r="AB1" s="4"/>
      <c r="AC1" s="352" t="s">
        <v>98</v>
      </c>
      <c r="BF1" s="680" t="s">
        <v>312</v>
      </c>
      <c r="BG1" s="680" t="s">
        <v>313</v>
      </c>
      <c r="BH1" s="680" t="s">
        <v>314</v>
      </c>
      <c r="BI1" s="489" t="s">
        <v>317</v>
      </c>
      <c r="BJ1" s="489" t="s">
        <v>318</v>
      </c>
    </row>
    <row r="2" spans="1:62" s="336" customFormat="1" ht="11.25" hidden="1" customHeight="1">
      <c r="B2" s="341" t="s">
        <v>18</v>
      </c>
      <c r="K2" s="601"/>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81"/>
      <c r="BG2" s="681"/>
      <c r="BH2" s="681"/>
      <c r="BI2" s="684"/>
      <c r="BJ2" s="684"/>
    </row>
    <row r="3" spans="1:62" ht="11.25" hidden="1" customHeight="1">
      <c r="E3" s="66"/>
    </row>
    <row r="4" spans="1:62" ht="11.25" hidden="1" customHeight="1">
      <c r="E4" s="66"/>
    </row>
    <row r="5" spans="1:62" s="489" customFormat="1" ht="11.25" hidden="1" customHeight="1">
      <c r="A5" s="66"/>
      <c r="B5" s="336"/>
      <c r="C5" s="66"/>
      <c r="D5" s="66"/>
      <c r="E5" s="489" t="s">
        <v>19</v>
      </c>
      <c r="K5" s="602"/>
      <c r="AA5" s="489">
        <v>3</v>
      </c>
      <c r="AB5" s="489">
        <v>11</v>
      </c>
      <c r="AC5" s="489">
        <v>43.43</v>
      </c>
      <c r="AD5" s="489">
        <v>15.71</v>
      </c>
      <c r="AE5" s="489">
        <v>15.71</v>
      </c>
      <c r="AF5" s="489">
        <v>15.71</v>
      </c>
      <c r="AG5" s="489">
        <v>15.71</v>
      </c>
      <c r="AH5" s="489">
        <v>15.71</v>
      </c>
      <c r="AI5" s="489">
        <v>12.57</v>
      </c>
      <c r="AJ5" s="489">
        <v>12.57</v>
      </c>
      <c r="AK5" s="489">
        <v>12.57</v>
      </c>
      <c r="AL5" s="489">
        <v>12.57</v>
      </c>
      <c r="AM5" s="489">
        <v>12.57</v>
      </c>
      <c r="AN5" s="489">
        <v>12.57</v>
      </c>
      <c r="AO5" s="489">
        <v>12.57</v>
      </c>
      <c r="AP5" s="489">
        <v>12.57</v>
      </c>
      <c r="AQ5" s="489">
        <v>12.57</v>
      </c>
      <c r="AR5" s="489">
        <v>12.57</v>
      </c>
      <c r="AS5" s="489">
        <v>12.57</v>
      </c>
      <c r="AT5" s="489">
        <v>12.57</v>
      </c>
      <c r="AU5" s="489">
        <v>12.57</v>
      </c>
      <c r="AV5" s="489">
        <v>12.57</v>
      </c>
      <c r="AW5" s="489">
        <v>12.57</v>
      </c>
      <c r="AX5" s="489">
        <v>12.57</v>
      </c>
      <c r="AY5" s="489">
        <v>12.57</v>
      </c>
      <c r="AZ5" s="489">
        <v>12.57</v>
      </c>
      <c r="BA5" s="489">
        <v>12.57</v>
      </c>
      <c r="BB5" s="489">
        <v>12.57</v>
      </c>
      <c r="BC5" s="489">
        <v>20</v>
      </c>
      <c r="BD5" s="489">
        <v>3</v>
      </c>
      <c r="BF5" s="680"/>
      <c r="BG5" s="680"/>
      <c r="BH5" s="680"/>
    </row>
    <row r="6" spans="1:62" ht="11.25" hidden="1" customHeight="1">
      <c r="A6" s="66" t="s">
        <v>349</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6" t="s">
        <v>350</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row r="9" spans="1:62" s="680" customFormat="1" ht="11.25" hidden="1" customHeight="1">
      <c r="A9" s="680" t="s">
        <v>354</v>
      </c>
      <c r="B9" s="681"/>
      <c r="K9" s="682"/>
      <c r="AE9" s="680" cm="1">
        <f t="array" ref="AE9">AE6</f>
        <v>2024</v>
      </c>
      <c r="AF9" s="680" cm="1">
        <f t="array" ref="AF9">AF6</f>
        <v>2024</v>
      </c>
      <c r="AG9" s="680" cm="1">
        <f t="array" ref="AG9">AG6</f>
        <v>2024</v>
      </c>
      <c r="AH9" s="680" cm="1">
        <f t="array" ref="AH9">AH6</f>
        <v>2025</v>
      </c>
      <c r="AI9" s="680" cm="1">
        <f t="array" ref="AI9">AI6</f>
        <v>2026</v>
      </c>
      <c r="AJ9" s="680" cm="1">
        <f t="array" ref="AJ9">AJ6</f>
        <v>2027</v>
      </c>
      <c r="AK9" s="680" cm="1">
        <f t="array" ref="AK9">AK6</f>
        <v>2028</v>
      </c>
      <c r="AL9" s="680" cm="1">
        <f t="array" ref="AL9">AL6</f>
        <v>2029</v>
      </c>
      <c r="AM9" s="680" cm="1">
        <f t="array" ref="AM9">AM6</f>
        <v>2030</v>
      </c>
      <c r="AN9" s="680" cm="1">
        <f t="array" ref="AN9">AN6</f>
        <v>2031</v>
      </c>
      <c r="AO9" s="680" cm="1">
        <f t="array" ref="AO9">AO6</f>
        <v>2032</v>
      </c>
      <c r="AP9" s="680" cm="1">
        <f t="array" ref="AP9">AP6</f>
        <v>2033</v>
      </c>
      <c r="AQ9" s="680" cm="1">
        <f t="array" ref="AQ9">AQ6</f>
        <v>2034</v>
      </c>
      <c r="AR9" s="680" cm="1">
        <f t="array" ref="AR9">AR6</f>
        <v>2035</v>
      </c>
      <c r="AS9" s="680" cm="1">
        <f t="array" ref="AS9">AS6</f>
        <v>2026</v>
      </c>
      <c r="AT9" s="680" cm="1">
        <f t="array" ref="AT9">AT6</f>
        <v>2027</v>
      </c>
      <c r="AU9" s="680" cm="1">
        <f t="array" ref="AU9">AU6</f>
        <v>2028</v>
      </c>
      <c r="AV9" s="680" cm="1">
        <f t="array" ref="AV9">AV6</f>
        <v>2029</v>
      </c>
      <c r="AW9" s="680" cm="1">
        <f t="array" ref="AW9">AW6</f>
        <v>2030</v>
      </c>
      <c r="AX9" s="680" cm="1">
        <f t="array" ref="AX9">AX6</f>
        <v>2031</v>
      </c>
      <c r="AY9" s="680" cm="1">
        <f t="array" ref="AY9">AY6</f>
        <v>2032</v>
      </c>
      <c r="AZ9" s="680" cm="1">
        <f t="array" ref="AZ9">AZ6</f>
        <v>2033</v>
      </c>
      <c r="BA9" s="680" cm="1">
        <f t="array" ref="BA9">BA6</f>
        <v>2034</v>
      </c>
      <c r="BB9" s="680" cm="1">
        <f t="array" ref="BB9">BB6</f>
        <v>2035</v>
      </c>
      <c r="BI9" s="489"/>
      <c r="BJ9" s="489"/>
    </row>
    <row r="10" spans="1:62" s="680" customFormat="1" ht="11.25" hidden="1" customHeight="1">
      <c r="A10" s="680" t="s">
        <v>355</v>
      </c>
      <c r="B10" s="681"/>
      <c r="K10" s="682"/>
      <c r="AE10" s="680" t="str" cm="1">
        <f t="array" ref="AE10">AE25</f>
        <v>Принято органом регулирования</v>
      </c>
      <c r="AF10" s="680" t="str" cm="1">
        <f t="array" ref="AF10">AF25</f>
        <v>Факт по данным организации</v>
      </c>
      <c r="AG10" s="680" t="str" cm="1">
        <f t="array" ref="AG10">AG25</f>
        <v>Факт, принятый органом регулирования</v>
      </c>
      <c r="AH10" s="680" t="str" cm="1">
        <f t="array" ref="AH10">AH25</f>
        <v>Принято органом регулирования</v>
      </c>
      <c r="AI10" s="680" t="str" cm="1">
        <f t="array" ref="AI10">AI25</f>
        <v>Предложение организации</v>
      </c>
      <c r="AJ10" s="680" t="str" cm="1">
        <f t="array" ref="AJ10">AJ25</f>
        <v>Предложение организации</v>
      </c>
      <c r="AK10" s="680" t="str" cm="1">
        <f t="array" ref="AK10">AK25</f>
        <v>Предложение организации</v>
      </c>
      <c r="AL10" s="680" t="str" cm="1">
        <f t="array" ref="AL10">AL25</f>
        <v>Предложение организации</v>
      </c>
      <c r="AM10" s="680" t="str" cm="1">
        <f t="array" ref="AM10">AM25</f>
        <v>Предложение организации</v>
      </c>
      <c r="AN10" s="680" t="str" cm="1">
        <f t="array" ref="AN10">AN25</f>
        <v>Предложение организации</v>
      </c>
      <c r="AO10" s="680" t="str" cm="1">
        <f t="array" ref="AO10">AO25</f>
        <v>Предложение организации</v>
      </c>
      <c r="AP10" s="680" t="str" cm="1">
        <f t="array" ref="AP10">AP25</f>
        <v>Предложение организации</v>
      </c>
      <c r="AQ10" s="680" t="str" cm="1">
        <f t="array" ref="AQ10">AQ25</f>
        <v>Предложение организации</v>
      </c>
      <c r="AR10" s="680" t="str" cm="1">
        <f t="array" ref="AR10">AR25</f>
        <v>Предложение организации</v>
      </c>
      <c r="AS10" s="680" t="str" cm="1">
        <f t="array" ref="AS10">AS25</f>
        <v>Принято органом регулирования</v>
      </c>
      <c r="AT10" s="680" t="str" cm="1">
        <f t="array" ref="AT10">AT25</f>
        <v>Принято органом регулирования</v>
      </c>
      <c r="AU10" s="680" t="str" cm="1">
        <f t="array" ref="AU10">AU25</f>
        <v>Принято органом регулирования</v>
      </c>
      <c r="AV10" s="680" t="str" cm="1">
        <f t="array" ref="AV10">AV25</f>
        <v>Принято органом регулирования</v>
      </c>
      <c r="AW10" s="680" t="str" cm="1">
        <f t="array" ref="AW10">AW25</f>
        <v>Принято органом регулирования</v>
      </c>
      <c r="AX10" s="680" t="str" cm="1">
        <f t="array" ref="AX10">AX25</f>
        <v>Принято органом регулирования</v>
      </c>
      <c r="AY10" s="680" t="str" cm="1">
        <f t="array" ref="AY10">AY25</f>
        <v>Принято органом регулирования</v>
      </c>
      <c r="AZ10" s="680" t="str" cm="1">
        <f t="array" ref="AZ10">AZ25</f>
        <v>Принято органом регулирования</v>
      </c>
      <c r="BA10" s="680" t="str" cm="1">
        <f t="array" ref="BA10">BA25</f>
        <v>Принято органом регулирования</v>
      </c>
      <c r="BB10" s="680" t="str" cm="1">
        <f t="array" ref="BB10">BB25</f>
        <v>Принято органом регулирования</v>
      </c>
      <c r="BI10" s="489"/>
      <c r="BJ10" s="489"/>
    </row>
    <row r="11" spans="1:62" s="680" customFormat="1" ht="11.25" hidden="1" customHeight="1">
      <c r="A11" s="680" t="s">
        <v>356</v>
      </c>
      <c r="B11" s="681"/>
      <c r="K11" s="682"/>
      <c r="BC11" s="680" t="str" cm="1">
        <f t="array" ref="BC11">BC24</f>
        <v>Ссылка на правовую норму (основание для принятия показателя в расчет тарифа)</v>
      </c>
      <c r="BI11" s="489"/>
      <c r="BJ11" s="489"/>
    </row>
    <row r="12" spans="1:62" s="680" customFormat="1" ht="11.25" hidden="1" customHeight="1">
      <c r="A12" s="680" t="s">
        <v>327</v>
      </c>
      <c r="B12" s="681"/>
      <c r="K12" s="682"/>
      <c r="AC12" s="680" t="s">
        <v>314</v>
      </c>
      <c r="BI12" s="489"/>
      <c r="BJ12" s="489"/>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6" t="s">
        <v>357</v>
      </c>
      <c r="AC18" s="66" t="s">
        <v>1079</v>
      </c>
    </row>
    <row r="19" spans="1:62" ht="11.25" hidden="1" customHeight="1"/>
    <row r="20" spans="1:62" ht="11.25" hidden="1" customHeight="1"/>
    <row r="21" spans="1:62" ht="14.65" customHeight="1">
      <c r="E21" s="489">
        <v>15</v>
      </c>
      <c r="AA21" s="59"/>
      <c r="AC21" s="3" t="str" cm="1">
        <f t="array" ref="AC21">tpl_title</f>
        <v>Кемеровская область / 2026 / МУП "Водоканал" (ИНН:4202043124, КПП:420201001) / ДПР: 2026-2028</v>
      </c>
    </row>
    <row r="22" spans="1:62" ht="19.5" customHeight="1">
      <c r="E22" s="489">
        <v>20</v>
      </c>
      <c r="AB22" s="224" t="s">
        <v>59</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21"/>
    </row>
    <row r="23" spans="1:62" ht="10.9" customHeight="1">
      <c r="E23" s="489">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21.2" customHeight="1">
      <c r="E24" s="489">
        <v>15</v>
      </c>
      <c r="AB24" s="1028" t="s">
        <v>841</v>
      </c>
      <c r="AC24" s="1074" t="s">
        <v>192</v>
      </c>
      <c r="AD24" s="1028" t="s">
        <v>359</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51" t="s">
        <v>580</v>
      </c>
    </row>
    <row r="25" spans="1:62" ht="48.75" customHeight="1">
      <c r="E25" s="489">
        <v>50</v>
      </c>
      <c r="AB25" s="1083"/>
      <c r="AC25" s="1083"/>
      <c r="AD25" s="1083"/>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83"/>
    </row>
    <row r="26" spans="1:62" ht="11.25" hidden="1" customHeight="1">
      <c r="A26" s="314"/>
      <c r="B26" s="477"/>
      <c r="C26" s="314"/>
      <c r="D26" s="314"/>
      <c r="E26" s="478">
        <v>0</v>
      </c>
      <c r="F26" s="476" t="s">
        <v>1080</v>
      </c>
      <c r="G26" s="314"/>
      <c r="H26" s="314"/>
      <c r="I26" s="314"/>
      <c r="J26" s="314"/>
      <c r="K26" s="603"/>
      <c r="L26" s="314"/>
      <c r="M26" s="314"/>
      <c r="N26" s="314"/>
      <c r="O26" s="314"/>
      <c r="P26" s="314"/>
      <c r="Q26" s="314"/>
      <c r="R26" s="314"/>
      <c r="S26" s="314"/>
      <c r="T26" s="314"/>
      <c r="U26" s="314"/>
      <c r="V26" s="314"/>
      <c r="W26" s="314"/>
      <c r="X26" s="314"/>
      <c r="Y26" s="314"/>
      <c r="Z26" s="314"/>
      <c r="AA26" s="314"/>
      <c r="AB26" s="314"/>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ht="14.65" hidden="1" customHeight="1">
      <c r="E27" s="489">
        <v>15</v>
      </c>
      <c r="F27" s="17" cm="1">
        <f t="array" ref="F27">X27</f>
        <v>0</v>
      </c>
      <c r="I27" s="66" t="s">
        <v>1081</v>
      </c>
      <c r="T27" s="351" t="b">
        <f>X27&gt;0</f>
        <v>0</v>
      </c>
      <c r="V27" s="66" t="s">
        <v>266</v>
      </c>
      <c r="X27" s="946">
        <v>0</v>
      </c>
      <c r="Y27" s="491"/>
      <c r="Z27" s="1084"/>
      <c r="AB27" s="135" t="str" cm="1">
        <f t="array" ref="AB27">INDEX('Общие сведения'!$AG$179:$AG$208,MATCH($X27,'Общие сведения'!$Z$179:$Z$208,0))</f>
        <v xml:space="preserve">Тариф 0 () - </v>
      </c>
      <c r="AC27" s="94"/>
      <c r="AD27" s="94"/>
      <c r="AE27" s="213">
        <f t="shared" ref="AE27:BB27" si="1">AE33+AE38+AE43+AE48+AE28+AE53+AE54+AE55+AE56</f>
        <v>0</v>
      </c>
      <c r="AF27" s="213">
        <f t="shared" si="1"/>
        <v>0</v>
      </c>
      <c r="AG27" s="213">
        <f t="shared" si="1"/>
        <v>0</v>
      </c>
      <c r="AH27" s="213">
        <f t="shared" si="1"/>
        <v>0</v>
      </c>
      <c r="AI27" s="213">
        <f t="shared" si="1"/>
        <v>0</v>
      </c>
      <c r="AJ27" s="213">
        <f t="shared" si="1"/>
        <v>0</v>
      </c>
      <c r="AK27" s="213">
        <f t="shared" si="1"/>
        <v>0</v>
      </c>
      <c r="AL27" s="213">
        <f t="shared" si="1"/>
        <v>0</v>
      </c>
      <c r="AM27" s="213">
        <f t="shared" si="1"/>
        <v>0</v>
      </c>
      <c r="AN27" s="213">
        <f t="shared" si="1"/>
        <v>0</v>
      </c>
      <c r="AO27" s="213">
        <f t="shared" si="1"/>
        <v>0</v>
      </c>
      <c r="AP27" s="213">
        <f t="shared" si="1"/>
        <v>0</v>
      </c>
      <c r="AQ27" s="213">
        <f t="shared" si="1"/>
        <v>0</v>
      </c>
      <c r="AR27" s="213">
        <f t="shared" si="1"/>
        <v>0</v>
      </c>
      <c r="AS27" s="213">
        <f t="shared" si="1"/>
        <v>0</v>
      </c>
      <c r="AT27" s="213">
        <f t="shared" si="1"/>
        <v>0</v>
      </c>
      <c r="AU27" s="213">
        <f t="shared" si="1"/>
        <v>0</v>
      </c>
      <c r="AV27" s="213">
        <f t="shared" si="1"/>
        <v>0</v>
      </c>
      <c r="AW27" s="213">
        <f t="shared" si="1"/>
        <v>0</v>
      </c>
      <c r="AX27" s="213">
        <f t="shared" si="1"/>
        <v>0</v>
      </c>
      <c r="AY27" s="213">
        <f t="shared" si="1"/>
        <v>0</v>
      </c>
      <c r="AZ27" s="213">
        <f t="shared" si="1"/>
        <v>0</v>
      </c>
      <c r="BA27" s="213">
        <f t="shared" si="1"/>
        <v>0</v>
      </c>
      <c r="BB27" s="213">
        <f t="shared" si="1"/>
        <v>0</v>
      </c>
      <c r="BC27" s="137"/>
    </row>
    <row r="28" spans="1:62" ht="14.65" hidden="1" customHeight="1">
      <c r="E28" s="489">
        <v>15</v>
      </c>
      <c r="F28" s="3" cm="1">
        <f t="array" aca="1" ref="F28" ca="1">OFFSET(E28,-1,1)</f>
        <v>0</v>
      </c>
      <c r="G28" s="66" t="s">
        <v>321</v>
      </c>
      <c r="K28" s="600" t="str">
        <f ca="1">F28&amp;"1komm"</f>
        <v>01komm</v>
      </c>
      <c r="L28" s="604" cm="1">
        <f t="array" ref="L28">BC28</f>
        <v>0</v>
      </c>
      <c r="T28" s="351" t="b" cm="1">
        <f t="array" ref="T28">T27</f>
        <v>0</v>
      </c>
      <c r="X28" s="946"/>
      <c r="Z28" s="1084"/>
      <c r="AB28" s="124">
        <v>1</v>
      </c>
      <c r="AC28" s="125" t="s">
        <v>1082</v>
      </c>
      <c r="AD28" s="124" t="s">
        <v>859</v>
      </c>
      <c r="AE28" s="126">
        <f>SUMIF(AD30:AD32,AD28,AE30:AE32)</f>
        <v>0</v>
      </c>
      <c r="AF28" s="126">
        <f>SUMIF(AD30:AD32,AD28,AF30:AF32)</f>
        <v>0</v>
      </c>
      <c r="AG28" s="126">
        <f>SUMIF(AD30:AD32,AD28,AG30:AG32)</f>
        <v>0</v>
      </c>
      <c r="AH28" s="126">
        <f>SUMIF(AD30:AD32,AD28,AH30:AH32)</f>
        <v>0</v>
      </c>
      <c r="AI28" s="126">
        <f>SUMIF(AD30:AD32,AD28,AI30:AI32)</f>
        <v>0</v>
      </c>
      <c r="AJ28" s="126">
        <f>SUMIF(AD30:AD32,AD28,AJ30:AJ32)</f>
        <v>0</v>
      </c>
      <c r="AK28" s="126">
        <f>SUMIF(AD30:AD32,AD28,AK30:AK32)</f>
        <v>0</v>
      </c>
      <c r="AL28" s="126">
        <f>SUMIF(AD30:AD32,AD28,AL30:AL32)</f>
        <v>0</v>
      </c>
      <c r="AM28" s="126">
        <f>SUMIF(AD30:AD32,AD28,AM30:AM32)</f>
        <v>0</v>
      </c>
      <c r="AN28" s="126">
        <f>SUMIF(AD30:AD32,AD28,AN30:AN32)</f>
        <v>0</v>
      </c>
      <c r="AO28" s="126">
        <f>SUMIF(AD30:AD32,AD28,AO30:AO32)</f>
        <v>0</v>
      </c>
      <c r="AP28" s="126">
        <f>SUMIF(AD30:AD32,AD28,AP30:AP32)</f>
        <v>0</v>
      </c>
      <c r="AQ28" s="126">
        <f>SUMIF(AD30:AD32,AD28,AQ30:AQ32)</f>
        <v>0</v>
      </c>
      <c r="AR28" s="126">
        <f>SUMIF(AD30:AD32,AD28,AR30:AR32)</f>
        <v>0</v>
      </c>
      <c r="AS28" s="126">
        <f>SUMIF(AD30:AD32,AD28,AS30:AS32)</f>
        <v>0</v>
      </c>
      <c r="AT28" s="126">
        <f>SUMIF(AD30:AD32,AD28,AT30:AT32)</f>
        <v>0</v>
      </c>
      <c r="AU28" s="126">
        <f>SUMIF(AD30:AD32,AD28,AU30:AU32)</f>
        <v>0</v>
      </c>
      <c r="AV28" s="126">
        <f>SUMIF(AD30:AD32,AD28,AV30:AV32)</f>
        <v>0</v>
      </c>
      <c r="AW28" s="126">
        <f>SUMIF(AD30:AD32,AD28,AW30:AW32)</f>
        <v>0</v>
      </c>
      <c r="AX28" s="126">
        <f>SUMIF(AD30:AD32,AD28,AX30:AX32)</f>
        <v>0</v>
      </c>
      <c r="AY28" s="126">
        <f>SUMIF(AD30:AD32,AD28,AY30:AY32)</f>
        <v>0</v>
      </c>
      <c r="AZ28" s="126">
        <f>SUMIF(AD30:AD32,AD28,AZ30:AZ32)</f>
        <v>0</v>
      </c>
      <c r="BA28" s="126">
        <f>SUMIF(AD30:AD32,AD28,BA30:BA32)</f>
        <v>0</v>
      </c>
      <c r="BB28" s="126">
        <f>SUMIF(AD30:AD32,AD28,BB30:BB32)</f>
        <v>0</v>
      </c>
      <c r="BC28" s="823"/>
      <c r="BF28" s="680" t="s">
        <v>1083</v>
      </c>
    </row>
    <row r="29" spans="1:62" ht="15" hidden="1" customHeight="1">
      <c r="E29" s="489">
        <v>0</v>
      </c>
      <c r="F29" s="3" cm="1">
        <f t="array" aca="1" ref="F29" ca="1">OFFSET(E29,-1,1)</f>
        <v>0</v>
      </c>
      <c r="L29" s="604"/>
      <c r="T29" s="351" t="b">
        <v>0</v>
      </c>
      <c r="W29" s="66" t="s">
        <v>171</v>
      </c>
      <c r="X29" s="946"/>
      <c r="Y29" s="946">
        <v>0</v>
      </c>
      <c r="Z29" s="1084"/>
      <c r="AA29" s="1085" t="s">
        <v>172</v>
      </c>
      <c r="AB29" s="124"/>
      <c r="AC29" s="125"/>
      <c r="AD29" s="124"/>
      <c r="AE29" s="129" t="b">
        <f t="shared" ref="AE29:BB29" si="2">OR(AND(AE30&lt;&gt;"",AE31=""),AND(AE30="",AE31&lt;&gt;""))</f>
        <v>0</v>
      </c>
      <c r="AF29" s="129" t="b">
        <f t="shared" si="2"/>
        <v>0</v>
      </c>
      <c r="AG29" s="129" t="b">
        <f t="shared" si="2"/>
        <v>0</v>
      </c>
      <c r="AH29" s="129" t="b">
        <f t="shared" si="2"/>
        <v>0</v>
      </c>
      <c r="AI29" s="129" t="b">
        <f t="shared" si="2"/>
        <v>0</v>
      </c>
      <c r="AJ29" s="129" t="b">
        <f t="shared" si="2"/>
        <v>0</v>
      </c>
      <c r="AK29" s="129" t="b">
        <f t="shared" si="2"/>
        <v>0</v>
      </c>
      <c r="AL29" s="129" t="b">
        <f t="shared" si="2"/>
        <v>0</v>
      </c>
      <c r="AM29" s="129" t="b">
        <f t="shared" si="2"/>
        <v>0</v>
      </c>
      <c r="AN29" s="129" t="b">
        <f t="shared" si="2"/>
        <v>0</v>
      </c>
      <c r="AO29" s="129" t="b">
        <f t="shared" si="2"/>
        <v>0</v>
      </c>
      <c r="AP29" s="129" t="b">
        <f t="shared" si="2"/>
        <v>0</v>
      </c>
      <c r="AQ29" s="129" t="b">
        <f t="shared" si="2"/>
        <v>0</v>
      </c>
      <c r="AR29" s="129" t="b">
        <f t="shared" si="2"/>
        <v>0</v>
      </c>
      <c r="AS29" s="129" t="b">
        <f t="shared" si="2"/>
        <v>0</v>
      </c>
      <c r="AT29" s="129" t="b">
        <f t="shared" si="2"/>
        <v>0</v>
      </c>
      <c r="AU29" s="129" t="b">
        <f t="shared" si="2"/>
        <v>0</v>
      </c>
      <c r="AV29" s="129" t="b">
        <f t="shared" si="2"/>
        <v>0</v>
      </c>
      <c r="AW29" s="129" t="b">
        <f t="shared" si="2"/>
        <v>0</v>
      </c>
      <c r="AX29" s="129" t="b">
        <f t="shared" si="2"/>
        <v>0</v>
      </c>
      <c r="AY29" s="129" t="b">
        <f t="shared" si="2"/>
        <v>0</v>
      </c>
      <c r="AZ29" s="129" t="b">
        <f t="shared" si="2"/>
        <v>0</v>
      </c>
      <c r="BA29" s="129" t="b">
        <f t="shared" si="2"/>
        <v>0</v>
      </c>
      <c r="BB29" s="129" t="b">
        <f t="shared" si="2"/>
        <v>0</v>
      </c>
      <c r="BC29" s="641"/>
    </row>
    <row r="30" spans="1:62" ht="14.65" hidden="1" customHeight="1">
      <c r="E30" s="489">
        <v>15</v>
      </c>
      <c r="F30" s="3" cm="1">
        <f t="array" aca="1" ref="F30" ca="1">OFFSET(E30,-1,1)</f>
        <v>0</v>
      </c>
      <c r="G30" s="66" t="s">
        <v>321</v>
      </c>
      <c r="H30" s="69" cm="1">
        <f t="array" ref="H30">AC30</f>
        <v>0</v>
      </c>
      <c r="I30" s="66" t="s">
        <v>1084</v>
      </c>
      <c r="T30" s="351" t="b">
        <f ca="1">AND(F30&gt;0,Y29&gt;0)</f>
        <v>0</v>
      </c>
      <c r="X30" s="946"/>
      <c r="Y30" s="946"/>
      <c r="Z30" s="1084"/>
      <c r="AA30" s="1085"/>
      <c r="AB30" s="7" t="str">
        <f>"1."&amp;Y29</f>
        <v>1.0</v>
      </c>
      <c r="AC30" s="185"/>
      <c r="AD30" s="124" t="s">
        <v>859</v>
      </c>
      <c r="AE30" s="777"/>
      <c r="AF30" s="777"/>
      <c r="AG30" s="777"/>
      <c r="AH30" s="777"/>
      <c r="AI30" s="128"/>
      <c r="AJ30" s="128"/>
      <c r="AK30" s="128"/>
      <c r="AL30" s="777"/>
      <c r="AM30" s="777"/>
      <c r="AN30" s="777"/>
      <c r="AO30" s="777"/>
      <c r="AP30" s="777"/>
      <c r="AQ30" s="777"/>
      <c r="AR30" s="777"/>
      <c r="AS30" s="128"/>
      <c r="AT30" s="128"/>
      <c r="AU30" s="128"/>
      <c r="AV30" s="777"/>
      <c r="AW30" s="777"/>
      <c r="AX30" s="777"/>
      <c r="AY30" s="777"/>
      <c r="AZ30" s="777"/>
      <c r="BA30" s="777"/>
      <c r="BB30" s="777"/>
      <c r="BC30" s="823"/>
      <c r="BF30" s="680" t="s">
        <v>1085</v>
      </c>
      <c r="BG30" s="680" t="s">
        <v>1086</v>
      </c>
      <c r="BH30" s="680" cm="1">
        <f t="array" ref="BH30">AC30</f>
        <v>0</v>
      </c>
      <c r="BJ30" s="489" t="b">
        <v>1</v>
      </c>
    </row>
    <row r="31" spans="1:62" ht="14.65" hidden="1" customHeight="1">
      <c r="E31" s="489">
        <v>15</v>
      </c>
      <c r="F31" s="3" cm="1">
        <f t="array" aca="1" ref="F31" ca="1">OFFSET(E31,-1,1)</f>
        <v>0</v>
      </c>
      <c r="G31" s="66" t="s">
        <v>507</v>
      </c>
      <c r="H31" s="69" cm="1">
        <f t="array" ref="H31">H30</f>
        <v>0</v>
      </c>
      <c r="I31" s="66" t="s">
        <v>1084</v>
      </c>
      <c r="T31" s="351" t="b" cm="1">
        <f t="array" aca="1" ref="T31" ca="1">T30</f>
        <v>0</v>
      </c>
      <c r="X31" s="946"/>
      <c r="Y31" s="946"/>
      <c r="Z31" s="1084"/>
      <c r="AA31" s="1085"/>
      <c r="AB31" s="7" t="str">
        <f>AB30&amp;".1"</f>
        <v>1.0.1</v>
      </c>
      <c r="AC31" s="134" t="s">
        <v>1087</v>
      </c>
      <c r="AD31" s="7" t="s">
        <v>585</v>
      </c>
      <c r="AE31" s="777"/>
      <c r="AF31" s="777"/>
      <c r="AG31" s="777"/>
      <c r="AH31" s="777"/>
      <c r="AI31" s="128"/>
      <c r="AJ31" s="128"/>
      <c r="AK31" s="128"/>
      <c r="AL31" s="777"/>
      <c r="AM31" s="777"/>
      <c r="AN31" s="777"/>
      <c r="AO31" s="777"/>
      <c r="AP31" s="777"/>
      <c r="AQ31" s="777"/>
      <c r="AR31" s="777"/>
      <c r="AS31" s="128"/>
      <c r="AT31" s="128"/>
      <c r="AU31" s="128"/>
      <c r="AV31" s="777"/>
      <c r="AW31" s="777"/>
      <c r="AX31" s="777"/>
      <c r="AY31" s="777"/>
      <c r="AZ31" s="777"/>
      <c r="BA31" s="777"/>
      <c r="BB31" s="777"/>
      <c r="BC31" s="823"/>
      <c r="BF31" s="680" t="s">
        <v>1088</v>
      </c>
      <c r="BG31" s="680" t="s">
        <v>1086</v>
      </c>
      <c r="BH31" s="680" cm="1">
        <f t="array" ref="BH31">BH30</f>
        <v>0</v>
      </c>
    </row>
    <row r="32" spans="1:62" ht="14.65" hidden="1" customHeight="1">
      <c r="E32" s="489">
        <v>15</v>
      </c>
      <c r="F32" s="3" cm="1">
        <f t="array" aca="1" ref="F32" ca="1">OFFSET(E32,-1,1)</f>
        <v>0</v>
      </c>
      <c r="H32" s="66" t="str">
        <f>"!=='не определено' &amp;&amp; row.l1 !== null"</f>
        <v>!=='не определено' &amp;&amp; row.l1 !== null</v>
      </c>
      <c r="T32" s="351" t="b">
        <f ca="1">F32&gt;0</f>
        <v>0</v>
      </c>
      <c r="W32" s="495" t="s">
        <v>1089</v>
      </c>
      <c r="X32" s="946"/>
      <c r="Z32" s="1084"/>
      <c r="AB32" s="492"/>
      <c r="AC32" s="145" t="s">
        <v>1090</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6"/>
      <c r="BI32" s="489" t="s">
        <v>1086</v>
      </c>
    </row>
    <row r="33" spans="5:62" ht="21.95" hidden="1" customHeight="1">
      <c r="E33" s="489">
        <v>22.5</v>
      </c>
      <c r="F33" s="3" cm="1">
        <f t="array" aca="1" ref="F33" ca="1">OFFSET(E33,-1,1)</f>
        <v>0</v>
      </c>
      <c r="K33" s="600" t="str">
        <f ca="1">F28&amp;"2komm"</f>
        <v>02komm</v>
      </c>
      <c r="L33" s="604" cm="1">
        <f t="array" ref="L33">BC33</f>
        <v>0</v>
      </c>
      <c r="T33" s="351" t="b" cm="1">
        <f t="array" aca="1" ref="T33" ca="1">T32</f>
        <v>0</v>
      </c>
      <c r="X33" s="946"/>
      <c r="Y33" s="494"/>
      <c r="Z33" s="1084"/>
      <c r="AB33" s="124">
        <v>2</v>
      </c>
      <c r="AC33" s="125" t="s">
        <v>1091</v>
      </c>
      <c r="AD33" s="124" t="s">
        <v>859</v>
      </c>
      <c r="AE33" s="126">
        <f>SUMIF(AD35:AD37,AD33,AE35:AE37)</f>
        <v>0</v>
      </c>
      <c r="AF33" s="126">
        <f>SUMIF(AD35:AD37,AD33,AF35:AF37)</f>
        <v>0</v>
      </c>
      <c r="AG33" s="126">
        <f>SUMIF(AD35:AD37,AD33,AG35:AG37)</f>
        <v>0</v>
      </c>
      <c r="AH33" s="126">
        <f>SUMIF(AD35:AD37,AD33,AH35:AH37)</f>
        <v>0</v>
      </c>
      <c r="AI33" s="126">
        <f>SUMIF(AD35:AD37,AD33,AI35:AI37)</f>
        <v>0</v>
      </c>
      <c r="AJ33" s="126">
        <f>SUMIF(AD35:AD37,AD33,AJ35:AJ37)</f>
        <v>0</v>
      </c>
      <c r="AK33" s="126">
        <f>SUMIF(AD35:AD37,AD33,AK35:AK37)</f>
        <v>0</v>
      </c>
      <c r="AL33" s="126">
        <f>SUMIF(AD35:AD37,AD33,AL35:AL37)</f>
        <v>0</v>
      </c>
      <c r="AM33" s="126">
        <f>SUMIF(AD35:AD37,AD33,AM35:AM37)</f>
        <v>0</v>
      </c>
      <c r="AN33" s="126">
        <f>SUMIF(AD35:AD37,AD33,AN35:AN37)</f>
        <v>0</v>
      </c>
      <c r="AO33" s="126">
        <f>SUMIF(AD35:AD37,AD33,AO35:AO37)</f>
        <v>0</v>
      </c>
      <c r="AP33" s="126">
        <f>SUMIF(AD35:AD37,AD33,AP35:AP37)</f>
        <v>0</v>
      </c>
      <c r="AQ33" s="126">
        <f>SUMIF(AD35:AD37,AD33,AQ35:AQ37)</f>
        <v>0</v>
      </c>
      <c r="AR33" s="126">
        <f>SUMIF(AD35:AD37,AD33,AR35:AR37)</f>
        <v>0</v>
      </c>
      <c r="AS33" s="126">
        <f>SUMIF(AD35:AD37,AD33,AS35:AS37)</f>
        <v>0</v>
      </c>
      <c r="AT33" s="126">
        <f>SUMIF(AD35:AD37,AD33,AT35:AT37)</f>
        <v>0</v>
      </c>
      <c r="AU33" s="126">
        <f>SUMIF(AD35:AD37,AD33,AU35:AU37)</f>
        <v>0</v>
      </c>
      <c r="AV33" s="126">
        <f>SUMIF(AD35:AD37,AD33,AV35:AV37)</f>
        <v>0</v>
      </c>
      <c r="AW33" s="126">
        <f>SUMIF(AD35:AD37,AD33,AW35:AW37)</f>
        <v>0</v>
      </c>
      <c r="AX33" s="126">
        <f>SUMIF(AD35:AD37,AD33,AX35:AX37)</f>
        <v>0</v>
      </c>
      <c r="AY33" s="126">
        <f>SUMIF(AD35:AD37,AD33,AY35:AY37)</f>
        <v>0</v>
      </c>
      <c r="AZ33" s="126">
        <f>SUMIF(AD35:AD37,AD33,AZ35:AZ37)</f>
        <v>0</v>
      </c>
      <c r="BA33" s="126">
        <f>SUMIF(AD35:AD37,AD33,BA35:BA37)</f>
        <v>0</v>
      </c>
      <c r="BB33" s="126">
        <f>SUMIF(AD35:AD37,AD33,BB35:BB37)</f>
        <v>0</v>
      </c>
      <c r="BC33" s="823"/>
      <c r="BF33" s="680" t="s">
        <v>1092</v>
      </c>
    </row>
    <row r="34" spans="5:62" ht="15" hidden="1" customHeight="1">
      <c r="E34" s="489">
        <v>0</v>
      </c>
      <c r="F34" s="3" cm="1">
        <f t="array" aca="1" ref="F34" ca="1">OFFSET(E34,-1,1)</f>
        <v>0</v>
      </c>
      <c r="G34" s="66" t="s">
        <v>322</v>
      </c>
      <c r="L34" s="604"/>
      <c r="T34" s="351" t="b">
        <v>0</v>
      </c>
      <c r="W34" s="66" t="s">
        <v>171</v>
      </c>
      <c r="X34" s="946"/>
      <c r="Y34" s="946">
        <v>0</v>
      </c>
      <c r="Z34" s="1084"/>
      <c r="AA34" s="1086" t="s">
        <v>172</v>
      </c>
      <c r="AB34" s="124"/>
      <c r="AC34" s="125"/>
      <c r="AD34" s="124"/>
      <c r="AE34" s="129" t="b">
        <f t="shared" ref="AE34:BB34" si="3">OR(AND(AE35&lt;&gt;"",AE36=""),AND(AE35="",AE36&lt;&gt;""))</f>
        <v>0</v>
      </c>
      <c r="AF34" s="129" t="b">
        <f t="shared" si="3"/>
        <v>0</v>
      </c>
      <c r="AG34" s="129" t="b">
        <f t="shared" si="3"/>
        <v>0</v>
      </c>
      <c r="AH34" s="129" t="b">
        <f t="shared" si="3"/>
        <v>0</v>
      </c>
      <c r="AI34" s="129" t="b">
        <f t="shared" si="3"/>
        <v>0</v>
      </c>
      <c r="AJ34" s="129" t="b">
        <f t="shared" si="3"/>
        <v>0</v>
      </c>
      <c r="AK34" s="129" t="b">
        <f t="shared" si="3"/>
        <v>0</v>
      </c>
      <c r="AL34" s="129" t="b">
        <f t="shared" si="3"/>
        <v>0</v>
      </c>
      <c r="AM34" s="129" t="b">
        <f t="shared" si="3"/>
        <v>0</v>
      </c>
      <c r="AN34" s="129" t="b">
        <f t="shared" si="3"/>
        <v>0</v>
      </c>
      <c r="AO34" s="129" t="b">
        <f t="shared" si="3"/>
        <v>0</v>
      </c>
      <c r="AP34" s="129" t="b">
        <f t="shared" si="3"/>
        <v>0</v>
      </c>
      <c r="AQ34" s="129" t="b">
        <f t="shared" si="3"/>
        <v>0</v>
      </c>
      <c r="AR34" s="129" t="b">
        <f t="shared" si="3"/>
        <v>0</v>
      </c>
      <c r="AS34" s="129" t="b">
        <f t="shared" si="3"/>
        <v>0</v>
      </c>
      <c r="AT34" s="129" t="b">
        <f t="shared" si="3"/>
        <v>0</v>
      </c>
      <c r="AU34" s="129" t="b">
        <f t="shared" si="3"/>
        <v>0</v>
      </c>
      <c r="AV34" s="129" t="b">
        <f t="shared" si="3"/>
        <v>0</v>
      </c>
      <c r="AW34" s="129" t="b">
        <f t="shared" si="3"/>
        <v>0</v>
      </c>
      <c r="AX34" s="129" t="b">
        <f t="shared" si="3"/>
        <v>0</v>
      </c>
      <c r="AY34" s="129" t="b">
        <f t="shared" si="3"/>
        <v>0</v>
      </c>
      <c r="AZ34" s="129" t="b">
        <f t="shared" si="3"/>
        <v>0</v>
      </c>
      <c r="BA34" s="129" t="b">
        <f t="shared" si="3"/>
        <v>0</v>
      </c>
      <c r="BB34" s="129" t="b">
        <f t="shared" si="3"/>
        <v>0</v>
      </c>
      <c r="BC34" s="641"/>
    </row>
    <row r="35" spans="5:62" ht="14.65" hidden="1" customHeight="1">
      <c r="E35" s="489">
        <v>15</v>
      </c>
      <c r="F35" s="3" cm="1">
        <f t="array" aca="1" ref="F35" ca="1">OFFSET(E35,-1,1)</f>
        <v>0</v>
      </c>
      <c r="G35" s="66" t="s">
        <v>322</v>
      </c>
      <c r="H35" s="69" cm="1">
        <f t="array" ref="H35">AC35</f>
        <v>0</v>
      </c>
      <c r="I35" s="66" t="s">
        <v>1093</v>
      </c>
      <c r="T35" s="351" t="b">
        <f ca="1">AND(F35&gt;0,Y34&gt;0)</f>
        <v>0</v>
      </c>
      <c r="X35" s="946"/>
      <c r="Y35" s="946"/>
      <c r="Z35" s="1084"/>
      <c r="AA35" s="1086"/>
      <c r="AB35" s="7" t="str">
        <f>"2."&amp;Y34</f>
        <v>2.0</v>
      </c>
      <c r="AC35" s="185"/>
      <c r="AD35" s="124" t="s">
        <v>859</v>
      </c>
      <c r="AE35" s="777"/>
      <c r="AF35" s="777"/>
      <c r="AG35" s="777"/>
      <c r="AH35" s="777"/>
      <c r="AI35" s="128"/>
      <c r="AJ35" s="128"/>
      <c r="AK35" s="128"/>
      <c r="AL35" s="777"/>
      <c r="AM35" s="777"/>
      <c r="AN35" s="777"/>
      <c r="AO35" s="777"/>
      <c r="AP35" s="777"/>
      <c r="AQ35" s="777"/>
      <c r="AR35" s="777"/>
      <c r="AS35" s="128"/>
      <c r="AT35" s="128"/>
      <c r="AU35" s="128"/>
      <c r="AV35" s="777"/>
      <c r="AW35" s="777"/>
      <c r="AX35" s="777"/>
      <c r="AY35" s="777"/>
      <c r="AZ35" s="777"/>
      <c r="BA35" s="777"/>
      <c r="BB35" s="777"/>
      <c r="BC35" s="823"/>
      <c r="BF35" s="680" t="s">
        <v>1085</v>
      </c>
      <c r="BG35" s="680" t="s">
        <v>1094</v>
      </c>
      <c r="BH35" s="680" cm="1">
        <f t="array" ref="BH35">AC35</f>
        <v>0</v>
      </c>
      <c r="BJ35" s="489" t="b">
        <v>1</v>
      </c>
    </row>
    <row r="36" spans="5:62" ht="14.65" hidden="1" customHeight="1">
      <c r="E36" s="489">
        <v>15</v>
      </c>
      <c r="F36" s="3" cm="1">
        <f t="array" aca="1" ref="F36" ca="1">OFFSET(E36,-1,1)</f>
        <v>0</v>
      </c>
      <c r="G36" s="66" t="s">
        <v>525</v>
      </c>
      <c r="H36" s="69" cm="1">
        <f t="array" ref="H36">H35</f>
        <v>0</v>
      </c>
      <c r="I36" s="66" t="s">
        <v>1093</v>
      </c>
      <c r="T36" s="351" t="b" cm="1">
        <f t="array" aca="1" ref="T36" ca="1">T35</f>
        <v>0</v>
      </c>
      <c r="X36" s="946"/>
      <c r="Y36" s="946"/>
      <c r="Z36" s="1084"/>
      <c r="AA36" s="1086"/>
      <c r="AB36" s="7" t="str">
        <f>AB35&amp;".1"</f>
        <v>2.0.1</v>
      </c>
      <c r="AC36" s="134" t="s">
        <v>1095</v>
      </c>
      <c r="AD36" s="7" t="s">
        <v>585</v>
      </c>
      <c r="AE36" s="777"/>
      <c r="AF36" s="777"/>
      <c r="AG36" s="777"/>
      <c r="AH36" s="777"/>
      <c r="AI36" s="128"/>
      <c r="AJ36" s="128"/>
      <c r="AK36" s="128"/>
      <c r="AL36" s="777"/>
      <c r="AM36" s="777"/>
      <c r="AN36" s="777"/>
      <c r="AO36" s="777"/>
      <c r="AP36" s="777"/>
      <c r="AQ36" s="777"/>
      <c r="AR36" s="777"/>
      <c r="AS36" s="128"/>
      <c r="AT36" s="128"/>
      <c r="AU36" s="128"/>
      <c r="AV36" s="777"/>
      <c r="AW36" s="777"/>
      <c r="AX36" s="777"/>
      <c r="AY36" s="777"/>
      <c r="AZ36" s="777"/>
      <c r="BA36" s="777"/>
      <c r="BB36" s="777"/>
      <c r="BC36" s="823"/>
      <c r="BF36" s="680" t="s">
        <v>1088</v>
      </c>
      <c r="BG36" s="680" t="s">
        <v>1094</v>
      </c>
      <c r="BH36" s="680" cm="1">
        <f t="array" ref="BH36">BH35</f>
        <v>0</v>
      </c>
    </row>
    <row r="37" spans="5:62" ht="14.65" hidden="1" customHeight="1">
      <c r="E37" s="489">
        <v>15</v>
      </c>
      <c r="F37" s="3" cm="1">
        <f t="array" aca="1" ref="F37" ca="1">OFFSET(E37,-1,1)</f>
        <v>0</v>
      </c>
      <c r="H37" s="66" t="str">
        <f>"!=='не определено' &amp;&amp; row.l2 !== null"</f>
        <v>!=='не определено' &amp;&amp; row.l2 !== null</v>
      </c>
      <c r="T37" s="351" t="b">
        <f ca="1">F37&gt;0</f>
        <v>0</v>
      </c>
      <c r="W37" s="495" t="s">
        <v>1089</v>
      </c>
      <c r="X37" s="946"/>
      <c r="Y37" s="493"/>
      <c r="Z37" s="1084"/>
      <c r="AB37" s="492"/>
      <c r="AC37" s="145" t="s">
        <v>1090</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6"/>
      <c r="BI37" s="489" t="s">
        <v>1094</v>
      </c>
    </row>
    <row r="38" spans="5:62" ht="22.35" hidden="1" customHeight="1">
      <c r="E38" s="489">
        <v>23</v>
      </c>
      <c r="F38" s="3" cm="1">
        <f t="array" aca="1" ref="F38" ca="1">OFFSET(E38,-1,1)</f>
        <v>0</v>
      </c>
      <c r="K38" s="600" t="str">
        <f ca="1">F28&amp;"3komm"</f>
        <v>03komm</v>
      </c>
      <c r="L38" s="604" cm="1">
        <f t="array" ref="L38">BC38</f>
        <v>0</v>
      </c>
      <c r="T38" s="351" t="b" cm="1">
        <f t="array" aca="1" ref="T38" ca="1">T37</f>
        <v>0</v>
      </c>
      <c r="X38" s="946"/>
      <c r="Y38" s="494"/>
      <c r="Z38" s="1084"/>
      <c r="AB38" s="124">
        <v>3</v>
      </c>
      <c r="AC38" s="125" t="s">
        <v>1096</v>
      </c>
      <c r="AD38" s="124" t="s">
        <v>859</v>
      </c>
      <c r="AE38" s="126">
        <f>SUMIF(AD40:AD42,AD38,AE40:AE42)</f>
        <v>0</v>
      </c>
      <c r="AF38" s="126">
        <f>SUMIF(AD40:AD42,AD38,AF40:AF42)</f>
        <v>0</v>
      </c>
      <c r="AG38" s="126">
        <f>SUMIF(AD40:AD42,AD38,AG40:AG42)</f>
        <v>0</v>
      </c>
      <c r="AH38" s="126">
        <f>SUMIF(AD40:AD42,AD38,AH40:AH42)</f>
        <v>0</v>
      </c>
      <c r="AI38" s="126">
        <f>SUMIF(AD40:AD42,AD38,AI40:AI42)</f>
        <v>0</v>
      </c>
      <c r="AJ38" s="126">
        <f>SUMIF(AD40:AD42,AD38,AJ40:AJ42)</f>
        <v>0</v>
      </c>
      <c r="AK38" s="126">
        <f>SUMIF(AD40:AD42,AD38,AK40:AK42)</f>
        <v>0</v>
      </c>
      <c r="AL38" s="126">
        <f>SUMIF(AD40:AD42,AD38,AL40:AL42)</f>
        <v>0</v>
      </c>
      <c r="AM38" s="126">
        <f>SUMIF(AD40:AD42,AD38,AM40:AM42)</f>
        <v>0</v>
      </c>
      <c r="AN38" s="126">
        <f>SUMIF(AD40:AD42,AD38,AN40:AN42)</f>
        <v>0</v>
      </c>
      <c r="AO38" s="126">
        <f>SUMIF(AD40:AD42,AD38,AO40:AO42)</f>
        <v>0</v>
      </c>
      <c r="AP38" s="126">
        <f>SUMIF(AD40:AD42,AD38,AP40:AP42)</f>
        <v>0</v>
      </c>
      <c r="AQ38" s="126">
        <f>SUMIF(AD40:AD42,AD38,AQ40:AQ42)</f>
        <v>0</v>
      </c>
      <c r="AR38" s="126">
        <f>SUMIF(AD40:AD42,AD38,AR40:AR42)</f>
        <v>0</v>
      </c>
      <c r="AS38" s="126">
        <f>SUMIF(AD40:AD42,AD38,AS40:AS42)</f>
        <v>0</v>
      </c>
      <c r="AT38" s="126">
        <f>SUMIF(AD40:AD42,AD38,AT40:AT42)</f>
        <v>0</v>
      </c>
      <c r="AU38" s="126">
        <f>SUMIF(AD40:AD42,AD38,AU40:AU42)</f>
        <v>0</v>
      </c>
      <c r="AV38" s="126">
        <f>SUMIF(AD40:AD42,AD38,AV40:AV42)</f>
        <v>0</v>
      </c>
      <c r="AW38" s="126">
        <f>SUMIF(AD40:AD42,AD38,AW40:AW42)</f>
        <v>0</v>
      </c>
      <c r="AX38" s="126">
        <f>SUMIF(AD40:AD42,AD38,AX40:AX42)</f>
        <v>0</v>
      </c>
      <c r="AY38" s="126">
        <f>SUMIF(AD40:AD42,AD38,AY40:AY42)</f>
        <v>0</v>
      </c>
      <c r="AZ38" s="126">
        <f>SUMIF(AD40:AD42,AD38,AZ40:AZ42)</f>
        <v>0</v>
      </c>
      <c r="BA38" s="126">
        <f>SUMIF(AD40:AD42,AD38,BA40:BA42)</f>
        <v>0</v>
      </c>
      <c r="BB38" s="126">
        <f>SUMIF(AD40:AD42,AD38,BB40:BB42)</f>
        <v>0</v>
      </c>
      <c r="BC38" s="823"/>
      <c r="BF38" s="680" t="s">
        <v>1097</v>
      </c>
    </row>
    <row r="39" spans="5:62" ht="15" hidden="1" customHeight="1">
      <c r="E39" s="489">
        <v>0</v>
      </c>
      <c r="F39" s="3" cm="1">
        <f t="array" aca="1" ref="F39" ca="1">OFFSET(E39,-1,1)</f>
        <v>0</v>
      </c>
      <c r="G39" s="66" t="s">
        <v>323</v>
      </c>
      <c r="L39" s="604"/>
      <c r="T39" s="351" t="b">
        <v>0</v>
      </c>
      <c r="W39" s="66" t="s">
        <v>171</v>
      </c>
      <c r="X39" s="946"/>
      <c r="Y39" s="946">
        <v>0</v>
      </c>
      <c r="Z39" s="1084"/>
      <c r="AA39" s="1086" t="s">
        <v>172</v>
      </c>
      <c r="AB39" s="124"/>
      <c r="AC39" s="125"/>
      <c r="AD39" s="124"/>
      <c r="AE39" s="129" t="b">
        <f t="shared" ref="AE39:BB39" si="4">OR(AND(AE40&lt;&gt;"",AE41=""),AND(AE40="",AE41&lt;&gt;""))</f>
        <v>0</v>
      </c>
      <c r="AF39" s="129" t="b">
        <f t="shared" si="4"/>
        <v>0</v>
      </c>
      <c r="AG39" s="129" t="b">
        <f t="shared" si="4"/>
        <v>0</v>
      </c>
      <c r="AH39" s="129" t="b">
        <f t="shared" si="4"/>
        <v>0</v>
      </c>
      <c r="AI39" s="129" t="b">
        <f t="shared" si="4"/>
        <v>0</v>
      </c>
      <c r="AJ39" s="129" t="b">
        <f t="shared" si="4"/>
        <v>0</v>
      </c>
      <c r="AK39" s="129" t="b">
        <f t="shared" si="4"/>
        <v>0</v>
      </c>
      <c r="AL39" s="129" t="b">
        <f t="shared" si="4"/>
        <v>0</v>
      </c>
      <c r="AM39" s="129" t="b">
        <f t="shared" si="4"/>
        <v>0</v>
      </c>
      <c r="AN39" s="129" t="b">
        <f t="shared" si="4"/>
        <v>0</v>
      </c>
      <c r="AO39" s="129" t="b">
        <f t="shared" si="4"/>
        <v>0</v>
      </c>
      <c r="AP39" s="129" t="b">
        <f t="shared" si="4"/>
        <v>0</v>
      </c>
      <c r="AQ39" s="129" t="b">
        <f t="shared" si="4"/>
        <v>0</v>
      </c>
      <c r="AR39" s="129" t="b">
        <f t="shared" si="4"/>
        <v>0</v>
      </c>
      <c r="AS39" s="129" t="b">
        <f t="shared" si="4"/>
        <v>0</v>
      </c>
      <c r="AT39" s="129" t="b">
        <f t="shared" si="4"/>
        <v>0</v>
      </c>
      <c r="AU39" s="129" t="b">
        <f t="shared" si="4"/>
        <v>0</v>
      </c>
      <c r="AV39" s="129" t="b">
        <f t="shared" si="4"/>
        <v>0</v>
      </c>
      <c r="AW39" s="129" t="b">
        <f t="shared" si="4"/>
        <v>0</v>
      </c>
      <c r="AX39" s="129" t="b">
        <f t="shared" si="4"/>
        <v>0</v>
      </c>
      <c r="AY39" s="129" t="b">
        <f t="shared" si="4"/>
        <v>0</v>
      </c>
      <c r="AZ39" s="129" t="b">
        <f t="shared" si="4"/>
        <v>0</v>
      </c>
      <c r="BA39" s="129" t="b">
        <f t="shared" si="4"/>
        <v>0</v>
      </c>
      <c r="BB39" s="129" t="b">
        <f t="shared" si="4"/>
        <v>0</v>
      </c>
      <c r="BC39" s="641"/>
    </row>
    <row r="40" spans="5:62" ht="14.65" hidden="1" customHeight="1">
      <c r="E40" s="489">
        <v>15</v>
      </c>
      <c r="F40" s="3" cm="1">
        <f t="array" aca="1" ref="F40" ca="1">OFFSET(E40,-1,1)</f>
        <v>0</v>
      </c>
      <c r="G40" s="66" t="s">
        <v>323</v>
      </c>
      <c r="H40" s="69" cm="1">
        <f t="array" ref="H40">AC40</f>
        <v>0</v>
      </c>
      <c r="I40" s="66" t="s">
        <v>1098</v>
      </c>
      <c r="T40" s="351" t="b">
        <f ca="1">AND(F40&gt;0,Y39&gt;0)</f>
        <v>0</v>
      </c>
      <c r="X40" s="946"/>
      <c r="Y40" s="946"/>
      <c r="Z40" s="1084"/>
      <c r="AA40" s="1086"/>
      <c r="AB40" s="7" t="str">
        <f>"3."&amp;Y39</f>
        <v>3.0</v>
      </c>
      <c r="AC40" s="185"/>
      <c r="AD40" s="124" t="s">
        <v>859</v>
      </c>
      <c r="AE40" s="777"/>
      <c r="AF40" s="777"/>
      <c r="AG40" s="777"/>
      <c r="AH40" s="777"/>
      <c r="AI40" s="128"/>
      <c r="AJ40" s="128"/>
      <c r="AK40" s="128"/>
      <c r="AL40" s="777"/>
      <c r="AM40" s="777"/>
      <c r="AN40" s="777"/>
      <c r="AO40" s="777"/>
      <c r="AP40" s="777"/>
      <c r="AQ40" s="777"/>
      <c r="AR40" s="777"/>
      <c r="AS40" s="128"/>
      <c r="AT40" s="128"/>
      <c r="AU40" s="128"/>
      <c r="AV40" s="777"/>
      <c r="AW40" s="777"/>
      <c r="AX40" s="777"/>
      <c r="AY40" s="777"/>
      <c r="AZ40" s="777"/>
      <c r="BA40" s="777"/>
      <c r="BB40" s="777"/>
      <c r="BC40" s="823"/>
      <c r="BF40" s="680" t="s">
        <v>1085</v>
      </c>
      <c r="BG40" s="680" t="s">
        <v>1099</v>
      </c>
      <c r="BH40" s="680" cm="1">
        <f t="array" ref="BH40">AC40</f>
        <v>0</v>
      </c>
      <c r="BJ40" s="489" t="b">
        <v>1</v>
      </c>
    </row>
    <row r="41" spans="5:62" ht="14.65" hidden="1" customHeight="1">
      <c r="E41" s="489">
        <v>15</v>
      </c>
      <c r="F41" s="3" cm="1">
        <f t="array" aca="1" ref="F41" ca="1">OFFSET(E41,-1,1)</f>
        <v>0</v>
      </c>
      <c r="G41" s="66" t="s">
        <v>966</v>
      </c>
      <c r="H41" s="69" cm="1">
        <f t="array" ref="H41">H40</f>
        <v>0</v>
      </c>
      <c r="I41" s="66" t="s">
        <v>1098</v>
      </c>
      <c r="T41" s="351" t="b" cm="1">
        <f t="array" aca="1" ref="T41" ca="1">T40</f>
        <v>0</v>
      </c>
      <c r="X41" s="946"/>
      <c r="Y41" s="946"/>
      <c r="Z41" s="1084"/>
      <c r="AA41" s="1086"/>
      <c r="AB41" s="7" t="str">
        <f>AB40&amp;".1"</f>
        <v>3.0.1</v>
      </c>
      <c r="AC41" s="134" t="s">
        <v>1100</v>
      </c>
      <c r="AD41" s="7" t="s">
        <v>585</v>
      </c>
      <c r="AE41" s="777"/>
      <c r="AF41" s="777"/>
      <c r="AG41" s="777"/>
      <c r="AH41" s="777"/>
      <c r="AI41" s="128"/>
      <c r="AJ41" s="128"/>
      <c r="AK41" s="128"/>
      <c r="AL41" s="777"/>
      <c r="AM41" s="777"/>
      <c r="AN41" s="777"/>
      <c r="AO41" s="777"/>
      <c r="AP41" s="777"/>
      <c r="AQ41" s="777"/>
      <c r="AR41" s="777"/>
      <c r="AS41" s="128"/>
      <c r="AT41" s="128"/>
      <c r="AU41" s="128"/>
      <c r="AV41" s="777"/>
      <c r="AW41" s="777"/>
      <c r="AX41" s="777"/>
      <c r="AY41" s="777"/>
      <c r="AZ41" s="777"/>
      <c r="BA41" s="777"/>
      <c r="BB41" s="777"/>
      <c r="BC41" s="823"/>
      <c r="BF41" s="680" t="s">
        <v>1088</v>
      </c>
      <c r="BG41" s="680" t="s">
        <v>1099</v>
      </c>
      <c r="BH41" s="680" cm="1">
        <f t="array" ref="BH41">BH40</f>
        <v>0</v>
      </c>
    </row>
    <row r="42" spans="5:62" ht="14.65" hidden="1" customHeight="1">
      <c r="E42" s="489">
        <v>15</v>
      </c>
      <c r="F42" s="3" cm="1">
        <f t="array" aca="1" ref="F42" ca="1">OFFSET(E42,-1,1)</f>
        <v>0</v>
      </c>
      <c r="H42" s="66" t="str">
        <f>"!=='не определено' &amp;&amp; row.l3 !== null"</f>
        <v>!=='не определено' &amp;&amp; row.l3 !== null</v>
      </c>
      <c r="T42" s="351" t="b">
        <f ca="1">F42&gt;0</f>
        <v>0</v>
      </c>
      <c r="W42" s="495" t="s">
        <v>1101</v>
      </c>
      <c r="X42" s="946"/>
      <c r="Y42" s="493"/>
      <c r="Z42" s="1084"/>
      <c r="AB42" s="492"/>
      <c r="AC42" s="145" t="s">
        <v>1090</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6"/>
      <c r="BI42" s="489" t="s">
        <v>1099</v>
      </c>
    </row>
    <row r="43" spans="5:62" ht="22.35" hidden="1" customHeight="1">
      <c r="E43" s="489">
        <v>23</v>
      </c>
      <c r="F43" s="3" cm="1">
        <f t="array" aca="1" ref="F43" ca="1">OFFSET(E43,-1,1)</f>
        <v>0</v>
      </c>
      <c r="K43" s="600" t="str">
        <f ca="1">F28&amp;"4komm"</f>
        <v>04komm</v>
      </c>
      <c r="L43" s="604" cm="1">
        <f t="array" ref="L43">BC43</f>
        <v>0</v>
      </c>
      <c r="T43" s="351" t="b" cm="1">
        <f t="array" aca="1" ref="T43" ca="1">T42</f>
        <v>0</v>
      </c>
      <c r="X43" s="946"/>
      <c r="Y43" s="494"/>
      <c r="Z43" s="1084"/>
      <c r="AB43" s="124">
        <v>4</v>
      </c>
      <c r="AC43" s="125" t="s">
        <v>1102</v>
      </c>
      <c r="AD43" s="124" t="s">
        <v>859</v>
      </c>
      <c r="AE43" s="126">
        <f>SUMIF(AD45:AD47,AD43,AE45:AE47)</f>
        <v>0</v>
      </c>
      <c r="AF43" s="126">
        <f>SUMIF(AD45:AD47,AD43,AF45:AF47)</f>
        <v>0</v>
      </c>
      <c r="AG43" s="126">
        <f>SUMIF(AD45:AD47,AD43,AG45:AG47)</f>
        <v>0</v>
      </c>
      <c r="AH43" s="126">
        <f>SUMIF(AD45:AD47,AD43,AH45:AH47)</f>
        <v>0</v>
      </c>
      <c r="AI43" s="126">
        <f>SUMIF(AD45:AD47,AD43,AI45:AI47)</f>
        <v>0</v>
      </c>
      <c r="AJ43" s="126">
        <f>SUMIF(AD45:AD47,AD43,AJ45:AJ47)</f>
        <v>0</v>
      </c>
      <c r="AK43" s="126">
        <f>SUMIF(AD45:AD47,AD43,AK45:AK47)</f>
        <v>0</v>
      </c>
      <c r="AL43" s="126">
        <f>SUMIF(AD45:AD47,AD43,AL45:AL47)</f>
        <v>0</v>
      </c>
      <c r="AM43" s="126">
        <f>SUMIF(AD45:AD47,AD43,AM45:AM47)</f>
        <v>0</v>
      </c>
      <c r="AN43" s="126">
        <f>SUMIF(AD45:AD47,AD43,AN45:AN47)</f>
        <v>0</v>
      </c>
      <c r="AO43" s="126">
        <f>SUMIF(AD45:AD47,AD43,AO45:AO47)</f>
        <v>0</v>
      </c>
      <c r="AP43" s="126">
        <f>SUMIF(AD45:AD47,AD43,AP45:AP47)</f>
        <v>0</v>
      </c>
      <c r="AQ43" s="126">
        <f>SUMIF(AD45:AD47,AD43,AQ45:AQ47)</f>
        <v>0</v>
      </c>
      <c r="AR43" s="126">
        <f>SUMIF(AD45:AD47,AD43,AR45:AR47)</f>
        <v>0</v>
      </c>
      <c r="AS43" s="126">
        <f>SUMIF(AD45:AD47,AD43,AS45:AS47)</f>
        <v>0</v>
      </c>
      <c r="AT43" s="126">
        <f>SUMIF(AD45:AD47,AD43,AT45:AT47)</f>
        <v>0</v>
      </c>
      <c r="AU43" s="126">
        <f>SUMIF(AD45:AD47,AD43,AU45:AU47)</f>
        <v>0</v>
      </c>
      <c r="AV43" s="126">
        <f>SUMIF(AD45:AD47,AD43,AV45:AV47)</f>
        <v>0</v>
      </c>
      <c r="AW43" s="126">
        <f>SUMIF(AD45:AD47,AD43,AW45:AW47)</f>
        <v>0</v>
      </c>
      <c r="AX43" s="126">
        <f>SUMIF(AD45:AD47,AD43,AX45:AX47)</f>
        <v>0</v>
      </c>
      <c r="AY43" s="126">
        <f>SUMIF(AD45:AD47,AD43,AY45:AY47)</f>
        <v>0</v>
      </c>
      <c r="AZ43" s="126">
        <f>SUMIF(AD45:AD47,AD43,AZ45:AZ47)</f>
        <v>0</v>
      </c>
      <c r="BA43" s="126">
        <f>SUMIF(AD45:AD47,AD43,BA45:BA47)</f>
        <v>0</v>
      </c>
      <c r="BB43" s="126">
        <f>SUMIF(AD45:AD47,AD43,BB45:BB47)</f>
        <v>0</v>
      </c>
      <c r="BC43" s="823"/>
      <c r="BF43" s="680" t="s">
        <v>1103</v>
      </c>
    </row>
    <row r="44" spans="5:62" ht="15" hidden="1" customHeight="1">
      <c r="E44" s="489">
        <v>0</v>
      </c>
      <c r="F44" s="3" cm="1">
        <f t="array" aca="1" ref="F44" ca="1">OFFSET(E44,-1,1)</f>
        <v>0</v>
      </c>
      <c r="G44" s="66" t="s">
        <v>325</v>
      </c>
      <c r="L44" s="604"/>
      <c r="T44" s="351" t="b">
        <v>0</v>
      </c>
      <c r="W44" s="66" t="s">
        <v>171</v>
      </c>
      <c r="X44" s="946"/>
      <c r="Y44" s="946">
        <v>0</v>
      </c>
      <c r="Z44" s="1084"/>
      <c r="AA44" s="1086" t="s">
        <v>172</v>
      </c>
      <c r="AB44" s="124"/>
      <c r="AC44" s="125"/>
      <c r="AD44" s="124"/>
      <c r="AE44" s="129" t="b">
        <f t="shared" ref="AE44:BB44" si="5">OR(AND(AE45&lt;&gt;"",AE46=""),AND(AE45="",AE46&lt;&gt;""))</f>
        <v>0</v>
      </c>
      <c r="AF44" s="129" t="b">
        <f t="shared" si="5"/>
        <v>0</v>
      </c>
      <c r="AG44" s="129" t="b">
        <f t="shared" si="5"/>
        <v>0</v>
      </c>
      <c r="AH44" s="129" t="b">
        <f t="shared" si="5"/>
        <v>0</v>
      </c>
      <c r="AI44" s="129" t="b">
        <f t="shared" si="5"/>
        <v>0</v>
      </c>
      <c r="AJ44" s="129" t="b">
        <f t="shared" si="5"/>
        <v>0</v>
      </c>
      <c r="AK44" s="129" t="b">
        <f t="shared" si="5"/>
        <v>0</v>
      </c>
      <c r="AL44" s="129" t="b">
        <f t="shared" si="5"/>
        <v>0</v>
      </c>
      <c r="AM44" s="129" t="b">
        <f t="shared" si="5"/>
        <v>0</v>
      </c>
      <c r="AN44" s="129" t="b">
        <f t="shared" si="5"/>
        <v>0</v>
      </c>
      <c r="AO44" s="129" t="b">
        <f t="shared" si="5"/>
        <v>0</v>
      </c>
      <c r="AP44" s="129" t="b">
        <f t="shared" si="5"/>
        <v>0</v>
      </c>
      <c r="AQ44" s="129" t="b">
        <f t="shared" si="5"/>
        <v>0</v>
      </c>
      <c r="AR44" s="129" t="b">
        <f t="shared" si="5"/>
        <v>0</v>
      </c>
      <c r="AS44" s="129" t="b">
        <f t="shared" si="5"/>
        <v>0</v>
      </c>
      <c r="AT44" s="129" t="b">
        <f t="shared" si="5"/>
        <v>0</v>
      </c>
      <c r="AU44" s="129" t="b">
        <f t="shared" si="5"/>
        <v>0</v>
      </c>
      <c r="AV44" s="129" t="b">
        <f t="shared" si="5"/>
        <v>0</v>
      </c>
      <c r="AW44" s="129" t="b">
        <f t="shared" si="5"/>
        <v>0</v>
      </c>
      <c r="AX44" s="129" t="b">
        <f t="shared" si="5"/>
        <v>0</v>
      </c>
      <c r="AY44" s="129" t="b">
        <f t="shared" si="5"/>
        <v>0</v>
      </c>
      <c r="AZ44" s="129" t="b">
        <f t="shared" si="5"/>
        <v>0</v>
      </c>
      <c r="BA44" s="129" t="b">
        <f t="shared" si="5"/>
        <v>0</v>
      </c>
      <c r="BB44" s="129" t="b">
        <f t="shared" si="5"/>
        <v>0</v>
      </c>
      <c r="BC44" s="641"/>
    </row>
    <row r="45" spans="5:62" ht="14.65" hidden="1" customHeight="1">
      <c r="E45" s="489">
        <v>15</v>
      </c>
      <c r="F45" s="3" cm="1">
        <f t="array" aca="1" ref="F45" ca="1">OFFSET(E45,-1,1)</f>
        <v>0</v>
      </c>
      <c r="G45" s="66" t="s">
        <v>325</v>
      </c>
      <c r="H45" s="69" cm="1">
        <f t="array" ref="H45">AC45</f>
        <v>0</v>
      </c>
      <c r="I45" s="66" t="s">
        <v>1104</v>
      </c>
      <c r="T45" s="351" t="b">
        <f ca="1">AND(F45&gt;0,Y44&gt;0)</f>
        <v>0</v>
      </c>
      <c r="X45" s="946"/>
      <c r="Y45" s="946"/>
      <c r="Z45" s="1084"/>
      <c r="AA45" s="1086"/>
      <c r="AB45" s="7" t="str">
        <f>"4."&amp;Y44</f>
        <v>4.0</v>
      </c>
      <c r="AC45" s="185"/>
      <c r="AD45" s="124" t="s">
        <v>859</v>
      </c>
      <c r="AE45" s="777"/>
      <c r="AF45" s="777"/>
      <c r="AG45" s="777"/>
      <c r="AH45" s="777"/>
      <c r="AI45" s="128"/>
      <c r="AJ45" s="128"/>
      <c r="AK45" s="128"/>
      <c r="AL45" s="777"/>
      <c r="AM45" s="777"/>
      <c r="AN45" s="777"/>
      <c r="AO45" s="777"/>
      <c r="AP45" s="777"/>
      <c r="AQ45" s="777"/>
      <c r="AR45" s="777"/>
      <c r="AS45" s="128"/>
      <c r="AT45" s="128"/>
      <c r="AU45" s="128"/>
      <c r="AV45" s="777"/>
      <c r="AW45" s="777"/>
      <c r="AX45" s="777"/>
      <c r="AY45" s="777"/>
      <c r="AZ45" s="777"/>
      <c r="BA45" s="777"/>
      <c r="BB45" s="777"/>
      <c r="BC45" s="823"/>
      <c r="BF45" s="680" t="s">
        <v>1085</v>
      </c>
      <c r="BG45" s="680" t="s">
        <v>1105</v>
      </c>
      <c r="BH45" s="680" cm="1">
        <f t="array" ref="BH45">AC45</f>
        <v>0</v>
      </c>
      <c r="BJ45" s="489" t="b">
        <v>1</v>
      </c>
    </row>
    <row r="46" spans="5:62" ht="14.65" hidden="1" customHeight="1">
      <c r="E46" s="489">
        <v>15</v>
      </c>
      <c r="F46" s="3" cm="1">
        <f t="array" aca="1" ref="F46" ca="1">OFFSET(E46,-1,1)</f>
        <v>0</v>
      </c>
      <c r="G46" s="66" t="s">
        <v>587</v>
      </c>
      <c r="H46" s="69" cm="1">
        <f t="array" ref="H46">H45</f>
        <v>0</v>
      </c>
      <c r="I46" s="66" t="s">
        <v>1104</v>
      </c>
      <c r="T46" s="351" t="b" cm="1">
        <f t="array" aca="1" ref="T46" ca="1">T45</f>
        <v>0</v>
      </c>
      <c r="X46" s="946"/>
      <c r="Y46" s="946"/>
      <c r="Z46" s="1084"/>
      <c r="AA46" s="1086"/>
      <c r="AB46" s="7" t="str">
        <f>AB45&amp;".1"</f>
        <v>4.0.1</v>
      </c>
      <c r="AC46" s="134" t="s">
        <v>1106</v>
      </c>
      <c r="AD46" s="7" t="s">
        <v>585</v>
      </c>
      <c r="AE46" s="777"/>
      <c r="AF46" s="777"/>
      <c r="AG46" s="777"/>
      <c r="AH46" s="777"/>
      <c r="AI46" s="128"/>
      <c r="AJ46" s="128"/>
      <c r="AK46" s="128"/>
      <c r="AL46" s="777"/>
      <c r="AM46" s="777"/>
      <c r="AN46" s="777"/>
      <c r="AO46" s="777"/>
      <c r="AP46" s="777"/>
      <c r="AQ46" s="777"/>
      <c r="AR46" s="777"/>
      <c r="AS46" s="128"/>
      <c r="AT46" s="128"/>
      <c r="AU46" s="128"/>
      <c r="AV46" s="777"/>
      <c r="AW46" s="777"/>
      <c r="AX46" s="777"/>
      <c r="AY46" s="777"/>
      <c r="AZ46" s="777"/>
      <c r="BA46" s="777"/>
      <c r="BB46" s="777"/>
      <c r="BC46" s="823"/>
      <c r="BF46" s="680" t="s">
        <v>1088</v>
      </c>
      <c r="BG46" s="680" t="s">
        <v>1105</v>
      </c>
      <c r="BH46" s="680" cm="1">
        <f t="array" ref="BH46">BH45</f>
        <v>0</v>
      </c>
    </row>
    <row r="47" spans="5:62" ht="14.65" hidden="1" customHeight="1">
      <c r="E47" s="489">
        <v>15</v>
      </c>
      <c r="F47" s="3" cm="1">
        <f t="array" aca="1" ref="F47" ca="1">OFFSET(E47,-1,1)</f>
        <v>0</v>
      </c>
      <c r="H47" s="66" t="str">
        <f>"!=='не определено' &amp;&amp; row.l4 !== null"</f>
        <v>!=='не определено' &amp;&amp; row.l4 !== null</v>
      </c>
      <c r="T47" s="351" t="b">
        <f ca="1">F47&gt;0</f>
        <v>0</v>
      </c>
      <c r="W47" s="495" t="s">
        <v>1107</v>
      </c>
      <c r="X47" s="946"/>
      <c r="Y47" s="493"/>
      <c r="Z47" s="1084"/>
      <c r="AB47" s="492"/>
      <c r="AC47" s="145" t="s">
        <v>1090</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6"/>
      <c r="BI47" s="489" t="s">
        <v>1105</v>
      </c>
    </row>
    <row r="48" spans="5:62" ht="22.35" hidden="1" customHeight="1">
      <c r="E48" s="489">
        <v>23</v>
      </c>
      <c r="F48" s="3" cm="1">
        <f t="array" aca="1" ref="F48" ca="1">OFFSET(E48,-1,1)</f>
        <v>0</v>
      </c>
      <c r="K48" s="600" t="str">
        <f ca="1">F28&amp;"5komm"</f>
        <v>05komm</v>
      </c>
      <c r="L48" s="604" cm="1">
        <f t="array" ref="L48">BC48</f>
        <v>0</v>
      </c>
      <c r="T48" s="351" t="b" cm="1">
        <f t="array" aca="1" ref="T48" ca="1">T47</f>
        <v>0</v>
      </c>
      <c r="X48" s="946"/>
      <c r="Y48" s="494"/>
      <c r="Z48" s="1084"/>
      <c r="AB48" s="124">
        <v>5</v>
      </c>
      <c r="AC48" s="125" t="s">
        <v>1108</v>
      </c>
      <c r="AD48" s="124" t="s">
        <v>859</v>
      </c>
      <c r="AE48" s="126">
        <f>SUMIF(AD50:AD52,AD48,AE50:AE52)</f>
        <v>0</v>
      </c>
      <c r="AF48" s="126">
        <f>SUMIF(AD50:AD52,AD48,AF50:AF52)</f>
        <v>0</v>
      </c>
      <c r="AG48" s="126">
        <f>SUMIF(AD50:AD52,AD48,AG50:AG52)</f>
        <v>0</v>
      </c>
      <c r="AH48" s="126">
        <f>SUMIF(AD50:AD52,AD48,AH50:AH52)</f>
        <v>0</v>
      </c>
      <c r="AI48" s="126">
        <f>SUMIF(AD50:AD52,AD48,AI50:AI52)</f>
        <v>0</v>
      </c>
      <c r="AJ48" s="126">
        <f>SUMIF(AD50:AD52,AD48,AJ50:AJ52)</f>
        <v>0</v>
      </c>
      <c r="AK48" s="126">
        <f>SUMIF(AD50:AD52,AD48,AK50:AK52)</f>
        <v>0</v>
      </c>
      <c r="AL48" s="126">
        <f>SUMIF(AD50:AD52,AD48,AL50:AL52)</f>
        <v>0</v>
      </c>
      <c r="AM48" s="126">
        <f>SUMIF(AD50:AD52,AD48,AM50:AM52)</f>
        <v>0</v>
      </c>
      <c r="AN48" s="126">
        <f>SUMIF(AD50:AD52,AD48,AN50:AN52)</f>
        <v>0</v>
      </c>
      <c r="AO48" s="126">
        <f>SUMIF(AD50:AD52,AD48,AO50:AO52)</f>
        <v>0</v>
      </c>
      <c r="AP48" s="126">
        <f>SUMIF(AD50:AD52,AD48,AP50:AP52)</f>
        <v>0</v>
      </c>
      <c r="AQ48" s="126">
        <f>SUMIF(AD50:AD52,AD48,AQ50:AQ52)</f>
        <v>0</v>
      </c>
      <c r="AR48" s="126">
        <f>SUMIF(AD50:AD52,AD48,AR50:AR52)</f>
        <v>0</v>
      </c>
      <c r="AS48" s="126">
        <f>SUMIF(AD50:AD52,AD48,AS50:AS52)</f>
        <v>0</v>
      </c>
      <c r="AT48" s="126">
        <f>SUMIF(AD50:AD52,AD48,AT50:AT52)</f>
        <v>0</v>
      </c>
      <c r="AU48" s="126">
        <f>SUMIF(AD50:AD52,AD48,AU50:AU52)</f>
        <v>0</v>
      </c>
      <c r="AV48" s="126">
        <f>SUMIF(AD50:AD52,AD48,AV50:AV52)</f>
        <v>0</v>
      </c>
      <c r="AW48" s="126">
        <f>SUMIF(AD50:AD52,AD48,AW50:AW52)</f>
        <v>0</v>
      </c>
      <c r="AX48" s="126">
        <f>SUMIF(AD50:AD52,AD48,AX50:AX52)</f>
        <v>0</v>
      </c>
      <c r="AY48" s="126">
        <f>SUMIF(AD50:AD52,AD48,AY50:AY52)</f>
        <v>0</v>
      </c>
      <c r="AZ48" s="126">
        <f>SUMIF(AD50:AD52,AD48,AZ50:AZ52)</f>
        <v>0</v>
      </c>
      <c r="BA48" s="126">
        <f>SUMIF(AD50:AD52,AD48,BA50:BA52)</f>
        <v>0</v>
      </c>
      <c r="BB48" s="126">
        <f>SUMIF(AD50:AD52,AD48,BB50:BB52)</f>
        <v>0</v>
      </c>
      <c r="BC48" s="823"/>
      <c r="BF48" s="680" t="s">
        <v>1109</v>
      </c>
    </row>
    <row r="49" spans="2:62" ht="15" hidden="1" customHeight="1">
      <c r="E49" s="489">
        <v>0</v>
      </c>
      <c r="F49" s="3" cm="1">
        <f t="array" aca="1" ref="F49" ca="1">OFFSET(E49,-1,1)</f>
        <v>0</v>
      </c>
      <c r="G49" s="66" t="s">
        <v>324</v>
      </c>
      <c r="L49" s="604"/>
      <c r="T49" s="351" t="b">
        <v>0</v>
      </c>
      <c r="W49" s="66" t="s">
        <v>171</v>
      </c>
      <c r="X49" s="946"/>
      <c r="Y49" s="946">
        <v>0</v>
      </c>
      <c r="Z49" s="1084"/>
      <c r="AA49" s="1086" t="s">
        <v>172</v>
      </c>
      <c r="AB49" s="124"/>
      <c r="AC49" s="125"/>
      <c r="AD49" s="124"/>
      <c r="AE49" s="129" t="b">
        <f t="shared" ref="AE49:BB49" si="6">OR(AND(AE50&lt;&gt;"",AE51=""),AND(AE50="",AE51&lt;&gt;""))</f>
        <v>0</v>
      </c>
      <c r="AF49" s="129" t="b">
        <f t="shared" si="6"/>
        <v>0</v>
      </c>
      <c r="AG49" s="129" t="b">
        <f t="shared" si="6"/>
        <v>0</v>
      </c>
      <c r="AH49" s="129" t="b">
        <f t="shared" si="6"/>
        <v>0</v>
      </c>
      <c r="AI49" s="129" t="b">
        <f t="shared" si="6"/>
        <v>0</v>
      </c>
      <c r="AJ49" s="129" t="b">
        <f t="shared" si="6"/>
        <v>0</v>
      </c>
      <c r="AK49" s="129" t="b">
        <f t="shared" si="6"/>
        <v>0</v>
      </c>
      <c r="AL49" s="129" t="b">
        <f t="shared" si="6"/>
        <v>0</v>
      </c>
      <c r="AM49" s="129" t="b">
        <f t="shared" si="6"/>
        <v>0</v>
      </c>
      <c r="AN49" s="129" t="b">
        <f t="shared" si="6"/>
        <v>0</v>
      </c>
      <c r="AO49" s="129" t="b">
        <f t="shared" si="6"/>
        <v>0</v>
      </c>
      <c r="AP49" s="129" t="b">
        <f t="shared" si="6"/>
        <v>0</v>
      </c>
      <c r="AQ49" s="129" t="b">
        <f t="shared" si="6"/>
        <v>0</v>
      </c>
      <c r="AR49" s="129" t="b">
        <f t="shared" si="6"/>
        <v>0</v>
      </c>
      <c r="AS49" s="129" t="b">
        <f t="shared" si="6"/>
        <v>0</v>
      </c>
      <c r="AT49" s="129" t="b">
        <f t="shared" si="6"/>
        <v>0</v>
      </c>
      <c r="AU49" s="129" t="b">
        <f t="shared" si="6"/>
        <v>0</v>
      </c>
      <c r="AV49" s="129" t="b">
        <f t="shared" si="6"/>
        <v>0</v>
      </c>
      <c r="AW49" s="129" t="b">
        <f t="shared" si="6"/>
        <v>0</v>
      </c>
      <c r="AX49" s="129" t="b">
        <f t="shared" si="6"/>
        <v>0</v>
      </c>
      <c r="AY49" s="129" t="b">
        <f t="shared" si="6"/>
        <v>0</v>
      </c>
      <c r="AZ49" s="129" t="b">
        <f t="shared" si="6"/>
        <v>0</v>
      </c>
      <c r="BA49" s="129" t="b">
        <f t="shared" si="6"/>
        <v>0</v>
      </c>
      <c r="BB49" s="129" t="b">
        <f t="shared" si="6"/>
        <v>0</v>
      </c>
      <c r="BC49" s="641"/>
    </row>
    <row r="50" spans="2:62" ht="14.65" hidden="1" customHeight="1">
      <c r="E50" s="489">
        <v>15</v>
      </c>
      <c r="F50" s="3" cm="1">
        <f t="array" aca="1" ref="F50" ca="1">OFFSET(E50,-1,1)</f>
        <v>0</v>
      </c>
      <c r="G50" s="66" t="s">
        <v>324</v>
      </c>
      <c r="H50" s="69" cm="1">
        <f t="array" ref="H50">AC50</f>
        <v>0</v>
      </c>
      <c r="I50" s="66" t="s">
        <v>1110</v>
      </c>
      <c r="T50" s="351" t="b">
        <f ca="1">AND(F50&gt;0,Y49&gt;0)</f>
        <v>0</v>
      </c>
      <c r="X50" s="946"/>
      <c r="Y50" s="946"/>
      <c r="Z50" s="1084"/>
      <c r="AA50" s="1086"/>
      <c r="AB50" s="7" t="str">
        <f>"5."&amp;Y49</f>
        <v>5.0</v>
      </c>
      <c r="AC50" s="185"/>
      <c r="AD50" s="124" t="s">
        <v>859</v>
      </c>
      <c r="AE50" s="777"/>
      <c r="AF50" s="777"/>
      <c r="AG50" s="777"/>
      <c r="AH50" s="777"/>
      <c r="AI50" s="128"/>
      <c r="AJ50" s="128"/>
      <c r="AK50" s="128"/>
      <c r="AL50" s="777"/>
      <c r="AM50" s="777"/>
      <c r="AN50" s="777"/>
      <c r="AO50" s="777"/>
      <c r="AP50" s="777"/>
      <c r="AQ50" s="777"/>
      <c r="AR50" s="777"/>
      <c r="AS50" s="128"/>
      <c r="AT50" s="128"/>
      <c r="AU50" s="128"/>
      <c r="AV50" s="777"/>
      <c r="AW50" s="777"/>
      <c r="AX50" s="777"/>
      <c r="AY50" s="777"/>
      <c r="AZ50" s="777"/>
      <c r="BA50" s="777"/>
      <c r="BB50" s="777"/>
      <c r="BC50" s="823"/>
      <c r="BF50" s="680" t="s">
        <v>1085</v>
      </c>
      <c r="BG50" s="680" t="s">
        <v>1111</v>
      </c>
      <c r="BH50" s="680" cm="1">
        <f t="array" ref="BH50">AC50</f>
        <v>0</v>
      </c>
      <c r="BJ50" s="489" t="b">
        <v>1</v>
      </c>
    </row>
    <row r="51" spans="2:62" ht="14.65" hidden="1" customHeight="1">
      <c r="E51" s="489">
        <v>15</v>
      </c>
      <c r="F51" s="3" cm="1">
        <f t="array" aca="1" ref="F51" ca="1">OFFSET(E51,-1,1)</f>
        <v>0</v>
      </c>
      <c r="G51" s="66" t="s">
        <v>601</v>
      </c>
      <c r="H51" s="69" cm="1">
        <f t="array" ref="H51">H50</f>
        <v>0</v>
      </c>
      <c r="I51" s="66" t="s">
        <v>1110</v>
      </c>
      <c r="T51" s="351" t="b" cm="1">
        <f t="array" aca="1" ref="T51" ca="1">T50</f>
        <v>0</v>
      </c>
      <c r="X51" s="946"/>
      <c r="Y51" s="946"/>
      <c r="Z51" s="1084"/>
      <c r="AA51" s="1086"/>
      <c r="AB51" s="7" t="str">
        <f>AB50&amp;".1"</f>
        <v>5.0.1</v>
      </c>
      <c r="AC51" s="134" t="s">
        <v>1112</v>
      </c>
      <c r="AD51" s="7" t="s">
        <v>585</v>
      </c>
      <c r="AE51" s="777"/>
      <c r="AF51" s="777"/>
      <c r="AG51" s="777"/>
      <c r="AH51" s="777"/>
      <c r="AI51" s="128"/>
      <c r="AJ51" s="128"/>
      <c r="AK51" s="128"/>
      <c r="AL51" s="777"/>
      <c r="AM51" s="777"/>
      <c r="AN51" s="777"/>
      <c r="AO51" s="777"/>
      <c r="AP51" s="777"/>
      <c r="AQ51" s="777"/>
      <c r="AR51" s="777"/>
      <c r="AS51" s="128"/>
      <c r="AT51" s="128"/>
      <c r="AU51" s="128"/>
      <c r="AV51" s="777"/>
      <c r="AW51" s="777"/>
      <c r="AX51" s="777"/>
      <c r="AY51" s="777"/>
      <c r="AZ51" s="777"/>
      <c r="BA51" s="777"/>
      <c r="BB51" s="777"/>
      <c r="BC51" s="823"/>
      <c r="BF51" s="680" t="s">
        <v>1088</v>
      </c>
      <c r="BG51" s="680" t="s">
        <v>1111</v>
      </c>
      <c r="BH51" s="680" cm="1">
        <f t="array" ref="BH51">BH50</f>
        <v>0</v>
      </c>
    </row>
    <row r="52" spans="2:62" ht="14.65" hidden="1" customHeight="1">
      <c r="E52" s="489">
        <v>15</v>
      </c>
      <c r="F52" s="3" cm="1">
        <f t="array" aca="1" ref="F52" ca="1">OFFSET(E52,-1,1)</f>
        <v>0</v>
      </c>
      <c r="H52" s="66" t="str">
        <f>"!=='не определено' &amp;&amp; row.l5 !== null"</f>
        <v>!=='не определено' &amp;&amp; row.l5 !== null</v>
      </c>
      <c r="T52" s="351" t="b">
        <f ca="1">F52&gt;0</f>
        <v>0</v>
      </c>
      <c r="W52" s="495" t="s">
        <v>1113</v>
      </c>
      <c r="X52" s="946"/>
      <c r="Y52" s="83"/>
      <c r="Z52" s="1084"/>
      <c r="AB52" s="492"/>
      <c r="AC52" s="145" t="s">
        <v>1090</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6"/>
      <c r="BI52" s="489" t="s">
        <v>1111</v>
      </c>
    </row>
    <row r="53" spans="2:62" s="67" customFormat="1" ht="14.65" hidden="1" customHeight="1">
      <c r="B53" s="337"/>
      <c r="E53" s="490">
        <v>15</v>
      </c>
      <c r="F53" s="3" cm="1">
        <f t="array" aca="1" ref="F53" ca="1">OFFSET(E53,-1,1)</f>
        <v>0</v>
      </c>
      <c r="G53" s="66" t="s">
        <v>557</v>
      </c>
      <c r="K53" s="600" t="str">
        <f ca="1">F28&amp;"6komm"</f>
        <v>06komm</v>
      </c>
      <c r="L53" s="604" cm="1">
        <f t="array" ref="L53">BC53</f>
        <v>0</v>
      </c>
      <c r="T53" s="351" t="b" cm="1">
        <f t="array" aca="1" ref="T53" ca="1">T52</f>
        <v>0</v>
      </c>
      <c r="X53" s="946"/>
      <c r="Z53" s="1084"/>
      <c r="AB53" s="124">
        <v>6</v>
      </c>
      <c r="AC53" s="125" t="s">
        <v>1114</v>
      </c>
      <c r="AD53" s="124" t="s">
        <v>859</v>
      </c>
      <c r="AE53" s="773"/>
      <c r="AF53" s="773"/>
      <c r="AG53" s="773"/>
      <c r="AH53" s="773"/>
      <c r="AI53" s="138"/>
      <c r="AJ53" s="138"/>
      <c r="AK53" s="138"/>
      <c r="AL53" s="773"/>
      <c r="AM53" s="773"/>
      <c r="AN53" s="773"/>
      <c r="AO53" s="773"/>
      <c r="AP53" s="773"/>
      <c r="AQ53" s="773"/>
      <c r="AR53" s="773"/>
      <c r="AS53" s="138"/>
      <c r="AT53" s="138"/>
      <c r="AU53" s="138"/>
      <c r="AV53" s="773"/>
      <c r="AW53" s="773"/>
      <c r="AX53" s="773"/>
      <c r="AY53" s="773"/>
      <c r="AZ53" s="773"/>
      <c r="BA53" s="773"/>
      <c r="BB53" s="773"/>
      <c r="BC53" s="823"/>
      <c r="BF53" s="683" t="s">
        <v>1115</v>
      </c>
      <c r="BG53" s="683"/>
      <c r="BH53" s="683"/>
      <c r="BI53" s="490"/>
      <c r="BJ53" s="490"/>
    </row>
    <row r="54" spans="2:62" s="67" customFormat="1" ht="14.65" hidden="1" customHeight="1">
      <c r="B54" s="337"/>
      <c r="E54" s="490">
        <v>15</v>
      </c>
      <c r="F54" s="3" cm="1">
        <f t="array" aca="1" ref="F54" ca="1">OFFSET(E54,-1,1)</f>
        <v>0</v>
      </c>
      <c r="G54" s="66" t="s">
        <v>560</v>
      </c>
      <c r="K54" s="600" t="str">
        <f ca="1">F28&amp;"7komm"</f>
        <v>07komm</v>
      </c>
      <c r="L54" s="604" cm="1">
        <f t="array" ref="L54">BC54</f>
        <v>0</v>
      </c>
      <c r="T54" s="351" t="b" cm="1">
        <f t="array" aca="1" ref="T54" ca="1">T53</f>
        <v>0</v>
      </c>
      <c r="X54" s="946"/>
      <c r="Z54" s="1084"/>
      <c r="AB54" s="124">
        <v>7</v>
      </c>
      <c r="AC54" s="125" t="s">
        <v>1116</v>
      </c>
      <c r="AD54" s="124" t="s">
        <v>859</v>
      </c>
      <c r="AE54" s="773"/>
      <c r="AF54" s="773"/>
      <c r="AG54" s="773"/>
      <c r="AH54" s="773"/>
      <c r="AI54" s="138"/>
      <c r="AJ54" s="138"/>
      <c r="AK54" s="138"/>
      <c r="AL54" s="773"/>
      <c r="AM54" s="773"/>
      <c r="AN54" s="773"/>
      <c r="AO54" s="773"/>
      <c r="AP54" s="773"/>
      <c r="AQ54" s="773"/>
      <c r="AR54" s="773"/>
      <c r="AS54" s="138"/>
      <c r="AT54" s="138"/>
      <c r="AU54" s="138"/>
      <c r="AV54" s="773"/>
      <c r="AW54" s="773"/>
      <c r="AX54" s="773"/>
      <c r="AY54" s="773"/>
      <c r="AZ54" s="773"/>
      <c r="BA54" s="773"/>
      <c r="BB54" s="773"/>
      <c r="BC54" s="823"/>
      <c r="BF54" s="683" t="s">
        <v>1117</v>
      </c>
      <c r="BG54" s="683"/>
      <c r="BH54" s="683"/>
      <c r="BI54" s="490"/>
      <c r="BJ54" s="490"/>
    </row>
    <row r="55" spans="2:62" s="67" customFormat="1" ht="14.65" hidden="1" customHeight="1">
      <c r="B55" s="337"/>
      <c r="E55" s="490">
        <v>15</v>
      </c>
      <c r="F55" s="3" cm="1">
        <f t="array" aca="1" ref="F55" ca="1">OFFSET(E55,-1,1)</f>
        <v>0</v>
      </c>
      <c r="G55" s="66" t="s">
        <v>613</v>
      </c>
      <c r="K55" s="600" t="str">
        <f ca="1">F28&amp;"8komm"</f>
        <v>08komm</v>
      </c>
      <c r="L55" s="604" cm="1">
        <f t="array" ref="L55">BC55</f>
        <v>0</v>
      </c>
      <c r="T55" s="351" t="b" cm="1">
        <f t="array" aca="1" ref="T55" ca="1">T54</f>
        <v>0</v>
      </c>
      <c r="X55" s="946"/>
      <c r="Z55" s="1084"/>
      <c r="AB55" s="124">
        <v>8</v>
      </c>
      <c r="AC55" s="125" t="s">
        <v>1118</v>
      </c>
      <c r="AD55" s="124" t="s">
        <v>859</v>
      </c>
      <c r="AE55" s="773"/>
      <c r="AF55" s="773"/>
      <c r="AG55" s="773"/>
      <c r="AH55" s="773"/>
      <c r="AI55" s="138"/>
      <c r="AJ55" s="138"/>
      <c r="AK55" s="138"/>
      <c r="AL55" s="773"/>
      <c r="AM55" s="773"/>
      <c r="AN55" s="773"/>
      <c r="AO55" s="773"/>
      <c r="AP55" s="773"/>
      <c r="AQ55" s="773"/>
      <c r="AR55" s="773"/>
      <c r="AS55" s="138"/>
      <c r="AT55" s="138"/>
      <c r="AU55" s="138"/>
      <c r="AV55" s="773"/>
      <c r="AW55" s="773"/>
      <c r="AX55" s="773"/>
      <c r="AY55" s="773"/>
      <c r="AZ55" s="773"/>
      <c r="BA55" s="773"/>
      <c r="BB55" s="773"/>
      <c r="BC55" s="823"/>
      <c r="BF55" s="683" t="s">
        <v>1119</v>
      </c>
      <c r="BG55" s="683"/>
      <c r="BH55" s="683"/>
      <c r="BI55" s="490"/>
      <c r="BJ55" s="490"/>
    </row>
    <row r="56" spans="2:62" s="67" customFormat="1" ht="14.65" hidden="1" customHeight="1">
      <c r="B56" s="337"/>
      <c r="E56" s="490">
        <v>15</v>
      </c>
      <c r="F56" s="3" cm="1">
        <f t="array" aca="1" ref="F56" ca="1">OFFSET(E56,-1,1)</f>
        <v>0</v>
      </c>
      <c r="G56" s="66"/>
      <c r="K56" s="600" t="str">
        <f ca="1">F28&amp;"9komm"</f>
        <v>09komm</v>
      </c>
      <c r="L56" s="604" cm="1">
        <f t="array" ref="L56">BC56</f>
        <v>0</v>
      </c>
      <c r="T56" s="351" t="b" cm="1">
        <f t="array" aca="1" ref="T56" ca="1">T55</f>
        <v>0</v>
      </c>
      <c r="X56" s="946"/>
      <c r="Z56" s="1084"/>
      <c r="AB56" s="124">
        <v>9</v>
      </c>
      <c r="AC56" s="125" t="s">
        <v>1120</v>
      </c>
      <c r="AD56" s="124" t="s">
        <v>859</v>
      </c>
      <c r="AE56" s="773"/>
      <c r="AF56" s="773"/>
      <c r="AG56" s="773"/>
      <c r="AH56" s="773"/>
      <c r="AI56" s="138"/>
      <c r="AJ56" s="138"/>
      <c r="AK56" s="138"/>
      <c r="AL56" s="773"/>
      <c r="AM56" s="773"/>
      <c r="AN56" s="773"/>
      <c r="AO56" s="773"/>
      <c r="AP56" s="773"/>
      <c r="AQ56" s="773"/>
      <c r="AR56" s="773"/>
      <c r="AS56" s="138"/>
      <c r="AT56" s="138"/>
      <c r="AU56" s="138"/>
      <c r="AV56" s="773"/>
      <c r="AW56" s="773"/>
      <c r="AX56" s="773"/>
      <c r="AY56" s="773"/>
      <c r="AZ56" s="773"/>
      <c r="BA56" s="773"/>
      <c r="BB56" s="773"/>
      <c r="BC56" s="823"/>
      <c r="BF56" s="683" t="s">
        <v>1121</v>
      </c>
      <c r="BG56" s="683"/>
      <c r="BH56" s="683"/>
      <c r="BI56" s="490"/>
      <c r="BJ56" s="490"/>
    </row>
    <row r="57" spans="2:62" ht="24" customHeight="1">
      <c r="E57" s="489">
        <v>15</v>
      </c>
      <c r="F57" s="17" t="str" cm="1">
        <f t="array" ref="F57">X57</f>
        <v>1</v>
      </c>
      <c r="I57" s="66" t="s">
        <v>1081</v>
      </c>
      <c r="T57" s="351" t="b">
        <f>X57&gt;0</f>
        <v>1</v>
      </c>
      <c r="V57" s="66" t="str" cm="1">
        <f t="array" ref="V57">Аренда!$AB$37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57" s="946" t="s">
        <v>277</v>
      </c>
      <c r="Y57" s="491"/>
      <c r="Z57" s="1084"/>
      <c r="AB57" s="135" t="str" cm="1">
        <f t="array" ref="AB57">Аренда!$AB$37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57" s="94"/>
      <c r="AD57" s="94"/>
      <c r="AE57" s="213">
        <f t="shared" ref="AE57:BB57" si="7">AE63+AE68+AE73+AE78+AE58+AE83+AE84+AE85+AE86</f>
        <v>1.95</v>
      </c>
      <c r="AF57" s="213">
        <f t="shared" si="7"/>
        <v>0</v>
      </c>
      <c r="AG57" s="213">
        <f t="shared" si="7"/>
        <v>0</v>
      </c>
      <c r="AH57" s="213">
        <f t="shared" si="7"/>
        <v>26.25</v>
      </c>
      <c r="AI57" s="213">
        <f t="shared" si="7"/>
        <v>1552.3219999999999</v>
      </c>
      <c r="AJ57" s="213">
        <f t="shared" si="7"/>
        <v>1620.6899000000001</v>
      </c>
      <c r="AK57" s="213">
        <f t="shared" si="7"/>
        <v>1664.76748</v>
      </c>
      <c r="AL57" s="213">
        <f t="shared" si="7"/>
        <v>0</v>
      </c>
      <c r="AM57" s="213">
        <f t="shared" si="7"/>
        <v>0</v>
      </c>
      <c r="AN57" s="213">
        <f t="shared" si="7"/>
        <v>0</v>
      </c>
      <c r="AO57" s="213">
        <f t="shared" si="7"/>
        <v>0</v>
      </c>
      <c r="AP57" s="213">
        <f t="shared" si="7"/>
        <v>0</v>
      </c>
      <c r="AQ57" s="213">
        <f t="shared" si="7"/>
        <v>0</v>
      </c>
      <c r="AR57" s="213">
        <f t="shared" si="7"/>
        <v>0</v>
      </c>
      <c r="AS57" s="213">
        <f t="shared" si="7"/>
        <v>1088.7</v>
      </c>
      <c r="AT57" s="213">
        <f t="shared" si="7"/>
        <v>1187.7817</v>
      </c>
      <c r="AU57" s="213">
        <f t="shared" si="7"/>
        <v>1245.9830033000001</v>
      </c>
      <c r="AV57" s="213">
        <f t="shared" si="7"/>
        <v>0</v>
      </c>
      <c r="AW57" s="213">
        <f t="shared" si="7"/>
        <v>0</v>
      </c>
      <c r="AX57" s="213">
        <f t="shared" si="7"/>
        <v>0</v>
      </c>
      <c r="AY57" s="213">
        <f t="shared" si="7"/>
        <v>0</v>
      </c>
      <c r="AZ57" s="213">
        <f t="shared" si="7"/>
        <v>0</v>
      </c>
      <c r="BA57" s="213">
        <f t="shared" si="7"/>
        <v>0</v>
      </c>
      <c r="BB57" s="213">
        <f t="shared" si="7"/>
        <v>0</v>
      </c>
      <c r="BC57" s="137"/>
    </row>
    <row r="58" spans="2:62" ht="0" hidden="1" customHeight="1">
      <c r="E58" s="489">
        <v>15</v>
      </c>
      <c r="F58" s="3" t="str" cm="1">
        <f t="array" aca="1" ref="F58" ca="1">OFFSET(E58,-1,1)</f>
        <v>1</v>
      </c>
      <c r="G58" s="66" t="s">
        <v>321</v>
      </c>
      <c r="K58" s="600" t="str">
        <f ca="1">F58&amp;"1komm"</f>
        <v>11komm</v>
      </c>
      <c r="L58" s="604" cm="1">
        <f t="array" ref="L58">BC58</f>
        <v>0</v>
      </c>
      <c r="T58" s="351" t="b" cm="1">
        <f t="array" ref="T58">T57</f>
        <v>1</v>
      </c>
      <c r="X58" s="946"/>
      <c r="Z58" s="1084"/>
      <c r="AB58" s="124">
        <v>1</v>
      </c>
      <c r="AC58" s="125" t="s">
        <v>1082</v>
      </c>
      <c r="AD58" s="124" t="s">
        <v>859</v>
      </c>
      <c r="AE58" s="126">
        <f>SUMIF(AD60:AD62,AD58,AE60:AE62)</f>
        <v>0</v>
      </c>
      <c r="AF58" s="126">
        <f>SUMIF(AD60:AD62,AD58,AF60:AF62)</f>
        <v>0</v>
      </c>
      <c r="AG58" s="126">
        <f>SUMIF(AD60:AD62,AD58,AG60:AG62)</f>
        <v>0</v>
      </c>
      <c r="AH58" s="126">
        <f>SUMIF(AD60:AD62,AD58,AH60:AH62)</f>
        <v>0</v>
      </c>
      <c r="AI58" s="126">
        <f>SUMIF(AD60:AD62,AD58,AI60:AI62)</f>
        <v>0</v>
      </c>
      <c r="AJ58" s="126">
        <f>SUMIF(AD60:AD62,AD58,AJ60:AJ62)</f>
        <v>0</v>
      </c>
      <c r="AK58" s="126">
        <f>SUMIF(AD60:AD62,AD58,AK60:AK62)</f>
        <v>0</v>
      </c>
      <c r="AL58" s="126">
        <f>SUMIF(AD60:AD62,AD58,AL60:AL62)</f>
        <v>0</v>
      </c>
      <c r="AM58" s="126">
        <f>SUMIF(AD60:AD62,AD58,AM60:AM62)</f>
        <v>0</v>
      </c>
      <c r="AN58" s="126">
        <f>SUMIF(AD60:AD62,AD58,AN60:AN62)</f>
        <v>0</v>
      </c>
      <c r="AO58" s="126">
        <f>SUMIF(AD60:AD62,AD58,AO60:AO62)</f>
        <v>0</v>
      </c>
      <c r="AP58" s="126">
        <f>SUMIF(AD60:AD62,AD58,AP60:AP62)</f>
        <v>0</v>
      </c>
      <c r="AQ58" s="126">
        <f>SUMIF(AD60:AD62,AD58,AQ60:AQ62)</f>
        <v>0</v>
      </c>
      <c r="AR58" s="126">
        <f>SUMIF(AD60:AD62,AD58,AR60:AR62)</f>
        <v>0</v>
      </c>
      <c r="AS58" s="126">
        <f>SUMIF(AD60:AD62,AD58,AS60:AS62)</f>
        <v>0</v>
      </c>
      <c r="AT58" s="126">
        <f>SUMIF(AD60:AD62,AD58,AT60:AT62)</f>
        <v>0</v>
      </c>
      <c r="AU58" s="126">
        <f>SUMIF(AD60:AD62,AD58,AU60:AU62)</f>
        <v>0</v>
      </c>
      <c r="AV58" s="126">
        <f>SUMIF(AD60:AD62,AD58,AV60:AV62)</f>
        <v>0</v>
      </c>
      <c r="AW58" s="126">
        <f>SUMIF(AD60:AD62,AD58,AW60:AW62)</f>
        <v>0</v>
      </c>
      <c r="AX58" s="126">
        <f>SUMIF(AD60:AD62,AD58,AX60:AX62)</f>
        <v>0</v>
      </c>
      <c r="AY58" s="126">
        <f>SUMIF(AD60:AD62,AD58,AY60:AY62)</f>
        <v>0</v>
      </c>
      <c r="AZ58" s="126">
        <f>SUMIF(AD60:AD62,AD58,AZ60:AZ62)</f>
        <v>0</v>
      </c>
      <c r="BA58" s="126">
        <f>SUMIF(AD60:AD62,AD58,BA60:BA62)</f>
        <v>0</v>
      </c>
      <c r="BB58" s="126">
        <f>SUMIF(AD60:AD62,AD58,BB60:BB62)</f>
        <v>0</v>
      </c>
      <c r="BC58" s="113"/>
      <c r="BF58" s="680" t="s">
        <v>1083</v>
      </c>
    </row>
    <row r="59" spans="2:62" ht="0" hidden="1" customHeight="1">
      <c r="E59" s="489">
        <v>0</v>
      </c>
      <c r="F59" s="3" t="str" cm="1">
        <f t="array" aca="1" ref="F59" ca="1">OFFSET(E59,-1,1)</f>
        <v>1</v>
      </c>
      <c r="L59" s="604"/>
      <c r="T59" s="351" t="b">
        <v>0</v>
      </c>
      <c r="W59" s="66" t="s">
        <v>171</v>
      </c>
      <c r="X59" s="946"/>
      <c r="Y59" s="946">
        <v>0</v>
      </c>
      <c r="Z59" s="1084"/>
      <c r="AA59" s="1085" t="s">
        <v>172</v>
      </c>
      <c r="AB59" s="124"/>
      <c r="AC59" s="125"/>
      <c r="AD59" s="124"/>
      <c r="AE59" s="129" t="b">
        <f t="shared" ref="AE59:BB59" si="8">OR(AND(AE60&lt;&gt;"",AE61=""),AND(AE60="",AE61&lt;&gt;""))</f>
        <v>0</v>
      </c>
      <c r="AF59" s="129" t="b">
        <f t="shared" si="8"/>
        <v>0</v>
      </c>
      <c r="AG59" s="129" t="b">
        <f t="shared" si="8"/>
        <v>0</v>
      </c>
      <c r="AH59" s="129" t="b">
        <f t="shared" si="8"/>
        <v>0</v>
      </c>
      <c r="AI59" s="129" t="b">
        <f t="shared" si="8"/>
        <v>0</v>
      </c>
      <c r="AJ59" s="129" t="b">
        <f t="shared" si="8"/>
        <v>0</v>
      </c>
      <c r="AK59" s="129" t="b">
        <f t="shared" si="8"/>
        <v>0</v>
      </c>
      <c r="AL59" s="129" t="b">
        <f t="shared" si="8"/>
        <v>0</v>
      </c>
      <c r="AM59" s="129" t="b">
        <f t="shared" si="8"/>
        <v>0</v>
      </c>
      <c r="AN59" s="129" t="b">
        <f t="shared" si="8"/>
        <v>0</v>
      </c>
      <c r="AO59" s="129" t="b">
        <f t="shared" si="8"/>
        <v>0</v>
      </c>
      <c r="AP59" s="129" t="b">
        <f t="shared" si="8"/>
        <v>0</v>
      </c>
      <c r="AQ59" s="129" t="b">
        <f t="shared" si="8"/>
        <v>0</v>
      </c>
      <c r="AR59" s="129" t="b">
        <f t="shared" si="8"/>
        <v>0</v>
      </c>
      <c r="AS59" s="129" t="b">
        <f t="shared" si="8"/>
        <v>0</v>
      </c>
      <c r="AT59" s="129" t="b">
        <f t="shared" si="8"/>
        <v>0</v>
      </c>
      <c r="AU59" s="129" t="b">
        <f t="shared" si="8"/>
        <v>0</v>
      </c>
      <c r="AV59" s="129" t="b">
        <f t="shared" si="8"/>
        <v>0</v>
      </c>
      <c r="AW59" s="129" t="b">
        <f t="shared" si="8"/>
        <v>0</v>
      </c>
      <c r="AX59" s="129" t="b">
        <f t="shared" si="8"/>
        <v>0</v>
      </c>
      <c r="AY59" s="129" t="b">
        <f t="shared" si="8"/>
        <v>0</v>
      </c>
      <c r="AZ59" s="129" t="b">
        <f t="shared" si="8"/>
        <v>0</v>
      </c>
      <c r="BA59" s="129" t="b">
        <f t="shared" si="8"/>
        <v>0</v>
      </c>
      <c r="BB59" s="129" t="b">
        <f t="shared" si="8"/>
        <v>0</v>
      </c>
      <c r="BC59" s="641"/>
    </row>
    <row r="60" spans="2:62" ht="0" hidden="1" customHeight="1">
      <c r="E60" s="489">
        <v>15</v>
      </c>
      <c r="F60" s="3" t="str" cm="1">
        <f t="array" aca="1" ref="F60" ca="1">OFFSET(E60,-1,1)</f>
        <v>1</v>
      </c>
      <c r="G60" s="66" t="s">
        <v>321</v>
      </c>
      <c r="H60" s="69" cm="1">
        <f t="array" ref="H60">AC60</f>
        <v>0</v>
      </c>
      <c r="I60" s="66" t="s">
        <v>1084</v>
      </c>
      <c r="T60" s="351" t="b">
        <f ca="1">AND(F60&gt;0,Y59&gt;0)</f>
        <v>0</v>
      </c>
      <c r="X60" s="946"/>
      <c r="Y60" s="946"/>
      <c r="Z60" s="1084"/>
      <c r="AA60" s="1085"/>
      <c r="AB60" s="7" t="str">
        <f>"1."&amp;Y59</f>
        <v>1.0</v>
      </c>
      <c r="AC60" s="185"/>
      <c r="AD60" s="124" t="s">
        <v>859</v>
      </c>
      <c r="AE60" s="777"/>
      <c r="AF60" s="777"/>
      <c r="AG60" s="777"/>
      <c r="AH60" s="777"/>
      <c r="AI60" s="128"/>
      <c r="AJ60" s="128"/>
      <c r="AK60" s="128"/>
      <c r="AL60" s="777"/>
      <c r="AM60" s="777"/>
      <c r="AN60" s="777"/>
      <c r="AO60" s="777"/>
      <c r="AP60" s="777"/>
      <c r="AQ60" s="777"/>
      <c r="AR60" s="777"/>
      <c r="AS60" s="128"/>
      <c r="AT60" s="128"/>
      <c r="AU60" s="128"/>
      <c r="AV60" s="777"/>
      <c r="AW60" s="777"/>
      <c r="AX60" s="777"/>
      <c r="AY60" s="777"/>
      <c r="AZ60" s="777"/>
      <c r="BA60" s="777"/>
      <c r="BB60" s="777"/>
      <c r="BC60" s="823"/>
      <c r="BF60" s="680" t="s">
        <v>1085</v>
      </c>
      <c r="BG60" s="680" t="s">
        <v>1086</v>
      </c>
      <c r="BH60" s="680" cm="1">
        <f t="array" ref="BH60">AC60</f>
        <v>0</v>
      </c>
      <c r="BJ60" s="489" t="b">
        <v>1</v>
      </c>
    </row>
    <row r="61" spans="2:62" ht="0" hidden="1" customHeight="1">
      <c r="E61" s="489">
        <v>15</v>
      </c>
      <c r="F61" s="3" t="str" cm="1">
        <f t="array" aca="1" ref="F61" ca="1">OFFSET(E61,-1,1)</f>
        <v>1</v>
      </c>
      <c r="G61" s="66" t="s">
        <v>507</v>
      </c>
      <c r="H61" s="69" cm="1">
        <f t="array" ref="H61">H60</f>
        <v>0</v>
      </c>
      <c r="I61" s="66" t="s">
        <v>1084</v>
      </c>
      <c r="T61" s="351" t="b" cm="1">
        <f t="array" aca="1" ref="T61" ca="1">T60</f>
        <v>0</v>
      </c>
      <c r="X61" s="946"/>
      <c r="Y61" s="946"/>
      <c r="Z61" s="1084"/>
      <c r="AA61" s="1085"/>
      <c r="AB61" s="7" t="str">
        <f>AB60&amp;".1"</f>
        <v>1.0.1</v>
      </c>
      <c r="AC61" s="134" t="s">
        <v>1087</v>
      </c>
      <c r="AD61" s="7" t="s">
        <v>585</v>
      </c>
      <c r="AE61" s="777"/>
      <c r="AF61" s="777"/>
      <c r="AG61" s="777"/>
      <c r="AH61" s="777"/>
      <c r="AI61" s="128"/>
      <c r="AJ61" s="128"/>
      <c r="AK61" s="128"/>
      <c r="AL61" s="777"/>
      <c r="AM61" s="777"/>
      <c r="AN61" s="777"/>
      <c r="AO61" s="777"/>
      <c r="AP61" s="777"/>
      <c r="AQ61" s="777"/>
      <c r="AR61" s="777"/>
      <c r="AS61" s="128"/>
      <c r="AT61" s="128"/>
      <c r="AU61" s="128"/>
      <c r="AV61" s="777"/>
      <c r="AW61" s="777"/>
      <c r="AX61" s="777"/>
      <c r="AY61" s="777"/>
      <c r="AZ61" s="777"/>
      <c r="BA61" s="777"/>
      <c r="BB61" s="777"/>
      <c r="BC61" s="823"/>
      <c r="BF61" s="680" t="s">
        <v>1088</v>
      </c>
      <c r="BG61" s="680" t="s">
        <v>1086</v>
      </c>
      <c r="BH61" s="680" cm="1">
        <f t="array" ref="BH61">BH60</f>
        <v>0</v>
      </c>
    </row>
    <row r="62" spans="2:62" ht="0" hidden="1" customHeight="1">
      <c r="E62" s="489">
        <v>15</v>
      </c>
      <c r="F62" s="3" t="str" cm="1">
        <f t="array" aca="1" ref="F62" ca="1">OFFSET(E62,-1,1)</f>
        <v>1</v>
      </c>
      <c r="H62" s="66" t="str">
        <f>"!=='не определено' &amp;&amp; row.l1 !== null"</f>
        <v>!=='не определено' &amp;&amp; row.l1 !== null</v>
      </c>
      <c r="T62" s="351" t="b">
        <f ca="1">F62&gt;0</f>
        <v>1</v>
      </c>
      <c r="W62" s="495" t="s">
        <v>1089</v>
      </c>
      <c r="X62" s="946"/>
      <c r="Z62" s="1084"/>
      <c r="AB62" s="492"/>
      <c r="AC62" s="145" t="s">
        <v>1090</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6"/>
      <c r="BI62" s="489" t="s">
        <v>1086</v>
      </c>
    </row>
    <row r="63" spans="2:62" ht="0" hidden="1" customHeight="1">
      <c r="E63" s="489">
        <v>22.5</v>
      </c>
      <c r="F63" s="3" t="str" cm="1">
        <f t="array" aca="1" ref="F63" ca="1">OFFSET(E63,-1,1)</f>
        <v>1</v>
      </c>
      <c r="K63" s="600" t="str">
        <f ca="1">F58&amp;"2komm"</f>
        <v>12komm</v>
      </c>
      <c r="L63" s="604" cm="1">
        <f t="array" ref="L63">BC63</f>
        <v>0</v>
      </c>
      <c r="T63" s="351" t="b" cm="1">
        <f t="array" aca="1" ref="T63" ca="1">T62</f>
        <v>1</v>
      </c>
      <c r="X63" s="946"/>
      <c r="Y63" s="494"/>
      <c r="Z63" s="1084"/>
      <c r="AB63" s="124">
        <v>2</v>
      </c>
      <c r="AC63" s="125" t="s">
        <v>1091</v>
      </c>
      <c r="AD63" s="124" t="s">
        <v>859</v>
      </c>
      <c r="AE63" s="126">
        <f>SUMIF(AD65:AD67,AD63,AE65:AE67)</f>
        <v>0</v>
      </c>
      <c r="AF63" s="126">
        <f>SUMIF(AD65:AD67,AD63,AF65:AF67)</f>
        <v>0</v>
      </c>
      <c r="AG63" s="126">
        <f>SUMIF(AD65:AD67,AD63,AG65:AG67)</f>
        <v>0</v>
      </c>
      <c r="AH63" s="126">
        <f>SUMIF(AD65:AD67,AD63,AH65:AH67)</f>
        <v>0</v>
      </c>
      <c r="AI63" s="126">
        <f>SUMIF(AD65:AD67,AD63,AI65:AI67)</f>
        <v>0</v>
      </c>
      <c r="AJ63" s="126">
        <f>SUMIF(AD65:AD67,AD63,AJ65:AJ67)</f>
        <v>0</v>
      </c>
      <c r="AK63" s="126">
        <f>SUMIF(AD65:AD67,AD63,AK65:AK67)</f>
        <v>0</v>
      </c>
      <c r="AL63" s="126">
        <f>SUMIF(AD65:AD67,AD63,AL65:AL67)</f>
        <v>0</v>
      </c>
      <c r="AM63" s="126">
        <f>SUMIF(AD65:AD67,AD63,AM65:AM67)</f>
        <v>0</v>
      </c>
      <c r="AN63" s="126">
        <f>SUMIF(AD65:AD67,AD63,AN65:AN67)</f>
        <v>0</v>
      </c>
      <c r="AO63" s="126">
        <f>SUMIF(AD65:AD67,AD63,AO65:AO67)</f>
        <v>0</v>
      </c>
      <c r="AP63" s="126">
        <f>SUMIF(AD65:AD67,AD63,AP65:AP67)</f>
        <v>0</v>
      </c>
      <c r="AQ63" s="126">
        <f>SUMIF(AD65:AD67,AD63,AQ65:AQ67)</f>
        <v>0</v>
      </c>
      <c r="AR63" s="126">
        <f>SUMIF(AD65:AD67,AD63,AR65:AR67)</f>
        <v>0</v>
      </c>
      <c r="AS63" s="126">
        <f>SUMIF(AD65:AD67,AD63,AS65:AS67)</f>
        <v>0</v>
      </c>
      <c r="AT63" s="126">
        <f>SUMIF(AD65:AD67,AD63,AT65:AT67)</f>
        <v>0</v>
      </c>
      <c r="AU63" s="126">
        <f>SUMIF(AD65:AD67,AD63,AU65:AU67)</f>
        <v>0</v>
      </c>
      <c r="AV63" s="126">
        <f>SUMIF(AD65:AD67,AD63,AV65:AV67)</f>
        <v>0</v>
      </c>
      <c r="AW63" s="126">
        <f>SUMIF(AD65:AD67,AD63,AW65:AW67)</f>
        <v>0</v>
      </c>
      <c r="AX63" s="126">
        <f>SUMIF(AD65:AD67,AD63,AX65:AX67)</f>
        <v>0</v>
      </c>
      <c r="AY63" s="126">
        <f>SUMIF(AD65:AD67,AD63,AY65:AY67)</f>
        <v>0</v>
      </c>
      <c r="AZ63" s="126">
        <f>SUMIF(AD65:AD67,AD63,AZ65:AZ67)</f>
        <v>0</v>
      </c>
      <c r="BA63" s="126">
        <f>SUMIF(AD65:AD67,AD63,BA65:BA67)</f>
        <v>0</v>
      </c>
      <c r="BB63" s="126">
        <f>SUMIF(AD65:AD67,AD63,BB65:BB67)</f>
        <v>0</v>
      </c>
      <c r="BC63" s="113"/>
      <c r="BF63" s="680" t="s">
        <v>1092</v>
      </c>
    </row>
    <row r="64" spans="2:62" ht="0" hidden="1" customHeight="1">
      <c r="E64" s="489">
        <v>0</v>
      </c>
      <c r="F64" s="3" t="str" cm="1">
        <f t="array" aca="1" ref="F64" ca="1">OFFSET(E64,-1,1)</f>
        <v>1</v>
      </c>
      <c r="G64" s="66" t="s">
        <v>322</v>
      </c>
      <c r="L64" s="604"/>
      <c r="T64" s="351" t="b">
        <v>0</v>
      </c>
      <c r="W64" s="66" t="s">
        <v>171</v>
      </c>
      <c r="X64" s="946"/>
      <c r="Y64" s="946">
        <v>0</v>
      </c>
      <c r="Z64" s="1084"/>
      <c r="AA64" s="1086" t="s">
        <v>172</v>
      </c>
      <c r="AB64" s="124"/>
      <c r="AC64" s="125"/>
      <c r="AD64" s="124"/>
      <c r="AE64" s="129" t="b">
        <f t="shared" ref="AE64:BB64" si="9">OR(AND(AE65&lt;&gt;"",AE66=""),AND(AE65="",AE66&lt;&gt;""))</f>
        <v>0</v>
      </c>
      <c r="AF64" s="129" t="b">
        <f t="shared" si="9"/>
        <v>0</v>
      </c>
      <c r="AG64" s="129" t="b">
        <f t="shared" si="9"/>
        <v>0</v>
      </c>
      <c r="AH64" s="129" t="b">
        <f t="shared" si="9"/>
        <v>0</v>
      </c>
      <c r="AI64" s="129" t="b">
        <f t="shared" si="9"/>
        <v>0</v>
      </c>
      <c r="AJ64" s="129" t="b">
        <f t="shared" si="9"/>
        <v>0</v>
      </c>
      <c r="AK64" s="129" t="b">
        <f t="shared" si="9"/>
        <v>0</v>
      </c>
      <c r="AL64" s="129" t="b">
        <f t="shared" si="9"/>
        <v>0</v>
      </c>
      <c r="AM64" s="129" t="b">
        <f t="shared" si="9"/>
        <v>0</v>
      </c>
      <c r="AN64" s="129" t="b">
        <f t="shared" si="9"/>
        <v>0</v>
      </c>
      <c r="AO64" s="129" t="b">
        <f t="shared" si="9"/>
        <v>0</v>
      </c>
      <c r="AP64" s="129" t="b">
        <f t="shared" si="9"/>
        <v>0</v>
      </c>
      <c r="AQ64" s="129" t="b">
        <f t="shared" si="9"/>
        <v>0</v>
      </c>
      <c r="AR64" s="129" t="b">
        <f t="shared" si="9"/>
        <v>0</v>
      </c>
      <c r="AS64" s="129" t="b">
        <f t="shared" si="9"/>
        <v>0</v>
      </c>
      <c r="AT64" s="129" t="b">
        <f t="shared" si="9"/>
        <v>0</v>
      </c>
      <c r="AU64" s="129" t="b">
        <f t="shared" si="9"/>
        <v>0</v>
      </c>
      <c r="AV64" s="129" t="b">
        <f t="shared" si="9"/>
        <v>0</v>
      </c>
      <c r="AW64" s="129" t="b">
        <f t="shared" si="9"/>
        <v>0</v>
      </c>
      <c r="AX64" s="129" t="b">
        <f t="shared" si="9"/>
        <v>0</v>
      </c>
      <c r="AY64" s="129" t="b">
        <f t="shared" si="9"/>
        <v>0</v>
      </c>
      <c r="AZ64" s="129" t="b">
        <f t="shared" si="9"/>
        <v>0</v>
      </c>
      <c r="BA64" s="129" t="b">
        <f t="shared" si="9"/>
        <v>0</v>
      </c>
      <c r="BB64" s="129" t="b">
        <f t="shared" si="9"/>
        <v>0</v>
      </c>
      <c r="BC64" s="641"/>
    </row>
    <row r="65" spans="5:62" ht="0" hidden="1" customHeight="1">
      <c r="E65" s="489">
        <v>15</v>
      </c>
      <c r="F65" s="3" t="str" cm="1">
        <f t="array" aca="1" ref="F65" ca="1">OFFSET(E65,-1,1)</f>
        <v>1</v>
      </c>
      <c r="G65" s="66" t="s">
        <v>322</v>
      </c>
      <c r="H65" s="69" cm="1">
        <f t="array" ref="H65">AC65</f>
        <v>0</v>
      </c>
      <c r="I65" s="66" t="s">
        <v>1093</v>
      </c>
      <c r="T65" s="351" t="b">
        <f ca="1">AND(F65&gt;0,Y64&gt;0)</f>
        <v>0</v>
      </c>
      <c r="X65" s="946"/>
      <c r="Y65" s="946"/>
      <c r="Z65" s="1084"/>
      <c r="AA65" s="1086"/>
      <c r="AB65" s="7" t="str">
        <f>"2."&amp;Y64</f>
        <v>2.0</v>
      </c>
      <c r="AC65" s="185"/>
      <c r="AD65" s="124" t="s">
        <v>859</v>
      </c>
      <c r="AE65" s="777"/>
      <c r="AF65" s="777"/>
      <c r="AG65" s="777"/>
      <c r="AH65" s="777"/>
      <c r="AI65" s="128"/>
      <c r="AJ65" s="128"/>
      <c r="AK65" s="128"/>
      <c r="AL65" s="777"/>
      <c r="AM65" s="777"/>
      <c r="AN65" s="777"/>
      <c r="AO65" s="777"/>
      <c r="AP65" s="777"/>
      <c r="AQ65" s="777"/>
      <c r="AR65" s="777"/>
      <c r="AS65" s="128"/>
      <c r="AT65" s="128"/>
      <c r="AU65" s="128"/>
      <c r="AV65" s="777"/>
      <c r="AW65" s="777"/>
      <c r="AX65" s="777"/>
      <c r="AY65" s="777"/>
      <c r="AZ65" s="777"/>
      <c r="BA65" s="777"/>
      <c r="BB65" s="777"/>
      <c r="BC65" s="823"/>
      <c r="BF65" s="680" t="s">
        <v>1085</v>
      </c>
      <c r="BG65" s="680" t="s">
        <v>1094</v>
      </c>
      <c r="BH65" s="680" cm="1">
        <f t="array" ref="BH65">AC65</f>
        <v>0</v>
      </c>
      <c r="BJ65" s="489" t="b">
        <v>1</v>
      </c>
    </row>
    <row r="66" spans="5:62" ht="0" hidden="1" customHeight="1">
      <c r="E66" s="489">
        <v>15</v>
      </c>
      <c r="F66" s="3" t="str" cm="1">
        <f t="array" aca="1" ref="F66" ca="1">OFFSET(E66,-1,1)</f>
        <v>1</v>
      </c>
      <c r="G66" s="66" t="s">
        <v>525</v>
      </c>
      <c r="H66" s="69" cm="1">
        <f t="array" ref="H66">H65</f>
        <v>0</v>
      </c>
      <c r="I66" s="66" t="s">
        <v>1093</v>
      </c>
      <c r="T66" s="351" t="b" cm="1">
        <f t="array" aca="1" ref="T66" ca="1">T65</f>
        <v>0</v>
      </c>
      <c r="X66" s="946"/>
      <c r="Y66" s="946"/>
      <c r="Z66" s="1084"/>
      <c r="AA66" s="1086"/>
      <c r="AB66" s="7" t="str">
        <f>AB65&amp;".1"</f>
        <v>2.0.1</v>
      </c>
      <c r="AC66" s="134" t="s">
        <v>1095</v>
      </c>
      <c r="AD66" s="7" t="s">
        <v>585</v>
      </c>
      <c r="AE66" s="777"/>
      <c r="AF66" s="777"/>
      <c r="AG66" s="777"/>
      <c r="AH66" s="777"/>
      <c r="AI66" s="128"/>
      <c r="AJ66" s="128"/>
      <c r="AK66" s="128"/>
      <c r="AL66" s="777"/>
      <c r="AM66" s="777"/>
      <c r="AN66" s="777"/>
      <c r="AO66" s="777"/>
      <c r="AP66" s="777"/>
      <c r="AQ66" s="777"/>
      <c r="AR66" s="777"/>
      <c r="AS66" s="128"/>
      <c r="AT66" s="128"/>
      <c r="AU66" s="128"/>
      <c r="AV66" s="777"/>
      <c r="AW66" s="777"/>
      <c r="AX66" s="777"/>
      <c r="AY66" s="777"/>
      <c r="AZ66" s="777"/>
      <c r="BA66" s="777"/>
      <c r="BB66" s="777"/>
      <c r="BC66" s="823"/>
      <c r="BF66" s="680" t="s">
        <v>1088</v>
      </c>
      <c r="BG66" s="680" t="s">
        <v>1094</v>
      </c>
      <c r="BH66" s="680" cm="1">
        <f t="array" ref="BH66">BH65</f>
        <v>0</v>
      </c>
    </row>
    <row r="67" spans="5:62" ht="0" hidden="1" customHeight="1">
      <c r="E67" s="489">
        <v>15</v>
      </c>
      <c r="F67" s="3" t="str" cm="1">
        <f t="array" aca="1" ref="F67" ca="1">OFFSET(E67,-1,1)</f>
        <v>1</v>
      </c>
      <c r="H67" s="66" t="str">
        <f>"!=='не определено' &amp;&amp; row.l2 !== null"</f>
        <v>!=='не определено' &amp;&amp; row.l2 !== null</v>
      </c>
      <c r="T67" s="351" t="b">
        <f ca="1">F67&gt;0</f>
        <v>1</v>
      </c>
      <c r="W67" s="495" t="s">
        <v>1089</v>
      </c>
      <c r="X67" s="946"/>
      <c r="Y67" s="493"/>
      <c r="Z67" s="1084"/>
      <c r="AB67" s="492"/>
      <c r="AC67" s="145" t="s">
        <v>1090</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6"/>
      <c r="BI67" s="489" t="s">
        <v>1094</v>
      </c>
    </row>
    <row r="68" spans="5:62" ht="0" hidden="1" customHeight="1">
      <c r="E68" s="489">
        <v>23</v>
      </c>
      <c r="F68" s="3" t="str" cm="1">
        <f t="array" aca="1" ref="F68" ca="1">OFFSET(E68,-1,1)</f>
        <v>1</v>
      </c>
      <c r="K68" s="600" t="str">
        <f ca="1">F58&amp;"3komm"</f>
        <v>13komm</v>
      </c>
      <c r="L68" s="604" cm="1">
        <f t="array" ref="L68">BC68</f>
        <v>0</v>
      </c>
      <c r="T68" s="351" t="b" cm="1">
        <f t="array" aca="1" ref="T68" ca="1">T67</f>
        <v>1</v>
      </c>
      <c r="X68" s="946"/>
      <c r="Y68" s="494"/>
      <c r="Z68" s="1084"/>
      <c r="AB68" s="124">
        <v>3</v>
      </c>
      <c r="AC68" s="125" t="s">
        <v>1096</v>
      </c>
      <c r="AD68" s="124" t="s">
        <v>859</v>
      </c>
      <c r="AE68" s="126">
        <f>SUMIF(AD70:AD72,AD68,AE70:AE72)</f>
        <v>0</v>
      </c>
      <c r="AF68" s="126">
        <f>SUMIF(AD70:AD72,AD68,AF70:AF72)</f>
        <v>0</v>
      </c>
      <c r="AG68" s="126">
        <f>SUMIF(AD70:AD72,AD68,AG70:AG72)</f>
        <v>0</v>
      </c>
      <c r="AH68" s="126">
        <f>SUMIF(AD70:AD72,AD68,AH70:AH72)</f>
        <v>0</v>
      </c>
      <c r="AI68" s="126">
        <f>SUMIF(AD70:AD72,AD68,AI70:AI72)</f>
        <v>0</v>
      </c>
      <c r="AJ68" s="126">
        <f>SUMIF(AD70:AD72,AD68,AJ70:AJ72)</f>
        <v>0</v>
      </c>
      <c r="AK68" s="126">
        <f>SUMIF(AD70:AD72,AD68,AK70:AK72)</f>
        <v>0</v>
      </c>
      <c r="AL68" s="126">
        <f>SUMIF(AD70:AD72,AD68,AL70:AL72)</f>
        <v>0</v>
      </c>
      <c r="AM68" s="126">
        <f>SUMIF(AD70:AD72,AD68,AM70:AM72)</f>
        <v>0</v>
      </c>
      <c r="AN68" s="126">
        <f>SUMIF(AD70:AD72,AD68,AN70:AN72)</f>
        <v>0</v>
      </c>
      <c r="AO68" s="126">
        <f>SUMIF(AD70:AD72,AD68,AO70:AO72)</f>
        <v>0</v>
      </c>
      <c r="AP68" s="126">
        <f>SUMIF(AD70:AD72,AD68,AP70:AP72)</f>
        <v>0</v>
      </c>
      <c r="AQ68" s="126">
        <f>SUMIF(AD70:AD72,AD68,AQ70:AQ72)</f>
        <v>0</v>
      </c>
      <c r="AR68" s="126">
        <f>SUMIF(AD70:AD72,AD68,AR70:AR72)</f>
        <v>0</v>
      </c>
      <c r="AS68" s="126">
        <f>SUMIF(AD70:AD72,AD68,AS70:AS72)</f>
        <v>0</v>
      </c>
      <c r="AT68" s="126">
        <f>SUMIF(AD70:AD72,AD68,AT70:AT72)</f>
        <v>0</v>
      </c>
      <c r="AU68" s="126">
        <f>SUMIF(AD70:AD72,AD68,AU70:AU72)</f>
        <v>0</v>
      </c>
      <c r="AV68" s="126">
        <f>SUMIF(AD70:AD72,AD68,AV70:AV72)</f>
        <v>0</v>
      </c>
      <c r="AW68" s="126">
        <f>SUMIF(AD70:AD72,AD68,AW70:AW72)</f>
        <v>0</v>
      </c>
      <c r="AX68" s="126">
        <f>SUMIF(AD70:AD72,AD68,AX70:AX72)</f>
        <v>0</v>
      </c>
      <c r="AY68" s="126">
        <f>SUMIF(AD70:AD72,AD68,AY70:AY72)</f>
        <v>0</v>
      </c>
      <c r="AZ68" s="126">
        <f>SUMIF(AD70:AD72,AD68,AZ70:AZ72)</f>
        <v>0</v>
      </c>
      <c r="BA68" s="126">
        <f>SUMIF(AD70:AD72,AD68,BA70:BA72)</f>
        <v>0</v>
      </c>
      <c r="BB68" s="126">
        <f>SUMIF(AD70:AD72,AD68,BB70:BB72)</f>
        <v>0</v>
      </c>
      <c r="BC68" s="113"/>
      <c r="BF68" s="680" t="s">
        <v>1097</v>
      </c>
    </row>
    <row r="69" spans="5:62" ht="0" hidden="1" customHeight="1">
      <c r="E69" s="489">
        <v>0</v>
      </c>
      <c r="F69" s="3" t="str" cm="1">
        <f t="array" aca="1" ref="F69" ca="1">OFFSET(E69,-1,1)</f>
        <v>1</v>
      </c>
      <c r="G69" s="66" t="s">
        <v>323</v>
      </c>
      <c r="L69" s="604"/>
      <c r="T69" s="351" t="b">
        <v>0</v>
      </c>
      <c r="W69" s="66" t="s">
        <v>171</v>
      </c>
      <c r="X69" s="946"/>
      <c r="Y69" s="946">
        <v>0</v>
      </c>
      <c r="Z69" s="1084"/>
      <c r="AA69" s="1086" t="s">
        <v>172</v>
      </c>
      <c r="AB69" s="124"/>
      <c r="AC69" s="125"/>
      <c r="AD69" s="124"/>
      <c r="AE69" s="129" t="b">
        <f t="shared" ref="AE69:BB69" si="10">OR(AND(AE70&lt;&gt;"",AE71=""),AND(AE70="",AE71&lt;&gt;""))</f>
        <v>0</v>
      </c>
      <c r="AF69" s="129" t="b">
        <f t="shared" si="10"/>
        <v>0</v>
      </c>
      <c r="AG69" s="129" t="b">
        <f t="shared" si="10"/>
        <v>0</v>
      </c>
      <c r="AH69" s="129" t="b">
        <f t="shared" si="10"/>
        <v>0</v>
      </c>
      <c r="AI69" s="129" t="b">
        <f t="shared" si="10"/>
        <v>0</v>
      </c>
      <c r="AJ69" s="129" t="b">
        <f t="shared" si="10"/>
        <v>0</v>
      </c>
      <c r="AK69" s="129" t="b">
        <f t="shared" si="10"/>
        <v>0</v>
      </c>
      <c r="AL69" s="129" t="b">
        <f t="shared" si="10"/>
        <v>0</v>
      </c>
      <c r="AM69" s="129" t="b">
        <f t="shared" si="10"/>
        <v>0</v>
      </c>
      <c r="AN69" s="129" t="b">
        <f t="shared" si="10"/>
        <v>0</v>
      </c>
      <c r="AO69" s="129" t="b">
        <f t="shared" si="10"/>
        <v>0</v>
      </c>
      <c r="AP69" s="129" t="b">
        <f t="shared" si="10"/>
        <v>0</v>
      </c>
      <c r="AQ69" s="129" t="b">
        <f t="shared" si="10"/>
        <v>0</v>
      </c>
      <c r="AR69" s="129" t="b">
        <f t="shared" si="10"/>
        <v>0</v>
      </c>
      <c r="AS69" s="129" t="b">
        <f t="shared" si="10"/>
        <v>0</v>
      </c>
      <c r="AT69" s="129" t="b">
        <f t="shared" si="10"/>
        <v>0</v>
      </c>
      <c r="AU69" s="129" t="b">
        <f t="shared" si="10"/>
        <v>0</v>
      </c>
      <c r="AV69" s="129" t="b">
        <f t="shared" si="10"/>
        <v>0</v>
      </c>
      <c r="AW69" s="129" t="b">
        <f t="shared" si="10"/>
        <v>0</v>
      </c>
      <c r="AX69" s="129" t="b">
        <f t="shared" si="10"/>
        <v>0</v>
      </c>
      <c r="AY69" s="129" t="b">
        <f t="shared" si="10"/>
        <v>0</v>
      </c>
      <c r="AZ69" s="129" t="b">
        <f t="shared" si="10"/>
        <v>0</v>
      </c>
      <c r="BA69" s="129" t="b">
        <f t="shared" si="10"/>
        <v>0</v>
      </c>
      <c r="BB69" s="129" t="b">
        <f t="shared" si="10"/>
        <v>0</v>
      </c>
      <c r="BC69" s="641"/>
    </row>
    <row r="70" spans="5:62" ht="0" hidden="1" customHeight="1">
      <c r="E70" s="489">
        <v>15</v>
      </c>
      <c r="F70" s="3" t="str" cm="1">
        <f t="array" aca="1" ref="F70" ca="1">OFFSET(E70,-1,1)</f>
        <v>1</v>
      </c>
      <c r="G70" s="66" t="s">
        <v>323</v>
      </c>
      <c r="H70" s="69" cm="1">
        <f t="array" ref="H70">AC70</f>
        <v>0</v>
      </c>
      <c r="I70" s="66" t="s">
        <v>1098</v>
      </c>
      <c r="T70" s="351" t="b">
        <f ca="1">AND(F70&gt;0,Y69&gt;0)</f>
        <v>0</v>
      </c>
      <c r="X70" s="946"/>
      <c r="Y70" s="946"/>
      <c r="Z70" s="1084"/>
      <c r="AA70" s="1086"/>
      <c r="AB70" s="7" t="str">
        <f>"3."&amp;Y69</f>
        <v>3.0</v>
      </c>
      <c r="AC70" s="185"/>
      <c r="AD70" s="124" t="s">
        <v>859</v>
      </c>
      <c r="AE70" s="777"/>
      <c r="AF70" s="777"/>
      <c r="AG70" s="777"/>
      <c r="AH70" s="777"/>
      <c r="AI70" s="128"/>
      <c r="AJ70" s="128"/>
      <c r="AK70" s="128"/>
      <c r="AL70" s="777"/>
      <c r="AM70" s="777"/>
      <c r="AN70" s="777"/>
      <c r="AO70" s="777"/>
      <c r="AP70" s="777"/>
      <c r="AQ70" s="777"/>
      <c r="AR70" s="777"/>
      <c r="AS70" s="128"/>
      <c r="AT70" s="128"/>
      <c r="AU70" s="128"/>
      <c r="AV70" s="777"/>
      <c r="AW70" s="777"/>
      <c r="AX70" s="777"/>
      <c r="AY70" s="777"/>
      <c r="AZ70" s="777"/>
      <c r="BA70" s="777"/>
      <c r="BB70" s="777"/>
      <c r="BC70" s="823"/>
      <c r="BF70" s="680" t="s">
        <v>1085</v>
      </c>
      <c r="BG70" s="680" t="s">
        <v>1099</v>
      </c>
      <c r="BH70" s="680" cm="1">
        <f t="array" ref="BH70">AC70</f>
        <v>0</v>
      </c>
      <c r="BJ70" s="489" t="b">
        <v>1</v>
      </c>
    </row>
    <row r="71" spans="5:62" ht="0" hidden="1" customHeight="1">
      <c r="E71" s="489">
        <v>15</v>
      </c>
      <c r="F71" s="3" t="str" cm="1">
        <f t="array" aca="1" ref="F71" ca="1">OFFSET(E71,-1,1)</f>
        <v>1</v>
      </c>
      <c r="G71" s="66" t="s">
        <v>966</v>
      </c>
      <c r="H71" s="69" cm="1">
        <f t="array" ref="H71">H70</f>
        <v>0</v>
      </c>
      <c r="I71" s="66" t="s">
        <v>1098</v>
      </c>
      <c r="T71" s="351" t="b" cm="1">
        <f t="array" aca="1" ref="T71" ca="1">T70</f>
        <v>0</v>
      </c>
      <c r="X71" s="946"/>
      <c r="Y71" s="946"/>
      <c r="Z71" s="1084"/>
      <c r="AA71" s="1086"/>
      <c r="AB71" s="7" t="str">
        <f>AB70&amp;".1"</f>
        <v>3.0.1</v>
      </c>
      <c r="AC71" s="134" t="s">
        <v>1100</v>
      </c>
      <c r="AD71" s="7" t="s">
        <v>585</v>
      </c>
      <c r="AE71" s="777"/>
      <c r="AF71" s="777"/>
      <c r="AG71" s="777"/>
      <c r="AH71" s="777"/>
      <c r="AI71" s="128"/>
      <c r="AJ71" s="128"/>
      <c r="AK71" s="128"/>
      <c r="AL71" s="777"/>
      <c r="AM71" s="777"/>
      <c r="AN71" s="777"/>
      <c r="AO71" s="777"/>
      <c r="AP71" s="777"/>
      <c r="AQ71" s="777"/>
      <c r="AR71" s="777"/>
      <c r="AS71" s="128"/>
      <c r="AT71" s="128"/>
      <c r="AU71" s="128"/>
      <c r="AV71" s="777"/>
      <c r="AW71" s="777"/>
      <c r="AX71" s="777"/>
      <c r="AY71" s="777"/>
      <c r="AZ71" s="777"/>
      <c r="BA71" s="777"/>
      <c r="BB71" s="777"/>
      <c r="BC71" s="823"/>
      <c r="BF71" s="680" t="s">
        <v>1088</v>
      </c>
      <c r="BG71" s="680" t="s">
        <v>1099</v>
      </c>
      <c r="BH71" s="680" cm="1">
        <f t="array" ref="BH71">BH70</f>
        <v>0</v>
      </c>
    </row>
    <row r="72" spans="5:62" ht="0" hidden="1" customHeight="1">
      <c r="E72" s="489">
        <v>15</v>
      </c>
      <c r="F72" s="3" t="str" cm="1">
        <f t="array" aca="1" ref="F72" ca="1">OFFSET(E72,-1,1)</f>
        <v>1</v>
      </c>
      <c r="H72" s="66" t="str">
        <f>"!=='не определено' &amp;&amp; row.l3 !== null"</f>
        <v>!=='не определено' &amp;&amp; row.l3 !== null</v>
      </c>
      <c r="T72" s="351" t="b">
        <f ca="1">F72&gt;0</f>
        <v>1</v>
      </c>
      <c r="W72" s="495" t="s">
        <v>1101</v>
      </c>
      <c r="X72" s="946"/>
      <c r="Y72" s="493"/>
      <c r="Z72" s="1084"/>
      <c r="AB72" s="492"/>
      <c r="AC72" s="145" t="s">
        <v>1090</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6"/>
      <c r="BI72" s="489" t="s">
        <v>1099</v>
      </c>
    </row>
    <row r="73" spans="5:62" ht="0" hidden="1" customHeight="1">
      <c r="E73" s="489">
        <v>23</v>
      </c>
      <c r="F73" s="3" t="str" cm="1">
        <f t="array" aca="1" ref="F73" ca="1">OFFSET(E73,-1,1)</f>
        <v>1</v>
      </c>
      <c r="K73" s="600" t="str">
        <f ca="1">F58&amp;"4komm"</f>
        <v>14komm</v>
      </c>
      <c r="L73" s="604" cm="1">
        <f t="array" ref="L73">BC73</f>
        <v>0</v>
      </c>
      <c r="T73" s="351" t="b" cm="1">
        <f t="array" aca="1" ref="T73" ca="1">T72</f>
        <v>1</v>
      </c>
      <c r="X73" s="946"/>
      <c r="Y73" s="494"/>
      <c r="Z73" s="1084"/>
      <c r="AB73" s="124">
        <v>4</v>
      </c>
      <c r="AC73" s="125" t="s">
        <v>1102</v>
      </c>
      <c r="AD73" s="124" t="s">
        <v>859</v>
      </c>
      <c r="AE73" s="126">
        <f>SUMIF(AD75:AD77,AD73,AE75:AE77)</f>
        <v>0</v>
      </c>
      <c r="AF73" s="126">
        <f>SUMIF(AD75:AD77,AD73,AF75:AF77)</f>
        <v>0</v>
      </c>
      <c r="AG73" s="126">
        <f>SUMIF(AD75:AD77,AD73,AG75:AG77)</f>
        <v>0</v>
      </c>
      <c r="AH73" s="126">
        <f>SUMIF(AD75:AD77,AD73,AH75:AH77)</f>
        <v>0</v>
      </c>
      <c r="AI73" s="126">
        <f>SUMIF(AD75:AD77,AD73,AI75:AI77)</f>
        <v>0</v>
      </c>
      <c r="AJ73" s="126">
        <f>SUMIF(AD75:AD77,AD73,AJ75:AJ77)</f>
        <v>0</v>
      </c>
      <c r="AK73" s="126">
        <f>SUMIF(AD75:AD77,AD73,AK75:AK77)</f>
        <v>0</v>
      </c>
      <c r="AL73" s="126">
        <f>SUMIF(AD75:AD77,AD73,AL75:AL77)</f>
        <v>0</v>
      </c>
      <c r="AM73" s="126">
        <f>SUMIF(AD75:AD77,AD73,AM75:AM77)</f>
        <v>0</v>
      </c>
      <c r="AN73" s="126">
        <f>SUMIF(AD75:AD77,AD73,AN75:AN77)</f>
        <v>0</v>
      </c>
      <c r="AO73" s="126">
        <f>SUMIF(AD75:AD77,AD73,AO75:AO77)</f>
        <v>0</v>
      </c>
      <c r="AP73" s="126">
        <f>SUMIF(AD75:AD77,AD73,AP75:AP77)</f>
        <v>0</v>
      </c>
      <c r="AQ73" s="126">
        <f>SUMIF(AD75:AD77,AD73,AQ75:AQ77)</f>
        <v>0</v>
      </c>
      <c r="AR73" s="126">
        <f>SUMIF(AD75:AD77,AD73,AR75:AR77)</f>
        <v>0</v>
      </c>
      <c r="AS73" s="126">
        <f>SUMIF(AD75:AD77,AD73,AS75:AS77)</f>
        <v>0</v>
      </c>
      <c r="AT73" s="126">
        <f>SUMIF(AD75:AD77,AD73,AT75:AT77)</f>
        <v>0</v>
      </c>
      <c r="AU73" s="126">
        <f>SUMIF(AD75:AD77,AD73,AU75:AU77)</f>
        <v>0</v>
      </c>
      <c r="AV73" s="126">
        <f>SUMIF(AD75:AD77,AD73,AV75:AV77)</f>
        <v>0</v>
      </c>
      <c r="AW73" s="126">
        <f>SUMIF(AD75:AD77,AD73,AW75:AW77)</f>
        <v>0</v>
      </c>
      <c r="AX73" s="126">
        <f>SUMIF(AD75:AD77,AD73,AX75:AX77)</f>
        <v>0</v>
      </c>
      <c r="AY73" s="126">
        <f>SUMIF(AD75:AD77,AD73,AY75:AY77)</f>
        <v>0</v>
      </c>
      <c r="AZ73" s="126">
        <f>SUMIF(AD75:AD77,AD73,AZ75:AZ77)</f>
        <v>0</v>
      </c>
      <c r="BA73" s="126">
        <f>SUMIF(AD75:AD77,AD73,BA75:BA77)</f>
        <v>0</v>
      </c>
      <c r="BB73" s="126">
        <f>SUMIF(AD75:AD77,AD73,BB75:BB77)</f>
        <v>0</v>
      </c>
      <c r="BC73" s="113"/>
      <c r="BF73" s="680" t="s">
        <v>1103</v>
      </c>
    </row>
    <row r="74" spans="5:62" ht="0" hidden="1" customHeight="1">
      <c r="E74" s="489">
        <v>0</v>
      </c>
      <c r="F74" s="3" t="str" cm="1">
        <f t="array" aca="1" ref="F74" ca="1">OFFSET(E74,-1,1)</f>
        <v>1</v>
      </c>
      <c r="G74" s="66" t="s">
        <v>325</v>
      </c>
      <c r="L74" s="604"/>
      <c r="T74" s="351" t="b">
        <v>0</v>
      </c>
      <c r="W74" s="66" t="s">
        <v>171</v>
      </c>
      <c r="X74" s="946"/>
      <c r="Y74" s="946">
        <v>0</v>
      </c>
      <c r="Z74" s="1084"/>
      <c r="AA74" s="1086" t="s">
        <v>172</v>
      </c>
      <c r="AB74" s="124"/>
      <c r="AC74" s="125"/>
      <c r="AD74" s="124"/>
      <c r="AE74" s="129" t="b">
        <f t="shared" ref="AE74:BB74" si="11">OR(AND(AE75&lt;&gt;"",AE76=""),AND(AE75="",AE76&lt;&gt;""))</f>
        <v>0</v>
      </c>
      <c r="AF74" s="129" t="b">
        <f t="shared" si="11"/>
        <v>0</v>
      </c>
      <c r="AG74" s="129" t="b">
        <f t="shared" si="11"/>
        <v>0</v>
      </c>
      <c r="AH74" s="129" t="b">
        <f t="shared" si="11"/>
        <v>0</v>
      </c>
      <c r="AI74" s="129" t="b">
        <f t="shared" si="11"/>
        <v>0</v>
      </c>
      <c r="AJ74" s="129" t="b">
        <f t="shared" si="11"/>
        <v>0</v>
      </c>
      <c r="AK74" s="129" t="b">
        <f t="shared" si="11"/>
        <v>0</v>
      </c>
      <c r="AL74" s="129" t="b">
        <f t="shared" si="11"/>
        <v>0</v>
      </c>
      <c r="AM74" s="129" t="b">
        <f t="shared" si="11"/>
        <v>0</v>
      </c>
      <c r="AN74" s="129" t="b">
        <f t="shared" si="11"/>
        <v>0</v>
      </c>
      <c r="AO74" s="129" t="b">
        <f t="shared" si="11"/>
        <v>0</v>
      </c>
      <c r="AP74" s="129" t="b">
        <f t="shared" si="11"/>
        <v>0</v>
      </c>
      <c r="AQ74" s="129" t="b">
        <f t="shared" si="11"/>
        <v>0</v>
      </c>
      <c r="AR74" s="129" t="b">
        <f t="shared" si="11"/>
        <v>0</v>
      </c>
      <c r="AS74" s="129" t="b">
        <f t="shared" si="11"/>
        <v>0</v>
      </c>
      <c r="AT74" s="129" t="b">
        <f t="shared" si="11"/>
        <v>0</v>
      </c>
      <c r="AU74" s="129" t="b">
        <f t="shared" si="11"/>
        <v>0</v>
      </c>
      <c r="AV74" s="129" t="b">
        <f t="shared" si="11"/>
        <v>0</v>
      </c>
      <c r="AW74" s="129" t="b">
        <f t="shared" si="11"/>
        <v>0</v>
      </c>
      <c r="AX74" s="129" t="b">
        <f t="shared" si="11"/>
        <v>0</v>
      </c>
      <c r="AY74" s="129" t="b">
        <f t="shared" si="11"/>
        <v>0</v>
      </c>
      <c r="AZ74" s="129" t="b">
        <f t="shared" si="11"/>
        <v>0</v>
      </c>
      <c r="BA74" s="129" t="b">
        <f t="shared" si="11"/>
        <v>0</v>
      </c>
      <c r="BB74" s="129" t="b">
        <f t="shared" si="11"/>
        <v>0</v>
      </c>
      <c r="BC74" s="641"/>
    </row>
    <row r="75" spans="5:62" ht="0" hidden="1" customHeight="1">
      <c r="E75" s="489">
        <v>15</v>
      </c>
      <c r="F75" s="3" t="str" cm="1">
        <f t="array" aca="1" ref="F75" ca="1">OFFSET(E75,-1,1)</f>
        <v>1</v>
      </c>
      <c r="G75" s="66" t="s">
        <v>325</v>
      </c>
      <c r="H75" s="69" cm="1">
        <f t="array" ref="H75">AC75</f>
        <v>0</v>
      </c>
      <c r="I75" s="66" t="s">
        <v>1104</v>
      </c>
      <c r="T75" s="351" t="b">
        <f ca="1">AND(F75&gt;0,Y74&gt;0)</f>
        <v>0</v>
      </c>
      <c r="X75" s="946"/>
      <c r="Y75" s="946"/>
      <c r="Z75" s="1084"/>
      <c r="AA75" s="1086"/>
      <c r="AB75" s="7" t="str">
        <f>"4."&amp;Y74</f>
        <v>4.0</v>
      </c>
      <c r="AC75" s="185"/>
      <c r="AD75" s="124" t="s">
        <v>859</v>
      </c>
      <c r="AE75" s="777"/>
      <c r="AF75" s="777"/>
      <c r="AG75" s="777"/>
      <c r="AH75" s="777"/>
      <c r="AI75" s="128"/>
      <c r="AJ75" s="128"/>
      <c r="AK75" s="128"/>
      <c r="AL75" s="777"/>
      <c r="AM75" s="777"/>
      <c r="AN75" s="777"/>
      <c r="AO75" s="777"/>
      <c r="AP75" s="777"/>
      <c r="AQ75" s="777"/>
      <c r="AR75" s="777"/>
      <c r="AS75" s="128"/>
      <c r="AT75" s="128"/>
      <c r="AU75" s="128"/>
      <c r="AV75" s="777"/>
      <c r="AW75" s="777"/>
      <c r="AX75" s="777"/>
      <c r="AY75" s="777"/>
      <c r="AZ75" s="777"/>
      <c r="BA75" s="777"/>
      <c r="BB75" s="777"/>
      <c r="BC75" s="823"/>
      <c r="BF75" s="680" t="s">
        <v>1085</v>
      </c>
      <c r="BG75" s="680" t="s">
        <v>1105</v>
      </c>
      <c r="BH75" s="680" cm="1">
        <f t="array" ref="BH75">AC75</f>
        <v>0</v>
      </c>
      <c r="BJ75" s="489" t="b">
        <v>1</v>
      </c>
    </row>
    <row r="76" spans="5:62" ht="0" hidden="1" customHeight="1">
      <c r="E76" s="489">
        <v>15</v>
      </c>
      <c r="F76" s="3" t="str" cm="1">
        <f t="array" aca="1" ref="F76" ca="1">OFFSET(E76,-1,1)</f>
        <v>1</v>
      </c>
      <c r="G76" s="66" t="s">
        <v>587</v>
      </c>
      <c r="H76" s="69" cm="1">
        <f t="array" ref="H76">H75</f>
        <v>0</v>
      </c>
      <c r="I76" s="66" t="s">
        <v>1104</v>
      </c>
      <c r="T76" s="351" t="b" cm="1">
        <f t="array" aca="1" ref="T76" ca="1">T75</f>
        <v>0</v>
      </c>
      <c r="X76" s="946"/>
      <c r="Y76" s="946"/>
      <c r="Z76" s="1084"/>
      <c r="AA76" s="1086"/>
      <c r="AB76" s="7" t="str">
        <f>AB75&amp;".1"</f>
        <v>4.0.1</v>
      </c>
      <c r="AC76" s="134" t="s">
        <v>1106</v>
      </c>
      <c r="AD76" s="7" t="s">
        <v>585</v>
      </c>
      <c r="AE76" s="777"/>
      <c r="AF76" s="777"/>
      <c r="AG76" s="777"/>
      <c r="AH76" s="777"/>
      <c r="AI76" s="128"/>
      <c r="AJ76" s="128"/>
      <c r="AK76" s="128"/>
      <c r="AL76" s="777"/>
      <c r="AM76" s="777"/>
      <c r="AN76" s="777"/>
      <c r="AO76" s="777"/>
      <c r="AP76" s="777"/>
      <c r="AQ76" s="777"/>
      <c r="AR76" s="777"/>
      <c r="AS76" s="128"/>
      <c r="AT76" s="128"/>
      <c r="AU76" s="128"/>
      <c r="AV76" s="777"/>
      <c r="AW76" s="777"/>
      <c r="AX76" s="777"/>
      <c r="AY76" s="777"/>
      <c r="AZ76" s="777"/>
      <c r="BA76" s="777"/>
      <c r="BB76" s="777"/>
      <c r="BC76" s="823"/>
      <c r="BF76" s="680" t="s">
        <v>1088</v>
      </c>
      <c r="BG76" s="680" t="s">
        <v>1105</v>
      </c>
      <c r="BH76" s="680" cm="1">
        <f t="array" ref="BH76">BH75</f>
        <v>0</v>
      </c>
    </row>
    <row r="77" spans="5:62" ht="0" hidden="1" customHeight="1">
      <c r="E77" s="489">
        <v>15</v>
      </c>
      <c r="F77" s="3" t="str" cm="1">
        <f t="array" aca="1" ref="F77" ca="1">OFFSET(E77,-1,1)</f>
        <v>1</v>
      </c>
      <c r="H77" s="66" t="str">
        <f>"!=='не определено' &amp;&amp; row.l4 !== null"</f>
        <v>!=='не определено' &amp;&amp; row.l4 !== null</v>
      </c>
      <c r="T77" s="351" t="b">
        <f ca="1">F77&gt;0</f>
        <v>1</v>
      </c>
      <c r="W77" s="495" t="s">
        <v>1107</v>
      </c>
      <c r="X77" s="946"/>
      <c r="Y77" s="493"/>
      <c r="Z77" s="1084"/>
      <c r="AB77" s="492"/>
      <c r="AC77" s="145" t="s">
        <v>1090</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6"/>
      <c r="BI77" s="489" t="s">
        <v>1105</v>
      </c>
    </row>
    <row r="78" spans="5:62" ht="0" hidden="1" customHeight="1">
      <c r="E78" s="489">
        <v>23</v>
      </c>
      <c r="F78" s="3" t="str" cm="1">
        <f t="array" aca="1" ref="F78" ca="1">OFFSET(E78,-1,1)</f>
        <v>1</v>
      </c>
      <c r="K78" s="600" t="str">
        <f ca="1">F58&amp;"5komm"</f>
        <v>15komm</v>
      </c>
      <c r="L78" s="604" cm="1">
        <f t="array" ref="L78">BC78</f>
        <v>0</v>
      </c>
      <c r="T78" s="351" t="b" cm="1">
        <f t="array" aca="1" ref="T78" ca="1">T77</f>
        <v>1</v>
      </c>
      <c r="X78" s="946"/>
      <c r="Y78" s="494"/>
      <c r="Z78" s="1084"/>
      <c r="AB78" s="124">
        <v>5</v>
      </c>
      <c r="AC78" s="125" t="s">
        <v>1108</v>
      </c>
      <c r="AD78" s="124" t="s">
        <v>859</v>
      </c>
      <c r="AE78" s="126">
        <f>SUMIF(AD80:AD82,AD78,AE80:AE82)</f>
        <v>0</v>
      </c>
      <c r="AF78" s="126">
        <f>SUMIF(AD80:AD82,AD78,AF80:AF82)</f>
        <v>0</v>
      </c>
      <c r="AG78" s="126">
        <f>SUMIF(AD80:AD82,AD78,AG80:AG82)</f>
        <v>0</v>
      </c>
      <c r="AH78" s="126">
        <f>SUMIF(AD80:AD82,AD78,AH80:AH82)</f>
        <v>0</v>
      </c>
      <c r="AI78" s="126">
        <f>SUMIF(AD80:AD82,AD78,AI80:AI82)</f>
        <v>0</v>
      </c>
      <c r="AJ78" s="126">
        <f>SUMIF(AD80:AD82,AD78,AJ80:AJ82)</f>
        <v>0</v>
      </c>
      <c r="AK78" s="126">
        <f>SUMIF(AD80:AD82,AD78,AK80:AK82)</f>
        <v>0</v>
      </c>
      <c r="AL78" s="126">
        <f>SUMIF(AD80:AD82,AD78,AL80:AL82)</f>
        <v>0</v>
      </c>
      <c r="AM78" s="126">
        <f>SUMIF(AD80:AD82,AD78,AM80:AM82)</f>
        <v>0</v>
      </c>
      <c r="AN78" s="126">
        <f>SUMIF(AD80:AD82,AD78,AN80:AN82)</f>
        <v>0</v>
      </c>
      <c r="AO78" s="126">
        <f>SUMIF(AD80:AD82,AD78,AO80:AO82)</f>
        <v>0</v>
      </c>
      <c r="AP78" s="126">
        <f>SUMIF(AD80:AD82,AD78,AP80:AP82)</f>
        <v>0</v>
      </c>
      <c r="AQ78" s="126">
        <f>SUMIF(AD80:AD82,AD78,AQ80:AQ82)</f>
        <v>0</v>
      </c>
      <c r="AR78" s="126">
        <f>SUMIF(AD80:AD82,AD78,AR80:AR82)</f>
        <v>0</v>
      </c>
      <c r="AS78" s="126">
        <f>SUMIF(AD80:AD82,AD78,AS80:AS82)</f>
        <v>0</v>
      </c>
      <c r="AT78" s="126">
        <f>SUMIF(AD80:AD82,AD78,AT80:AT82)</f>
        <v>0</v>
      </c>
      <c r="AU78" s="126">
        <f>SUMIF(AD80:AD82,AD78,AU80:AU82)</f>
        <v>0</v>
      </c>
      <c r="AV78" s="126">
        <f>SUMIF(AD80:AD82,AD78,AV80:AV82)</f>
        <v>0</v>
      </c>
      <c r="AW78" s="126">
        <f>SUMIF(AD80:AD82,AD78,AW80:AW82)</f>
        <v>0</v>
      </c>
      <c r="AX78" s="126">
        <f>SUMIF(AD80:AD82,AD78,AX80:AX82)</f>
        <v>0</v>
      </c>
      <c r="AY78" s="126">
        <f>SUMIF(AD80:AD82,AD78,AY80:AY82)</f>
        <v>0</v>
      </c>
      <c r="AZ78" s="126">
        <f>SUMIF(AD80:AD82,AD78,AZ80:AZ82)</f>
        <v>0</v>
      </c>
      <c r="BA78" s="126">
        <f>SUMIF(AD80:AD82,AD78,BA80:BA82)</f>
        <v>0</v>
      </c>
      <c r="BB78" s="126">
        <f>SUMIF(AD80:AD82,AD78,BB80:BB82)</f>
        <v>0</v>
      </c>
      <c r="BC78" s="113"/>
      <c r="BF78" s="680" t="s">
        <v>1109</v>
      </c>
    </row>
    <row r="79" spans="5:62" ht="0" hidden="1" customHeight="1">
      <c r="E79" s="489">
        <v>0</v>
      </c>
      <c r="F79" s="3" t="str" cm="1">
        <f t="array" aca="1" ref="F79" ca="1">OFFSET(E79,-1,1)</f>
        <v>1</v>
      </c>
      <c r="G79" s="66" t="s">
        <v>324</v>
      </c>
      <c r="L79" s="604"/>
      <c r="T79" s="351" t="b">
        <v>0</v>
      </c>
      <c r="W79" s="66" t="s">
        <v>171</v>
      </c>
      <c r="X79" s="946"/>
      <c r="Y79" s="946">
        <v>0</v>
      </c>
      <c r="Z79" s="1084"/>
      <c r="AA79" s="1086" t="s">
        <v>172</v>
      </c>
      <c r="AB79" s="124"/>
      <c r="AC79" s="125"/>
      <c r="AD79" s="124"/>
      <c r="AE79" s="129" t="b">
        <f t="shared" ref="AE79:BB79" si="12">OR(AND(AE80&lt;&gt;"",AE81=""),AND(AE80="",AE81&lt;&gt;""))</f>
        <v>0</v>
      </c>
      <c r="AF79" s="129" t="b">
        <f t="shared" si="12"/>
        <v>0</v>
      </c>
      <c r="AG79" s="129" t="b">
        <f t="shared" si="12"/>
        <v>0</v>
      </c>
      <c r="AH79" s="129" t="b">
        <f t="shared" si="12"/>
        <v>0</v>
      </c>
      <c r="AI79" s="129" t="b">
        <f t="shared" si="12"/>
        <v>0</v>
      </c>
      <c r="AJ79" s="129" t="b">
        <f t="shared" si="12"/>
        <v>0</v>
      </c>
      <c r="AK79" s="129" t="b">
        <f t="shared" si="12"/>
        <v>0</v>
      </c>
      <c r="AL79" s="129" t="b">
        <f t="shared" si="12"/>
        <v>0</v>
      </c>
      <c r="AM79" s="129" t="b">
        <f t="shared" si="12"/>
        <v>0</v>
      </c>
      <c r="AN79" s="129" t="b">
        <f t="shared" si="12"/>
        <v>0</v>
      </c>
      <c r="AO79" s="129" t="b">
        <f t="shared" si="12"/>
        <v>0</v>
      </c>
      <c r="AP79" s="129" t="b">
        <f t="shared" si="12"/>
        <v>0</v>
      </c>
      <c r="AQ79" s="129" t="b">
        <f t="shared" si="12"/>
        <v>0</v>
      </c>
      <c r="AR79" s="129" t="b">
        <f t="shared" si="12"/>
        <v>0</v>
      </c>
      <c r="AS79" s="129" t="b">
        <f t="shared" si="12"/>
        <v>0</v>
      </c>
      <c r="AT79" s="129" t="b">
        <f t="shared" si="12"/>
        <v>0</v>
      </c>
      <c r="AU79" s="129" t="b">
        <f t="shared" si="12"/>
        <v>0</v>
      </c>
      <c r="AV79" s="129" t="b">
        <f t="shared" si="12"/>
        <v>0</v>
      </c>
      <c r="AW79" s="129" t="b">
        <f t="shared" si="12"/>
        <v>0</v>
      </c>
      <c r="AX79" s="129" t="b">
        <f t="shared" si="12"/>
        <v>0</v>
      </c>
      <c r="AY79" s="129" t="b">
        <f t="shared" si="12"/>
        <v>0</v>
      </c>
      <c r="AZ79" s="129" t="b">
        <f t="shared" si="12"/>
        <v>0</v>
      </c>
      <c r="BA79" s="129" t="b">
        <f t="shared" si="12"/>
        <v>0</v>
      </c>
      <c r="BB79" s="129" t="b">
        <f t="shared" si="12"/>
        <v>0</v>
      </c>
      <c r="BC79" s="641"/>
    </row>
    <row r="80" spans="5:62" ht="0" hidden="1" customHeight="1">
      <c r="E80" s="489">
        <v>15</v>
      </c>
      <c r="F80" s="3" t="str" cm="1">
        <f t="array" aca="1" ref="F80" ca="1">OFFSET(E80,-1,1)</f>
        <v>1</v>
      </c>
      <c r="G80" s="66" t="s">
        <v>324</v>
      </c>
      <c r="H80" s="69" cm="1">
        <f t="array" ref="H80">AC80</f>
        <v>0</v>
      </c>
      <c r="I80" s="66" t="s">
        <v>1110</v>
      </c>
      <c r="T80" s="351" t="b">
        <f ca="1">AND(F80&gt;0,Y79&gt;0)</f>
        <v>0</v>
      </c>
      <c r="X80" s="946"/>
      <c r="Y80" s="946"/>
      <c r="Z80" s="1084"/>
      <c r="AA80" s="1086"/>
      <c r="AB80" s="7" t="str">
        <f>"5."&amp;Y79</f>
        <v>5.0</v>
      </c>
      <c r="AC80" s="185"/>
      <c r="AD80" s="124" t="s">
        <v>859</v>
      </c>
      <c r="AE80" s="777"/>
      <c r="AF80" s="777"/>
      <c r="AG80" s="777"/>
      <c r="AH80" s="777"/>
      <c r="AI80" s="128"/>
      <c r="AJ80" s="128"/>
      <c r="AK80" s="128"/>
      <c r="AL80" s="777"/>
      <c r="AM80" s="777"/>
      <c r="AN80" s="777"/>
      <c r="AO80" s="777"/>
      <c r="AP80" s="777"/>
      <c r="AQ80" s="777"/>
      <c r="AR80" s="777"/>
      <c r="AS80" s="128"/>
      <c r="AT80" s="128"/>
      <c r="AU80" s="128"/>
      <c r="AV80" s="777"/>
      <c r="AW80" s="777"/>
      <c r="AX80" s="777"/>
      <c r="AY80" s="777"/>
      <c r="AZ80" s="777"/>
      <c r="BA80" s="777"/>
      <c r="BB80" s="777"/>
      <c r="BC80" s="823"/>
      <c r="BF80" s="680" t="s">
        <v>1085</v>
      </c>
      <c r="BG80" s="680" t="s">
        <v>1111</v>
      </c>
      <c r="BH80" s="680" cm="1">
        <f t="array" ref="BH80">AC80</f>
        <v>0</v>
      </c>
      <c r="BJ80" s="489" t="b">
        <v>1</v>
      </c>
    </row>
    <row r="81" spans="2:62" ht="0" hidden="1" customHeight="1">
      <c r="E81" s="489">
        <v>15</v>
      </c>
      <c r="F81" s="3" t="str" cm="1">
        <f t="array" aca="1" ref="F81" ca="1">OFFSET(E81,-1,1)</f>
        <v>1</v>
      </c>
      <c r="G81" s="66" t="s">
        <v>601</v>
      </c>
      <c r="H81" s="69" cm="1">
        <f t="array" ref="H81">H80</f>
        <v>0</v>
      </c>
      <c r="I81" s="66" t="s">
        <v>1110</v>
      </c>
      <c r="T81" s="351" t="b" cm="1">
        <f t="array" aca="1" ref="T81" ca="1">T80</f>
        <v>0</v>
      </c>
      <c r="X81" s="946"/>
      <c r="Y81" s="946"/>
      <c r="Z81" s="1084"/>
      <c r="AA81" s="1086"/>
      <c r="AB81" s="7" t="str">
        <f>AB80&amp;".1"</f>
        <v>5.0.1</v>
      </c>
      <c r="AC81" s="134" t="s">
        <v>1112</v>
      </c>
      <c r="AD81" s="7" t="s">
        <v>585</v>
      </c>
      <c r="AE81" s="777"/>
      <c r="AF81" s="777"/>
      <c r="AG81" s="777"/>
      <c r="AH81" s="777"/>
      <c r="AI81" s="128"/>
      <c r="AJ81" s="128"/>
      <c r="AK81" s="128"/>
      <c r="AL81" s="777"/>
      <c r="AM81" s="777"/>
      <c r="AN81" s="777"/>
      <c r="AO81" s="777"/>
      <c r="AP81" s="777"/>
      <c r="AQ81" s="777"/>
      <c r="AR81" s="777"/>
      <c r="AS81" s="128"/>
      <c r="AT81" s="128"/>
      <c r="AU81" s="128"/>
      <c r="AV81" s="777"/>
      <c r="AW81" s="777"/>
      <c r="AX81" s="777"/>
      <c r="AY81" s="777"/>
      <c r="AZ81" s="777"/>
      <c r="BA81" s="777"/>
      <c r="BB81" s="777"/>
      <c r="BC81" s="823"/>
      <c r="BF81" s="680" t="s">
        <v>1088</v>
      </c>
      <c r="BG81" s="680" t="s">
        <v>1111</v>
      </c>
      <c r="BH81" s="680" cm="1">
        <f t="array" ref="BH81">BH80</f>
        <v>0</v>
      </c>
    </row>
    <row r="82" spans="2:62" ht="0" hidden="1" customHeight="1">
      <c r="E82" s="489">
        <v>15</v>
      </c>
      <c r="F82" s="3" t="str" cm="1">
        <f t="array" aca="1" ref="F82" ca="1">OFFSET(E82,-1,1)</f>
        <v>1</v>
      </c>
      <c r="H82" s="66" t="str">
        <f>"!=='не определено' &amp;&amp; row.l5 !== null"</f>
        <v>!=='не определено' &amp;&amp; row.l5 !== null</v>
      </c>
      <c r="T82" s="351" t="b">
        <f ca="1">F82&gt;0</f>
        <v>1</v>
      </c>
      <c r="W82" s="495" t="s">
        <v>1113</v>
      </c>
      <c r="X82" s="946"/>
      <c r="Y82" s="83"/>
      <c r="Z82" s="1084"/>
      <c r="AB82" s="492"/>
      <c r="AC82" s="145" t="s">
        <v>1090</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6"/>
      <c r="BI82" s="489" t="s">
        <v>1111</v>
      </c>
    </row>
    <row r="83" spans="2:62" s="67" customFormat="1" ht="33.75" customHeight="1">
      <c r="B83" s="337"/>
      <c r="E83" s="490">
        <v>15</v>
      </c>
      <c r="F83" s="3" t="str" cm="1">
        <f t="array" aca="1" ref="F83" ca="1">OFFSET(E83,-1,1)</f>
        <v>1</v>
      </c>
      <c r="G83" s="66" t="s">
        <v>557</v>
      </c>
      <c r="K83" s="600" t="str">
        <f ca="1">F58&amp;"6komm"</f>
        <v>16komm</v>
      </c>
      <c r="L83" s="604" t="str" cm="1">
        <f t="array" ref="L83">BC83</f>
        <v>П. 39(б), п. 48  Методических указаний ФСТ России № 1746-э.</v>
      </c>
      <c r="T83" s="351" t="b" cm="1">
        <f t="array" aca="1" ref="T83" ca="1">T82</f>
        <v>1</v>
      </c>
      <c r="X83" s="946"/>
      <c r="Z83" s="1084"/>
      <c r="AB83" s="124">
        <v>6</v>
      </c>
      <c r="AC83" s="125" t="s">
        <v>1114</v>
      </c>
      <c r="AD83" s="124" t="s">
        <v>859</v>
      </c>
      <c r="AE83" s="138">
        <v>1.95</v>
      </c>
      <c r="AF83" s="138">
        <v>0</v>
      </c>
      <c r="AG83" s="138">
        <v>0</v>
      </c>
      <c r="AH83" s="138">
        <v>26.25</v>
      </c>
      <c r="AI83" s="138">
        <v>24.071999999999999</v>
      </c>
      <c r="AJ83" s="138">
        <v>25.189900000000002</v>
      </c>
      <c r="AK83" s="138">
        <v>26.197479999999999</v>
      </c>
      <c r="AL83" s="138"/>
      <c r="AM83" s="138"/>
      <c r="AN83" s="138"/>
      <c r="AO83" s="138"/>
      <c r="AP83" s="138"/>
      <c r="AQ83" s="138"/>
      <c r="AR83" s="138"/>
      <c r="AS83" s="138">
        <v>42.67</v>
      </c>
      <c r="AT83" s="138">
        <f>AS83*1.091</f>
        <v>46.552970000000002</v>
      </c>
      <c r="AU83" s="138">
        <f>AT83*1.049</f>
        <v>48.834065529999997</v>
      </c>
      <c r="AV83" s="138"/>
      <c r="AW83" s="138"/>
      <c r="AX83" s="138"/>
      <c r="AY83" s="138"/>
      <c r="AZ83" s="138"/>
      <c r="BA83" s="138"/>
      <c r="BB83" s="138"/>
      <c r="BC83" s="113" t="s">
        <v>1122</v>
      </c>
      <c r="BF83" s="683" t="s">
        <v>1115</v>
      </c>
      <c r="BG83" s="683"/>
      <c r="BH83" s="683"/>
      <c r="BI83" s="490"/>
      <c r="BJ83" s="490"/>
    </row>
    <row r="84" spans="2:62" s="67" customFormat="1" ht="14.25" customHeight="1">
      <c r="B84" s="337"/>
      <c r="E84" s="490">
        <v>15</v>
      </c>
      <c r="F84" s="3" t="str" cm="1">
        <f t="array" aca="1" ref="F84" ca="1">OFFSET(E84,-1,1)</f>
        <v>1</v>
      </c>
      <c r="G84" s="66" t="s">
        <v>560</v>
      </c>
      <c r="K84" s="600" t="str">
        <f ca="1">F58&amp;"7komm"</f>
        <v>17komm</v>
      </c>
      <c r="L84" s="604" cm="1">
        <f t="array" ref="L84">BC84</f>
        <v>0</v>
      </c>
      <c r="T84" s="351" t="b" cm="1">
        <f t="array" aca="1" ref="T84" ca="1">T83</f>
        <v>1</v>
      </c>
      <c r="X84" s="946"/>
      <c r="Z84" s="1084"/>
      <c r="AB84" s="124">
        <v>7</v>
      </c>
      <c r="AC84" s="125" t="s">
        <v>1116</v>
      </c>
      <c r="AD84" s="124" t="s">
        <v>859</v>
      </c>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13"/>
      <c r="BF84" s="683" t="s">
        <v>1117</v>
      </c>
      <c r="BG84" s="683"/>
      <c r="BH84" s="683"/>
      <c r="BI84" s="490"/>
      <c r="BJ84" s="490"/>
    </row>
    <row r="85" spans="2:62" s="67" customFormat="1" ht="14.25" customHeight="1">
      <c r="B85" s="337"/>
      <c r="E85" s="490">
        <v>15</v>
      </c>
      <c r="F85" s="3" t="str" cm="1">
        <f t="array" aca="1" ref="F85" ca="1">OFFSET(E85,-1,1)</f>
        <v>1</v>
      </c>
      <c r="G85" s="66" t="s">
        <v>613</v>
      </c>
      <c r="K85" s="600" t="str">
        <f ca="1">F58&amp;"8komm"</f>
        <v>18komm</v>
      </c>
      <c r="L85" s="604" cm="1">
        <f t="array" ref="L85">BC85</f>
        <v>0</v>
      </c>
      <c r="T85" s="351" t="b" cm="1">
        <f t="array" aca="1" ref="T85" ca="1">T84</f>
        <v>1</v>
      </c>
      <c r="X85" s="946"/>
      <c r="Z85" s="1084"/>
      <c r="AB85" s="124">
        <v>8</v>
      </c>
      <c r="AC85" s="125" t="s">
        <v>1118</v>
      </c>
      <c r="AD85" s="124" t="s">
        <v>859</v>
      </c>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13"/>
      <c r="BF85" s="683" t="s">
        <v>1119</v>
      </c>
      <c r="BG85" s="683"/>
      <c r="BH85" s="683"/>
      <c r="BI85" s="490"/>
      <c r="BJ85" s="490"/>
    </row>
    <row r="86" spans="2:62" s="67" customFormat="1" ht="26.1" customHeight="1">
      <c r="B86" s="337"/>
      <c r="E86" s="490">
        <v>15</v>
      </c>
      <c r="F86" s="3" t="str" cm="1">
        <f t="array" aca="1" ref="F86" ca="1">OFFSET(E86,-1,1)</f>
        <v>1</v>
      </c>
      <c r="G86" s="66"/>
      <c r="K86" s="600" t="str">
        <f ca="1">F58&amp;"9komm"</f>
        <v>19komm</v>
      </c>
      <c r="L86" s="604" cm="1">
        <f t="array" ref="L86">BC86</f>
        <v>0</v>
      </c>
      <c r="T86" s="351" t="b" cm="1">
        <f t="array" aca="1" ref="T86" ca="1">T85</f>
        <v>1</v>
      </c>
      <c r="X86" s="946"/>
      <c r="Z86" s="1084"/>
      <c r="AB86" s="124">
        <v>9</v>
      </c>
      <c r="AC86" s="125" t="s">
        <v>1120</v>
      </c>
      <c r="AD86" s="124" t="s">
        <v>859</v>
      </c>
      <c r="AE86" s="138"/>
      <c r="AF86" s="138"/>
      <c r="AG86" s="138"/>
      <c r="AH86" s="138"/>
      <c r="AI86" s="138">
        <v>1528.25</v>
      </c>
      <c r="AJ86" s="138">
        <v>1595.5</v>
      </c>
      <c r="AK86" s="138">
        <v>1638.57</v>
      </c>
      <c r="AL86" s="138"/>
      <c r="AM86" s="138"/>
      <c r="AN86" s="138"/>
      <c r="AO86" s="138"/>
      <c r="AP86" s="138"/>
      <c r="AQ86" s="138"/>
      <c r="AR86" s="138"/>
      <c r="AS86" s="138">
        <v>1046.03</v>
      </c>
      <c r="AT86" s="138">
        <f>AS86*1.091+0.01</f>
        <v>1141.22873</v>
      </c>
      <c r="AU86" s="138">
        <f>AT86*1.049</f>
        <v>1197.14893777</v>
      </c>
      <c r="AV86" s="138"/>
      <c r="AW86" s="138"/>
      <c r="AX86" s="138"/>
      <c r="AY86" s="138"/>
      <c r="AZ86" s="138"/>
      <c r="BA86" s="138"/>
      <c r="BB86" s="138"/>
      <c r="BC86" s="113"/>
      <c r="BF86" s="683" t="s">
        <v>1121</v>
      </c>
      <c r="BG86" s="683"/>
      <c r="BH86" s="683"/>
      <c r="BI86" s="490"/>
      <c r="BJ86" s="490"/>
    </row>
    <row r="87" spans="2:62" ht="10.15" customHeight="1">
      <c r="E87" s="489">
        <v>10.5</v>
      </c>
      <c r="U87" s="38" t="s">
        <v>175</v>
      </c>
      <c r="V87" s="56" t="s">
        <v>1123</v>
      </c>
    </row>
    <row r="88" spans="2:62" ht="14.65" customHeight="1">
      <c r="E88" s="489">
        <v>15</v>
      </c>
      <c r="AA88" s="17"/>
      <c r="AB88" s="1028" t="s">
        <v>396</v>
      </c>
      <c r="AC88" s="1028"/>
      <c r="AD88" s="1028"/>
      <c r="AE88" s="1028"/>
      <c r="AF88" s="1028"/>
      <c r="AG88" s="1028"/>
      <c r="AH88" s="1028"/>
      <c r="AI88" s="1048"/>
      <c r="AJ88" s="1048"/>
      <c r="AK88" s="1048"/>
      <c r="AL88" s="1048"/>
      <c r="AM88" s="1048"/>
      <c r="AN88" s="1048"/>
      <c r="AO88" s="1048"/>
      <c r="AP88" s="1048"/>
      <c r="AQ88" s="1048"/>
      <c r="AR88" s="1048"/>
      <c r="AS88" s="1048"/>
      <c r="AT88" s="1048"/>
      <c r="AU88" s="1048"/>
      <c r="AV88" s="1048"/>
      <c r="AW88" s="1048"/>
      <c r="AX88" s="1048"/>
      <c r="AY88" s="1048"/>
      <c r="AZ88" s="1048"/>
      <c r="BA88" s="1048"/>
      <c r="BB88" s="1048"/>
      <c r="BC88" s="1048"/>
      <c r="BD88" s="17"/>
    </row>
    <row r="89" spans="2:62" ht="24" customHeight="1">
      <c r="E89" s="489">
        <v>15</v>
      </c>
      <c r="AA89" s="479"/>
      <c r="AB89" s="1049" t="s">
        <v>1124</v>
      </c>
      <c r="AC89" s="1049"/>
      <c r="AD89" s="1049"/>
      <c r="AE89" s="1049"/>
      <c r="AF89" s="1049"/>
      <c r="AG89" s="1049"/>
      <c r="AH89" s="1049"/>
      <c r="AI89" s="1050"/>
      <c r="AJ89" s="1050"/>
      <c r="AK89" s="1050"/>
      <c r="AL89" s="1078"/>
      <c r="AM89" s="1078"/>
      <c r="AN89" s="1078"/>
      <c r="AO89" s="1078"/>
      <c r="AP89" s="1078"/>
      <c r="AQ89" s="1078"/>
      <c r="AR89" s="1078"/>
      <c r="AS89" s="1050"/>
      <c r="AT89" s="1050"/>
      <c r="AU89" s="1050"/>
      <c r="AV89" s="1078"/>
      <c r="AW89" s="1078"/>
      <c r="AX89" s="1078"/>
      <c r="AY89" s="1078"/>
      <c r="AZ89" s="1078"/>
      <c r="BA89" s="1078"/>
      <c r="BB89" s="1078"/>
      <c r="BC89" s="1050"/>
      <c r="BD89" s="17"/>
    </row>
    <row r="90" spans="2:62" ht="14.65" hidden="1" customHeight="1">
      <c r="E90" s="489">
        <v>15</v>
      </c>
      <c r="T90" s="351" t="b">
        <f t="shared" ref="T90:T99" si="13">ROW(W90)&gt;ROW(W$90)</f>
        <v>0</v>
      </c>
      <c r="W90" s="515" t="s">
        <v>171</v>
      </c>
      <c r="AA90" s="487" t="s">
        <v>172</v>
      </c>
      <c r="AB90" s="1077" t="s">
        <v>124</v>
      </c>
      <c r="AC90" s="1077"/>
      <c r="AD90" s="1077"/>
      <c r="AE90" s="1077"/>
      <c r="AF90" s="1077"/>
      <c r="AG90" s="1077"/>
      <c r="AH90" s="1077"/>
      <c r="AI90" s="1050"/>
      <c r="AJ90" s="1050"/>
      <c r="AK90" s="1050"/>
      <c r="AL90" s="1078"/>
      <c r="AM90" s="1078"/>
      <c r="AN90" s="1078"/>
      <c r="AO90" s="1078"/>
      <c r="AP90" s="1078"/>
      <c r="AQ90" s="1078"/>
      <c r="AR90" s="1078"/>
      <c r="AS90" s="1050"/>
      <c r="AT90" s="1050"/>
      <c r="AU90" s="1050"/>
      <c r="AV90" s="1078"/>
      <c r="AW90" s="1078"/>
      <c r="AX90" s="1078"/>
      <c r="AY90" s="1078"/>
      <c r="AZ90" s="1078"/>
      <c r="BA90" s="1078"/>
      <c r="BB90" s="1078"/>
      <c r="BC90" s="1078"/>
      <c r="BD90" s="17"/>
    </row>
    <row r="91" spans="2:62" ht="23.25" customHeight="1">
      <c r="E91" s="489">
        <v>15</v>
      </c>
      <c r="T91" s="351" t="b">
        <f t="shared" si="13"/>
        <v>1</v>
      </c>
      <c r="W91" s="515"/>
      <c r="Y91" s="66" t="s">
        <v>124</v>
      </c>
      <c r="AA91" s="487" t="s">
        <v>172</v>
      </c>
      <c r="AB91" s="1049" t="s">
        <v>1125</v>
      </c>
      <c r="AC91" s="1049"/>
      <c r="AD91" s="1049"/>
      <c r="AE91" s="1049"/>
      <c r="AF91" s="1049"/>
      <c r="AG91" s="1049"/>
      <c r="AH91" s="1049"/>
      <c r="AI91" s="1050"/>
      <c r="AJ91" s="1050"/>
      <c r="AK91" s="1050"/>
      <c r="AL91" s="1050"/>
      <c r="AM91" s="1050"/>
      <c r="AN91" s="1050"/>
      <c r="AO91" s="1050"/>
      <c r="AP91" s="1050"/>
      <c r="AQ91" s="1050"/>
      <c r="AR91" s="1050"/>
      <c r="AS91" s="1050"/>
      <c r="AT91" s="1050"/>
      <c r="AU91" s="1050"/>
      <c r="AV91" s="1050"/>
      <c r="AW91" s="1050"/>
      <c r="AX91" s="1050"/>
      <c r="AY91" s="1050"/>
      <c r="AZ91" s="1050"/>
      <c r="BA91" s="1050"/>
      <c r="BB91" s="1050"/>
      <c r="BC91" s="1050"/>
      <c r="BD91" s="17"/>
    </row>
    <row r="92" spans="2:62" ht="37.5" customHeight="1">
      <c r="E92" s="489">
        <v>15</v>
      </c>
      <c r="T92" s="351" t="b">
        <f t="shared" si="13"/>
        <v>1</v>
      </c>
      <c r="W92" s="515"/>
      <c r="Y92" s="66" t="s">
        <v>124</v>
      </c>
      <c r="AA92" s="487" t="s">
        <v>172</v>
      </c>
      <c r="AB92" s="1049" t="s">
        <v>1126</v>
      </c>
      <c r="AC92" s="1049"/>
      <c r="AD92" s="1049"/>
      <c r="AE92" s="1049"/>
      <c r="AF92" s="1049"/>
      <c r="AG92" s="1049"/>
      <c r="AH92" s="1049"/>
      <c r="AI92" s="1050"/>
      <c r="AJ92" s="1050"/>
      <c r="AK92" s="1050"/>
      <c r="AL92" s="1050"/>
      <c r="AM92" s="1050"/>
      <c r="AN92" s="1050"/>
      <c r="AO92" s="1050"/>
      <c r="AP92" s="1050"/>
      <c r="AQ92" s="1050"/>
      <c r="AR92" s="1050"/>
      <c r="AS92" s="1050"/>
      <c r="AT92" s="1050"/>
      <c r="AU92" s="1050"/>
      <c r="AV92" s="1050"/>
      <c r="AW92" s="1050"/>
      <c r="AX92" s="1050"/>
      <c r="AY92" s="1050"/>
      <c r="AZ92" s="1050"/>
      <c r="BA92" s="1050"/>
      <c r="BB92" s="1050"/>
      <c r="BC92" s="1050"/>
      <c r="BD92" s="17"/>
    </row>
    <row r="93" spans="2:62" ht="23.25" customHeight="1">
      <c r="E93" s="489">
        <v>15</v>
      </c>
      <c r="T93" s="351" t="b">
        <f t="shared" si="13"/>
        <v>1</v>
      </c>
      <c r="W93" s="515"/>
      <c r="Y93" s="66" t="s">
        <v>124</v>
      </c>
      <c r="AA93" s="487" t="s">
        <v>172</v>
      </c>
      <c r="AB93" s="1049" t="s">
        <v>1127</v>
      </c>
      <c r="AC93" s="1049"/>
      <c r="AD93" s="1049"/>
      <c r="AE93" s="1049"/>
      <c r="AF93" s="1049"/>
      <c r="AG93" s="1049"/>
      <c r="AH93" s="1049"/>
      <c r="AI93" s="1050"/>
      <c r="AJ93" s="1050"/>
      <c r="AK93" s="1050"/>
      <c r="AL93" s="1050"/>
      <c r="AM93" s="1050"/>
      <c r="AN93" s="1050"/>
      <c r="AO93" s="1050"/>
      <c r="AP93" s="1050"/>
      <c r="AQ93" s="1050"/>
      <c r="AR93" s="1050"/>
      <c r="AS93" s="1050"/>
      <c r="AT93" s="1050"/>
      <c r="AU93" s="1050"/>
      <c r="AV93" s="1050"/>
      <c r="AW93" s="1050"/>
      <c r="AX93" s="1050"/>
      <c r="AY93" s="1050"/>
      <c r="AZ93" s="1050"/>
      <c r="BA93" s="1050"/>
      <c r="BB93" s="1050"/>
      <c r="BC93" s="1050"/>
      <c r="BD93" s="17"/>
    </row>
    <row r="94" spans="2:62" ht="32.1" customHeight="1">
      <c r="E94" s="489">
        <v>15</v>
      </c>
      <c r="T94" s="351" t="b">
        <f t="shared" si="13"/>
        <v>1</v>
      </c>
      <c r="W94" s="515"/>
      <c r="Y94" s="66" t="s">
        <v>124</v>
      </c>
      <c r="AA94" s="487" t="s">
        <v>172</v>
      </c>
      <c r="AB94" s="1049" t="s">
        <v>1128</v>
      </c>
      <c r="AC94" s="1049"/>
      <c r="AD94" s="1049"/>
      <c r="AE94" s="1049"/>
      <c r="AF94" s="1049"/>
      <c r="AG94" s="1049"/>
      <c r="AH94" s="1049"/>
      <c r="AI94" s="1050"/>
      <c r="AJ94" s="1050"/>
      <c r="AK94" s="1050"/>
      <c r="AL94" s="1050"/>
      <c r="AM94" s="1050"/>
      <c r="AN94" s="1050"/>
      <c r="AO94" s="1050"/>
      <c r="AP94" s="1050"/>
      <c r="AQ94" s="1050"/>
      <c r="AR94" s="1050"/>
      <c r="AS94" s="1050"/>
      <c r="AT94" s="1050"/>
      <c r="AU94" s="1050"/>
      <c r="AV94" s="1050"/>
      <c r="AW94" s="1050"/>
      <c r="AX94" s="1050"/>
      <c r="AY94" s="1050"/>
      <c r="AZ94" s="1050"/>
      <c r="BA94" s="1050"/>
      <c r="BB94" s="1050"/>
      <c r="BC94" s="1050"/>
      <c r="BD94" s="17"/>
    </row>
    <row r="95" spans="2:62" ht="33.6" customHeight="1">
      <c r="E95" s="489">
        <v>15</v>
      </c>
      <c r="T95" s="351" t="b">
        <f t="shared" si="13"/>
        <v>1</v>
      </c>
      <c r="W95" s="515"/>
      <c r="Y95" s="66" t="s">
        <v>124</v>
      </c>
      <c r="AA95" s="487" t="s">
        <v>172</v>
      </c>
      <c r="AB95" s="1049" t="s">
        <v>1129</v>
      </c>
      <c r="AC95" s="1049"/>
      <c r="AD95" s="1049"/>
      <c r="AE95" s="1049"/>
      <c r="AF95" s="1049"/>
      <c r="AG95" s="1049"/>
      <c r="AH95" s="1049"/>
      <c r="AI95" s="1050"/>
      <c r="AJ95" s="1050"/>
      <c r="AK95" s="1050"/>
      <c r="AL95" s="1050"/>
      <c r="AM95" s="1050"/>
      <c r="AN95" s="1050"/>
      <c r="AO95" s="1050"/>
      <c r="AP95" s="1050"/>
      <c r="AQ95" s="1050"/>
      <c r="AR95" s="1050"/>
      <c r="AS95" s="1050"/>
      <c r="AT95" s="1050"/>
      <c r="AU95" s="1050"/>
      <c r="AV95" s="1050"/>
      <c r="AW95" s="1050"/>
      <c r="AX95" s="1050"/>
      <c r="AY95" s="1050"/>
      <c r="AZ95" s="1050"/>
      <c r="BA95" s="1050"/>
      <c r="BB95" s="1050"/>
      <c r="BC95" s="1050"/>
      <c r="BD95" s="17"/>
    </row>
    <row r="96" spans="2:62" ht="50.45" customHeight="1">
      <c r="E96" s="489">
        <v>15</v>
      </c>
      <c r="T96" s="351" t="b">
        <f t="shared" si="13"/>
        <v>1</v>
      </c>
      <c r="W96" s="515"/>
      <c r="Y96" s="66" t="s">
        <v>124</v>
      </c>
      <c r="AA96" s="487" t="s">
        <v>172</v>
      </c>
      <c r="AB96" s="1049" t="s">
        <v>1130</v>
      </c>
      <c r="AC96" s="1049"/>
      <c r="AD96" s="1049"/>
      <c r="AE96" s="1049"/>
      <c r="AF96" s="1049"/>
      <c r="AG96" s="1049"/>
      <c r="AH96" s="1049"/>
      <c r="AI96" s="1050"/>
      <c r="AJ96" s="1050"/>
      <c r="AK96" s="1050"/>
      <c r="AL96" s="1050"/>
      <c r="AM96" s="1050"/>
      <c r="AN96" s="1050"/>
      <c r="AO96" s="1050"/>
      <c r="AP96" s="1050"/>
      <c r="AQ96" s="1050"/>
      <c r="AR96" s="1050"/>
      <c r="AS96" s="1050"/>
      <c r="AT96" s="1050"/>
      <c r="AU96" s="1050"/>
      <c r="AV96" s="1050"/>
      <c r="AW96" s="1050"/>
      <c r="AX96" s="1050"/>
      <c r="AY96" s="1050"/>
      <c r="AZ96" s="1050"/>
      <c r="BA96" s="1050"/>
      <c r="BB96" s="1050"/>
      <c r="BC96" s="1050"/>
      <c r="BD96" s="17"/>
    </row>
    <row r="97" spans="5:56" ht="47.1" customHeight="1">
      <c r="E97" s="489">
        <v>15</v>
      </c>
      <c r="T97" s="351" t="b">
        <f t="shared" si="13"/>
        <v>1</v>
      </c>
      <c r="W97" s="515"/>
      <c r="Y97" s="66" t="s">
        <v>124</v>
      </c>
      <c r="AA97" s="487" t="s">
        <v>172</v>
      </c>
      <c r="AB97" s="1049" t="s">
        <v>1131</v>
      </c>
      <c r="AC97" s="1049"/>
      <c r="AD97" s="1049"/>
      <c r="AE97" s="1049"/>
      <c r="AF97" s="1049"/>
      <c r="AG97" s="1049"/>
      <c r="AH97" s="1049"/>
      <c r="AI97" s="1050"/>
      <c r="AJ97" s="1050"/>
      <c r="AK97" s="1050"/>
      <c r="AL97" s="1050"/>
      <c r="AM97" s="1050"/>
      <c r="AN97" s="1050"/>
      <c r="AO97" s="1050"/>
      <c r="AP97" s="1050"/>
      <c r="AQ97" s="1050"/>
      <c r="AR97" s="1050"/>
      <c r="AS97" s="1050"/>
      <c r="AT97" s="1050"/>
      <c r="AU97" s="1050"/>
      <c r="AV97" s="1050"/>
      <c r="AW97" s="1050"/>
      <c r="AX97" s="1050"/>
      <c r="AY97" s="1050"/>
      <c r="AZ97" s="1050"/>
      <c r="BA97" s="1050"/>
      <c r="BB97" s="1050"/>
      <c r="BC97" s="1050"/>
      <c r="BD97" s="17"/>
    </row>
    <row r="98" spans="5:56" ht="44.45" customHeight="1">
      <c r="E98" s="489">
        <v>15</v>
      </c>
      <c r="T98" s="351" t="b">
        <f t="shared" si="13"/>
        <v>1</v>
      </c>
      <c r="W98" s="515"/>
      <c r="Y98" s="66" t="s">
        <v>124</v>
      </c>
      <c r="AA98" s="487" t="s">
        <v>172</v>
      </c>
      <c r="AB98" s="1049" t="s">
        <v>1132</v>
      </c>
      <c r="AC98" s="1049"/>
      <c r="AD98" s="1049"/>
      <c r="AE98" s="1049"/>
      <c r="AF98" s="1049"/>
      <c r="AG98" s="1049"/>
      <c r="AH98" s="1049"/>
      <c r="AI98" s="1050"/>
      <c r="AJ98" s="1050"/>
      <c r="AK98" s="1050"/>
      <c r="AL98" s="1050"/>
      <c r="AM98" s="1050"/>
      <c r="AN98" s="1050"/>
      <c r="AO98" s="1050"/>
      <c r="AP98" s="1050"/>
      <c r="AQ98" s="1050"/>
      <c r="AR98" s="1050"/>
      <c r="AS98" s="1050"/>
      <c r="AT98" s="1050"/>
      <c r="AU98" s="1050"/>
      <c r="AV98" s="1050"/>
      <c r="AW98" s="1050"/>
      <c r="AX98" s="1050"/>
      <c r="AY98" s="1050"/>
      <c r="AZ98" s="1050"/>
      <c r="BA98" s="1050"/>
      <c r="BB98" s="1050"/>
      <c r="BC98" s="1050"/>
      <c r="BD98" s="17"/>
    </row>
    <row r="99" spans="5:56" ht="34.15" customHeight="1">
      <c r="E99" s="489">
        <v>15</v>
      </c>
      <c r="T99" s="351" t="b">
        <f t="shared" si="13"/>
        <v>1</v>
      </c>
      <c r="W99" s="515"/>
      <c r="Y99" s="66" t="s">
        <v>124</v>
      </c>
      <c r="AA99" s="487" t="s">
        <v>172</v>
      </c>
      <c r="AB99" s="1049" t="s">
        <v>1133</v>
      </c>
      <c r="AC99" s="1049"/>
      <c r="AD99" s="1049"/>
      <c r="AE99" s="1049"/>
      <c r="AF99" s="1049"/>
      <c r="AG99" s="1049"/>
      <c r="AH99" s="1049"/>
      <c r="AI99" s="1050"/>
      <c r="AJ99" s="1050"/>
      <c r="AK99" s="1050"/>
      <c r="AL99" s="1050"/>
      <c r="AM99" s="1050"/>
      <c r="AN99" s="1050"/>
      <c r="AO99" s="1050"/>
      <c r="AP99" s="1050"/>
      <c r="AQ99" s="1050"/>
      <c r="AR99" s="1050"/>
      <c r="AS99" s="1050"/>
      <c r="AT99" s="1050"/>
      <c r="AU99" s="1050"/>
      <c r="AV99" s="1050"/>
      <c r="AW99" s="1050"/>
      <c r="AX99" s="1050"/>
      <c r="AY99" s="1050"/>
      <c r="AZ99" s="1050"/>
      <c r="BA99" s="1050"/>
      <c r="BB99" s="1050"/>
      <c r="BC99" s="1050"/>
      <c r="BD99" s="17"/>
    </row>
    <row r="100" spans="5:56" ht="14.65" customHeight="1">
      <c r="E100" s="489">
        <v>15</v>
      </c>
      <c r="W100" s="515" t="s">
        <v>407</v>
      </c>
      <c r="AA100" s="17"/>
      <c r="AB100" s="483"/>
      <c r="AC100" s="380" t="s">
        <v>408</v>
      </c>
      <c r="AD100" s="217"/>
      <c r="AE100" s="217"/>
      <c r="AF100" s="218"/>
      <c r="AG100" s="218"/>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9"/>
      <c r="BD100" s="17"/>
    </row>
    <row r="101" spans="5:56" ht="10.9" customHeight="1">
      <c r="E101" s="489">
        <v>11.25</v>
      </c>
      <c r="BD101" s="22"/>
    </row>
  </sheetData>
  <sheetProtection formatColumns="0" formatRows="0" insertRows="0" deleteColumns="0" deleteRows="0" sort="0" autoFilter="0"/>
  <mergeCells count="40">
    <mergeCell ref="AB96:BC96"/>
    <mergeCell ref="AB97:BC97"/>
    <mergeCell ref="AB98:BC98"/>
    <mergeCell ref="AB99:BC99"/>
    <mergeCell ref="AB91:BC91"/>
    <mergeCell ref="AB92:BC92"/>
    <mergeCell ref="AB93:BC93"/>
    <mergeCell ref="AB94:BC94"/>
    <mergeCell ref="AB95:BC95"/>
    <mergeCell ref="X57:X86"/>
    <mergeCell ref="Z57:Z86"/>
    <mergeCell ref="Y59:Y61"/>
    <mergeCell ref="AA59:AA61"/>
    <mergeCell ref="Y64:Y66"/>
    <mergeCell ref="AA64:AA66"/>
    <mergeCell ref="Y69:Y71"/>
    <mergeCell ref="AA69:AA71"/>
    <mergeCell ref="Y74:Y76"/>
    <mergeCell ref="AA74:AA76"/>
    <mergeCell ref="Y79:Y81"/>
    <mergeCell ref="AA79:AA81"/>
    <mergeCell ref="X27:X56"/>
    <mergeCell ref="Z27:Z56"/>
    <mergeCell ref="Y29:Y31"/>
    <mergeCell ref="AA29:AA31"/>
    <mergeCell ref="Y34:Y36"/>
    <mergeCell ref="AA34:AA36"/>
    <mergeCell ref="Y39:Y41"/>
    <mergeCell ref="AA39:AA41"/>
    <mergeCell ref="Y44:Y46"/>
    <mergeCell ref="AA44:AA46"/>
    <mergeCell ref="Y49:Y51"/>
    <mergeCell ref="AA49:AA51"/>
    <mergeCell ref="AB90:BC90"/>
    <mergeCell ref="AB88:BC88"/>
    <mergeCell ref="AB89:BC89"/>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A53:BA56 BA60:BA61 BA65:BA66 BA70:BA71 BA75:BA76 BA80:BA81 BA83:BA86 AZ53:AZ56 AZ60:AZ61 AZ65:AZ66 AZ70:AZ71 AZ75:AZ76 AZ80:AZ81 AZ83:AZ86 AY53:AY56 AY60:AY61 AY65:AY66 AY70:AY71 AY75:AY76 AY80:AY81 AY83:AY86 AX53:AX56 AX60:AX61 AX65:AX66 AX70:AX71 AX75:AX76 AX80:AX81 AX83:AX86 AW53:AW56 AW60:AW61 AW65:AW66 AW70:AW71 AW75:AW76 AW80:AW81 AW83:AW86 AV53:AV56 AV60:AV61 AV65:AV66 AV70:AV71 AV75:AV76 AV80:AV81 AV83:AV86 AU53:AU56 AU60:AU61 AU65:AU66 AU70:AU71 AU75:AU76 AU80:AU81 AU83:AU86 AT53:AT56 AT60:AT61 AT65:AT66 AT70:AT71 AT75:AT76 AT80:AT81 AT83:AT86 AS53:AS56 AS60:AS61 AS65:AS66 AS70:AS71 AS75:AS76 AS80:AS81 AS83:AS86 AR53:AR56 AR60:AR61 AR65:AR66 AR70:AR71 AR75:AR76 AR80:AR81 AR83:AR86 AQ53:AQ56 AQ60:AQ61 AQ65:AQ66 AQ70:AQ71 AQ75:AQ76 AQ80:AQ81 AQ83:AQ86 AP53:AP56 AP60:AP61 AP65:AP66 AP70:AP71 AP75:AP76 AP80:AP81 AP83:AP86 AO53:AO56 AO60:AO61 AO65:AO66 AO70:AO71 AO75:AO76 AO80:AO81 AO83:AO86 AN53:AN56 AN60:AN61 AN65:AN66 AN70:AN71 AN75:AN76 AN80:AN81 AN83:AN86 AM53:AM56 AM60:AM61 AM65:AM66 AM70:AM71 AM75:AM76 AM80:AM81 AM83:AM86 AL53:AL56 AL60:AL61 AL65:AL66 AL70:AL71 AL75:AL76 AL80:AL81 AL83:AL86 AK53:AK56 AK60:AK61 AK65:AK66 AK70:AK71 AK75:AK76 AK80:AK81 AK83:AK86 AJ53:AJ56 AJ60:AJ61 AJ65:AJ66 AJ70:AJ71 AJ75:AJ76 AJ80:AJ81 AJ83:AJ86 AI53:AI56 AI60:AI61 AI65:AI66 AI70:AI71 AI75:AI76 AI80:AI81 AI83:AI86 AH53:AH56 AH60:AH61 AH65:AH66 AH70:AH71 AH75:AH76 AH80:AH81 AH83:AH86 AG53:AG56 AG60:AG61 AG65:AG66 AG70:AG71 AG75:AG76 AG80:AG81 AG83:AG86 AF53:AF56 AF60:AF61 AF65:AF66 AF70:AF71 AF75:AF76 AF80:AF81 AF83:AF86 AE53:AE56 AE60:AE61 AE65:AE66 AE70:AE71 AE75:AE76 AE80:AE81 AE83:AE86"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90458-F5D8-FA38-625F-58543DC8EB93}">
  <sheetPr>
    <tabColor rgb="FF002060"/>
    <outlinePr summaryBelow="0"/>
    <pageSetUpPr fitToPage="1"/>
  </sheetPr>
  <dimension ref="A1:AR105"/>
  <sheetViews>
    <sheetView showGridLines="0" zoomScale="110" workbookViewId="0">
      <pane xSplit="30" ySplit="25" topLeftCell="AE60" activePane="bottomRight" state="frozen"/>
      <selection pane="topRight" activeCell="AE1" sqref="AE1"/>
      <selection pane="bottomLeft" activeCell="A26" sqref="A26"/>
      <selection pane="bottomRight" activeCell="AK65" sqref="AK65"/>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6" width="3.5703125" style="17" hidden="1" customWidth="1"/>
    <col min="7" max="7" width="9.85546875" style="363" hidden="1" customWidth="1"/>
    <col min="8" max="10" width="3.5703125" style="17" hidden="1" customWidth="1"/>
    <col min="11" max="11" width="6.42578125" style="363" hidden="1" customWidth="1"/>
    <col min="12" max="12" width="3.5703125" style="363" hidden="1" customWidth="1"/>
    <col min="13" max="17" width="3.5703125" style="17" hidden="1" customWidth="1"/>
    <col min="18" max="18" width="3.5703125" style="252"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9" style="17" customWidth="1"/>
    <col min="30" max="30" width="12" style="17" customWidth="1"/>
    <col min="31" max="36" width="13" style="17" customWidth="1"/>
    <col min="37" max="37" width="88.28515625" style="17" customWidth="1"/>
    <col min="38" max="38" width="3" style="17" customWidth="1"/>
    <col min="39" max="39" width="9.140625" style="17" hidden="1"/>
    <col min="40" max="42" width="9.140625" style="669" hidden="1"/>
    <col min="43" max="44" width="9.140625" style="459" hidden="1"/>
  </cols>
  <sheetData>
    <row r="1" spans="1:44" ht="11.25" hidden="1" customHeight="1">
      <c r="E1" s="17"/>
      <c r="F1" s="17" t="s">
        <v>309</v>
      </c>
      <c r="H1" s="17" t="s">
        <v>320</v>
      </c>
      <c r="I1" s="17" t="s">
        <v>346</v>
      </c>
      <c r="T1" s="351" t="s">
        <v>92</v>
      </c>
      <c r="U1" s="351" t="s">
        <v>97</v>
      </c>
      <c r="V1" s="351" t="s">
        <v>93</v>
      </c>
      <c r="W1" s="351" t="s">
        <v>94</v>
      </c>
      <c r="X1" s="351" t="s">
        <v>95</v>
      </c>
      <c r="Y1" s="353" t="s">
        <v>311</v>
      </c>
      <c r="Z1" s="351" t="s">
        <v>99</v>
      </c>
      <c r="AA1" s="353" t="s">
        <v>96</v>
      </c>
      <c r="AB1" s="314"/>
      <c r="AC1" s="352" t="s">
        <v>98</v>
      </c>
      <c r="AN1" s="669" t="s">
        <v>312</v>
      </c>
      <c r="AO1" s="669" t="s">
        <v>313</v>
      </c>
      <c r="AP1" s="669" t="s">
        <v>314</v>
      </c>
      <c r="AQ1" s="459" t="s">
        <v>317</v>
      </c>
      <c r="AR1" s="459" t="s">
        <v>318</v>
      </c>
    </row>
    <row r="2" spans="1:44" s="46" customFormat="1" ht="11.25" hidden="1" customHeight="1">
      <c r="B2" s="340" t="s">
        <v>18</v>
      </c>
      <c r="G2" s="364"/>
      <c r="K2" s="364"/>
      <c r="L2" s="364"/>
      <c r="AI2" s="341" t="b">
        <f>AI11&lt;=last_year_vis</f>
        <v>1</v>
      </c>
      <c r="AJ2" s="341" t="b">
        <f>AJ11&lt;=last_year_vis</f>
        <v>1</v>
      </c>
      <c r="AN2" s="670"/>
      <c r="AO2" s="670"/>
      <c r="AP2" s="670"/>
      <c r="AQ2" s="675"/>
      <c r="AR2" s="675"/>
    </row>
    <row r="3" spans="1:44" ht="11.25" hidden="1" customHeight="1">
      <c r="E3" s="17"/>
    </row>
    <row r="4" spans="1:44" ht="11.25" hidden="1" customHeight="1">
      <c r="E4" s="17"/>
    </row>
    <row r="5" spans="1:44" s="459" customFormat="1" ht="11.25" hidden="1" customHeight="1">
      <c r="A5" s="17"/>
      <c r="B5" s="46"/>
      <c r="C5" s="17"/>
      <c r="D5" s="17"/>
      <c r="E5" s="459" t="s">
        <v>19</v>
      </c>
      <c r="G5" s="496"/>
      <c r="K5" s="496"/>
      <c r="L5" s="496"/>
      <c r="R5" s="445"/>
      <c r="AA5" s="459">
        <v>3</v>
      </c>
      <c r="AB5" s="459">
        <v>11</v>
      </c>
      <c r="AC5" s="459">
        <v>56.71</v>
      </c>
      <c r="AD5" s="459">
        <v>12</v>
      </c>
      <c r="AE5" s="459">
        <v>13</v>
      </c>
      <c r="AF5" s="459">
        <v>13</v>
      </c>
      <c r="AG5" s="459">
        <v>13</v>
      </c>
      <c r="AH5" s="459">
        <v>13</v>
      </c>
      <c r="AI5" s="459">
        <v>13</v>
      </c>
      <c r="AJ5" s="459">
        <v>13</v>
      </c>
      <c r="AK5" s="459">
        <v>20</v>
      </c>
      <c r="AL5" s="459">
        <v>3</v>
      </c>
      <c r="AN5" s="669"/>
      <c r="AO5" s="669"/>
      <c r="AP5" s="669"/>
    </row>
    <row r="6" spans="1:44" ht="11.25" hidden="1" customHeight="1"/>
    <row r="7" spans="1:44" s="669" customFormat="1" ht="11.25" hidden="1" customHeight="1">
      <c r="A7" s="669" t="s">
        <v>354</v>
      </c>
      <c r="B7" s="670"/>
      <c r="G7" s="677"/>
      <c r="K7" s="677"/>
      <c r="L7" s="677"/>
      <c r="R7" s="671"/>
      <c r="AE7" s="669" cm="1">
        <f t="array" ref="AE7">AE11</f>
        <v>2024</v>
      </c>
      <c r="AF7" s="669" cm="1">
        <f t="array" ref="AF7">AF11</f>
        <v>2024</v>
      </c>
      <c r="AG7" s="669" cm="1">
        <f t="array" ref="AG7">AG11</f>
        <v>2024</v>
      </c>
      <c r="AH7" s="669" cm="1">
        <f t="array" ref="AH7">AH11</f>
        <v>2025</v>
      </c>
      <c r="AI7" s="669" cm="1">
        <f t="array" ref="AI7">AI11</f>
        <v>2026</v>
      </c>
      <c r="AJ7" s="669" cm="1">
        <f t="array" ref="AJ7">AJ11</f>
        <v>2026</v>
      </c>
      <c r="AQ7" s="459"/>
      <c r="AR7" s="459"/>
    </row>
    <row r="8" spans="1:44" s="669" customFormat="1" ht="11.25" hidden="1" customHeight="1">
      <c r="A8" s="669" t="s">
        <v>355</v>
      </c>
      <c r="B8" s="670"/>
      <c r="G8" s="677"/>
      <c r="K8" s="677"/>
      <c r="L8" s="677"/>
      <c r="R8" s="671"/>
      <c r="AE8" s="669" t="str" cm="1">
        <f t="array" ref="AE8">AE25</f>
        <v>Принято органом регулирования</v>
      </c>
      <c r="AF8" s="669" t="str" cm="1">
        <f t="array" ref="AF8">AF25</f>
        <v>Факт по данным организации</v>
      </c>
      <c r="AG8" s="669" t="str" cm="1">
        <f t="array" ref="AG8">AG25</f>
        <v>Факт, принятый органом регулирования</v>
      </c>
      <c r="AH8" s="669" t="str" cm="1">
        <f t="array" ref="AH8">AH25</f>
        <v>Принято органом регулирования</v>
      </c>
      <c r="AI8" s="669" t="str" cm="1">
        <f t="array" ref="AI8">AI25</f>
        <v>Предложение организации</v>
      </c>
      <c r="AJ8" s="669" t="str" cm="1">
        <f t="array" ref="AJ8">AJ25</f>
        <v>Принято органом регулирования</v>
      </c>
      <c r="AQ8" s="459"/>
      <c r="AR8" s="459"/>
    </row>
    <row r="9" spans="1:44" s="669" customFormat="1" ht="11.25" hidden="1" customHeight="1">
      <c r="A9" s="669" t="s">
        <v>356</v>
      </c>
      <c r="B9" s="670"/>
      <c r="G9" s="677"/>
      <c r="K9" s="677"/>
      <c r="L9" s="677"/>
      <c r="R9" s="671"/>
      <c r="AK9" s="669" t="str" cm="1">
        <f t="array" ref="AK9">AK24</f>
        <v>Ссылка на правовую норму (основание для принятия показателя в расчет тарифа)</v>
      </c>
      <c r="AQ9" s="459"/>
      <c r="AR9" s="459"/>
    </row>
    <row r="10" spans="1:44" s="669" customFormat="1" ht="11.25" hidden="1" customHeight="1">
      <c r="A10" s="669" t="s">
        <v>327</v>
      </c>
      <c r="B10" s="670"/>
      <c r="G10" s="677"/>
      <c r="K10" s="677"/>
      <c r="L10" s="677"/>
      <c r="R10" s="671"/>
      <c r="AC10" s="669" t="s">
        <v>314</v>
      </c>
      <c r="AQ10" s="459"/>
      <c r="AR10" s="459"/>
    </row>
    <row r="11" spans="1:44" ht="11.25" hidden="1" customHeight="1">
      <c r="A11" s="17" t="s">
        <v>349</v>
      </c>
      <c r="AE11" s="17">
        <f>god-2</f>
        <v>2024</v>
      </c>
      <c r="AF11" s="17">
        <f>god-2</f>
        <v>2024</v>
      </c>
      <c r="AG11" s="17">
        <f>god-2</f>
        <v>2024</v>
      </c>
      <c r="AH11" s="17">
        <f>god-1</f>
        <v>2025</v>
      </c>
      <c r="AI11" s="17" cm="1">
        <f t="array" ref="AI11">god</f>
        <v>2026</v>
      </c>
      <c r="AJ11" s="17" cm="1">
        <f t="array" ref="AJ11">god</f>
        <v>2026</v>
      </c>
      <c r="AK11" s="66"/>
    </row>
    <row r="12" spans="1:44" ht="11.25" hidden="1" customHeight="1">
      <c r="A12" s="17" t="s">
        <v>350</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66"/>
    </row>
    <row r="18" spans="1:44" ht="11.25" hidden="1" customHeight="1">
      <c r="A18" s="17" t="s">
        <v>357</v>
      </c>
      <c r="AC18" s="17" t="s">
        <v>192</v>
      </c>
    </row>
    <row r="19" spans="1:44" ht="11.25" hidden="1" customHeight="1"/>
    <row r="20" spans="1:44" ht="11.25" hidden="1" customHeight="1"/>
    <row r="21" spans="1:44" ht="14.65" customHeight="1">
      <c r="E21" s="459">
        <v>15</v>
      </c>
      <c r="AA21" s="59"/>
      <c r="AC21" s="3" t="str" cm="1">
        <f t="array" ref="AC21">tpl_title</f>
        <v>Кемеровская область / 2026 / МУП "Водоканал" (ИНН:4202043124, КПП:420201001) / ДПР: 2026-2028</v>
      </c>
    </row>
    <row r="22" spans="1:44" s="59" customFormat="1" ht="19.7" customHeight="1">
      <c r="B22" s="46"/>
      <c r="E22" s="460">
        <v>20.25</v>
      </c>
      <c r="G22" s="363"/>
      <c r="K22" s="363"/>
      <c r="L22" s="363"/>
      <c r="R22" s="3"/>
      <c r="AB22" s="224" t="s">
        <v>1134</v>
      </c>
      <c r="AC22" s="253"/>
      <c r="AD22" s="253"/>
      <c r="AE22" s="253"/>
      <c r="AF22" s="253"/>
      <c r="AG22" s="253"/>
      <c r="AH22" s="253"/>
      <c r="AI22" s="253"/>
      <c r="AJ22" s="253"/>
      <c r="AK22" s="253"/>
      <c r="AN22" s="672"/>
      <c r="AO22" s="672"/>
      <c r="AP22" s="672"/>
      <c r="AQ22" s="460"/>
      <c r="AR22" s="460"/>
    </row>
    <row r="23" spans="1:44" s="59" customFormat="1" ht="10.9" customHeight="1">
      <c r="B23" s="46"/>
      <c r="E23" s="460">
        <v>11.25</v>
      </c>
      <c r="K23" s="363"/>
      <c r="L23" s="363"/>
      <c r="R23" s="266"/>
      <c r="AB23" s="579"/>
      <c r="AC23" s="580"/>
      <c r="AD23" s="580"/>
      <c r="AE23" s="580"/>
      <c r="AF23" s="580"/>
      <c r="AG23" s="580"/>
      <c r="AH23" s="580"/>
      <c r="AI23" s="580"/>
      <c r="AJ23" s="580"/>
      <c r="AK23" s="580"/>
      <c r="AN23" s="672"/>
      <c r="AO23" s="672"/>
      <c r="AP23" s="672"/>
      <c r="AQ23" s="460"/>
      <c r="AR23" s="460"/>
    </row>
    <row r="24" spans="1:44" s="60" customFormat="1" ht="23.25" customHeight="1">
      <c r="B24" s="325"/>
      <c r="C24" s="64"/>
      <c r="D24" s="64"/>
      <c r="E24" s="581">
        <v>15</v>
      </c>
      <c r="F24" s="64"/>
      <c r="G24" s="64"/>
      <c r="H24" s="64"/>
      <c r="I24" s="64"/>
      <c r="J24" s="64"/>
      <c r="K24" s="365"/>
      <c r="L24" s="365"/>
      <c r="M24" s="64"/>
      <c r="N24" s="64"/>
      <c r="O24" s="64"/>
      <c r="P24" s="64"/>
      <c r="Q24" s="64"/>
      <c r="R24" s="266"/>
      <c r="S24" s="64"/>
      <c r="T24" s="64"/>
      <c r="U24" s="64"/>
      <c r="V24" s="64"/>
      <c r="W24" s="64"/>
      <c r="X24" s="64"/>
      <c r="Y24" s="64"/>
      <c r="Z24" s="64"/>
      <c r="AA24" s="64"/>
      <c r="AB24" s="1028" t="s">
        <v>841</v>
      </c>
      <c r="AC24" s="1074" t="s">
        <v>192</v>
      </c>
      <c r="AD24" s="1028" t="s">
        <v>359</v>
      </c>
      <c r="AE24" s="9" t="str">
        <f>god-2&amp;" год"</f>
        <v>2024 год</v>
      </c>
      <c r="AF24" s="729" t="str">
        <f>god-2&amp;" год"</f>
        <v>2024 год</v>
      </c>
      <c r="AG24" s="9" t="str">
        <f>god-2&amp;" год"</f>
        <v>2024 год</v>
      </c>
      <c r="AH24" s="9" t="str">
        <f>god-1&amp;" год"</f>
        <v>2025 год</v>
      </c>
      <c r="AI24" s="725" t="str">
        <f>god&amp;" год"</f>
        <v>2026 год</v>
      </c>
      <c r="AJ24" s="12" t="str">
        <f>god&amp;" год"</f>
        <v>2026 год</v>
      </c>
      <c r="AK24" s="1028" t="s">
        <v>580</v>
      </c>
      <c r="AN24" s="667"/>
      <c r="AO24" s="667"/>
      <c r="AP24" s="667"/>
      <c r="AQ24" s="457"/>
      <c r="AR24" s="457"/>
    </row>
    <row r="25" spans="1:44" s="60" customFormat="1" ht="44.1" customHeight="1">
      <c r="B25" s="325"/>
      <c r="C25" s="64"/>
      <c r="D25" s="64"/>
      <c r="E25" s="581">
        <v>45.25</v>
      </c>
      <c r="F25" s="64"/>
      <c r="G25" s="64"/>
      <c r="H25" s="64"/>
      <c r="I25" s="64"/>
      <c r="J25" s="64"/>
      <c r="K25" s="365"/>
      <c r="L25" s="365"/>
      <c r="M25" s="64"/>
      <c r="N25" s="64"/>
      <c r="O25" s="64"/>
      <c r="P25" s="64"/>
      <c r="Q25" s="64"/>
      <c r="R25" s="266"/>
      <c r="S25" s="64"/>
      <c r="T25" s="64"/>
      <c r="U25" s="64"/>
      <c r="V25" s="64"/>
      <c r="W25" s="64"/>
      <c r="X25" s="64"/>
      <c r="Y25" s="64"/>
      <c r="Z25" s="64"/>
      <c r="AA25" s="64"/>
      <c r="AB25" s="1087"/>
      <c r="AC25" s="1087"/>
      <c r="AD25" s="1087"/>
      <c r="AE25" s="9" t="s">
        <v>351</v>
      </c>
      <c r="AF25" s="729" t="s">
        <v>495</v>
      </c>
      <c r="AG25" s="9" t="s">
        <v>496</v>
      </c>
      <c r="AH25" s="9" t="s">
        <v>351</v>
      </c>
      <c r="AI25" s="730" t="s">
        <v>352</v>
      </c>
      <c r="AJ25" s="582" t="s">
        <v>351</v>
      </c>
      <c r="AK25" s="1087"/>
      <c r="AN25" s="667"/>
      <c r="AO25" s="667"/>
      <c r="AP25" s="667"/>
      <c r="AQ25" s="457"/>
      <c r="AR25" s="457"/>
    </row>
    <row r="26" spans="1:44" ht="11.25" hidden="1" customHeight="1">
      <c r="A26" s="314"/>
      <c r="B26" s="477"/>
      <c r="C26" s="314"/>
      <c r="D26" s="314"/>
      <c r="E26" s="478">
        <v>0</v>
      </c>
      <c r="F26" s="314"/>
      <c r="G26" s="314"/>
      <c r="H26" s="314"/>
      <c r="I26" s="314"/>
      <c r="J26" s="314"/>
      <c r="K26" s="603"/>
      <c r="L26" s="603"/>
      <c r="M26" s="314"/>
      <c r="N26" s="314"/>
      <c r="O26" s="314"/>
      <c r="P26" s="314"/>
      <c r="Q26" s="314"/>
      <c r="R26" s="314"/>
      <c r="S26" s="314"/>
      <c r="T26" s="314"/>
      <c r="U26" s="314"/>
      <c r="V26" s="314"/>
      <c r="W26" s="314"/>
      <c r="X26" s="314"/>
      <c r="Y26" s="314"/>
      <c r="Z26" s="314"/>
      <c r="AA26" s="314"/>
      <c r="AB26" s="314"/>
      <c r="AC26" s="314"/>
      <c r="AD26" s="314"/>
      <c r="AE26" s="314"/>
      <c r="AF26" s="314"/>
      <c r="AG26"/>
      <c r="AH26"/>
      <c r="AI26"/>
      <c r="AJ26"/>
      <c r="AK26"/>
      <c r="AL26"/>
      <c r="AM26"/>
      <c r="AN26" s="659"/>
      <c r="AO26" s="659"/>
      <c r="AP26" s="659"/>
      <c r="AQ26" s="661"/>
      <c r="AR26" s="452"/>
    </row>
    <row r="27" spans="1:44" s="62" customFormat="1" ht="14.65" hidden="1" customHeight="1">
      <c r="B27" s="325"/>
      <c r="C27" s="208"/>
      <c r="D27" s="208"/>
      <c r="E27" s="583">
        <v>15</v>
      </c>
      <c r="F27" s="59" cm="1">
        <f t="array" ref="F27">X27</f>
        <v>0</v>
      </c>
      <c r="G27" s="382" t="s">
        <v>60</v>
      </c>
      <c r="H27" s="382"/>
      <c r="I27" s="382"/>
      <c r="J27" s="208"/>
      <c r="K27" s="362"/>
      <c r="L27" s="362"/>
      <c r="M27" s="208"/>
      <c r="N27" s="208"/>
      <c r="O27" s="208"/>
      <c r="P27" s="208"/>
      <c r="Q27" s="208"/>
      <c r="R27" s="208"/>
      <c r="S27" s="208"/>
      <c r="T27" s="351" t="b">
        <f>X27&gt;0</f>
        <v>0</v>
      </c>
      <c r="U27" s="208"/>
      <c r="V27" s="208" t="s">
        <v>266</v>
      </c>
      <c r="W27" s="208"/>
      <c r="X27" s="1089">
        <v>0</v>
      </c>
      <c r="Y27" s="208"/>
      <c r="Z27" s="1090"/>
      <c r="AA27" s="208"/>
      <c r="AB27" s="155" t="str" cm="1">
        <f t="array" ref="AB27">INDEX('Общие сведения'!$AG$179:$AG$208,MATCH($X27,'Общие сведения'!$Z$179:$Z$208,0))</f>
        <v xml:space="preserve">Тариф 0 () - </v>
      </c>
      <c r="AC27" s="584"/>
      <c r="AD27" s="584"/>
      <c r="AE27" s="585">
        <f t="shared" ref="AE27:AJ27" ca="1" si="1">AE28+AE33+AE34+AE39+AE40+AE45+AE46+AE51</f>
        <v>0</v>
      </c>
      <c r="AF27" s="585">
        <f t="shared" ca="1" si="1"/>
        <v>0</v>
      </c>
      <c r="AG27" s="585">
        <f t="shared" ca="1" si="1"/>
        <v>0</v>
      </c>
      <c r="AH27" s="585">
        <f t="shared" ca="1" si="1"/>
        <v>0</v>
      </c>
      <c r="AI27" s="585">
        <f t="shared" ca="1" si="1"/>
        <v>0</v>
      </c>
      <c r="AJ27" s="585">
        <f t="shared" ca="1" si="1"/>
        <v>0</v>
      </c>
      <c r="AK27" s="585"/>
      <c r="AN27" s="676"/>
      <c r="AO27" s="676"/>
      <c r="AP27" s="676"/>
      <c r="AQ27" s="178"/>
      <c r="AR27" s="178"/>
    </row>
    <row r="28" spans="1:44" s="62" customFormat="1" ht="21.95" hidden="1" customHeight="1">
      <c r="B28" s="325"/>
      <c r="C28" s="208"/>
      <c r="D28" s="208"/>
      <c r="E28" s="583">
        <v>22.5</v>
      </c>
      <c r="F28" s="3" cm="1">
        <f t="array" aca="1" ref="F28" ca="1">OFFSET(E28,-1,1)</f>
        <v>0</v>
      </c>
      <c r="G28" s="266" t="s">
        <v>1135</v>
      </c>
      <c r="H28" s="382" t="s">
        <v>321</v>
      </c>
      <c r="I28" s="382"/>
      <c r="J28" s="208"/>
      <c r="K28" s="362" t="str">
        <f ca="1">F28&amp;"1komm"</f>
        <v>01komm</v>
      </c>
      <c r="L28" s="605" cm="1">
        <f t="array" ref="L28">AK28</f>
        <v>0</v>
      </c>
      <c r="M28" s="208"/>
      <c r="N28" s="208"/>
      <c r="O28" s="208"/>
      <c r="P28" s="208"/>
      <c r="Q28" s="208"/>
      <c r="R28" s="208"/>
      <c r="S28" s="208"/>
      <c r="T28" s="351" t="b" cm="1">
        <f t="array" ref="T28">T27</f>
        <v>0</v>
      </c>
      <c r="U28" s="208"/>
      <c r="V28" s="208"/>
      <c r="W28" s="208"/>
      <c r="X28" s="1089"/>
      <c r="Y28" s="208"/>
      <c r="Z28" s="1090"/>
      <c r="AA28" s="208"/>
      <c r="AB28" s="498">
        <v>1</v>
      </c>
      <c r="AC28" s="245" t="s">
        <v>1136</v>
      </c>
      <c r="AD28" s="9" t="s">
        <v>859</v>
      </c>
      <c r="AE28" s="780"/>
      <c r="AF28" s="780"/>
      <c r="AG28" s="780"/>
      <c r="AH28" s="780"/>
      <c r="AI28" s="126">
        <f>SUMIFS(AI29:AI32,$AD29:$AD32,$AD28)</f>
        <v>0</v>
      </c>
      <c r="AJ28" s="126">
        <f>SUMIFS(AJ29:AJ32,$AD29:$AD32,$AD28)</f>
        <v>0</v>
      </c>
      <c r="AK28" s="816"/>
      <c r="AN28" s="676" t="s">
        <v>1137</v>
      </c>
      <c r="AO28" s="676"/>
      <c r="AP28" s="676"/>
      <c r="AQ28" s="178"/>
      <c r="AR28" s="178"/>
    </row>
    <row r="29" spans="1:44" s="62" customFormat="1" ht="18.2" hidden="1" customHeight="1">
      <c r="B29" s="325"/>
      <c r="C29" s="208"/>
      <c r="D29" s="208"/>
      <c r="E29" s="583">
        <v>18.75</v>
      </c>
      <c r="F29" s="3" cm="1">
        <f t="array" aca="1" ref="F29" ca="1">OFFSET(E29,-1,1)</f>
        <v>0</v>
      </c>
      <c r="G29" s="382"/>
      <c r="H29" s="382" t="s">
        <v>321</v>
      </c>
      <c r="I29" s="382" cm="1">
        <f t="array" ref="I29">AC29</f>
        <v>0</v>
      </c>
      <c r="J29" s="208"/>
      <c r="K29" s="362"/>
      <c r="L29" s="362"/>
      <c r="M29" s="208"/>
      <c r="N29" s="208"/>
      <c r="O29" s="208"/>
      <c r="P29" s="208"/>
      <c r="Q29" s="208"/>
      <c r="R29" s="208"/>
      <c r="S29" s="208"/>
      <c r="T29" s="351" t="b">
        <f ca="1">AND(F29&gt;0,Y29&gt;0)</f>
        <v>0</v>
      </c>
      <c r="U29" s="208"/>
      <c r="V29" s="208"/>
      <c r="W29" s="208" t="s">
        <v>171</v>
      </c>
      <c r="X29" s="1089"/>
      <c r="Y29" s="1089">
        <v>0</v>
      </c>
      <c r="Z29" s="1090"/>
      <c r="AA29" s="1086" t="s">
        <v>172</v>
      </c>
      <c r="AB29" s="7" t="str">
        <f>"1."&amp;Y29</f>
        <v>1.0</v>
      </c>
      <c r="AC29" s="779"/>
      <c r="AD29" s="9" t="s">
        <v>859</v>
      </c>
      <c r="AE29" s="9"/>
      <c r="AF29" s="9"/>
      <c r="AG29" s="9"/>
      <c r="AH29" s="9"/>
      <c r="AI29" s="128">
        <f>AI30*AI31*12/1000</f>
        <v>0</v>
      </c>
      <c r="AJ29" s="128">
        <f>AJ30*AJ31*12/1000</f>
        <v>0</v>
      </c>
      <c r="AK29" s="816"/>
      <c r="AN29" s="676" t="s">
        <v>1138</v>
      </c>
      <c r="AO29" s="676" t="s">
        <v>1139</v>
      </c>
      <c r="AP29" s="676" cm="1">
        <f t="array" ref="AP29">AC29</f>
        <v>0</v>
      </c>
      <c r="AQ29" s="178"/>
      <c r="AR29" s="178" t="b">
        <v>1</v>
      </c>
    </row>
    <row r="30" spans="1:44" s="62" customFormat="1" ht="14.65" hidden="1" customHeight="1">
      <c r="B30" s="325"/>
      <c r="C30" s="208"/>
      <c r="D30" s="208"/>
      <c r="E30" s="583">
        <v>15</v>
      </c>
      <c r="F30" s="3" cm="1">
        <f t="array" aca="1" ref="F30" ca="1">OFFSET(E30,-1,1)</f>
        <v>0</v>
      </c>
      <c r="G30" s="382" t="s">
        <v>1140</v>
      </c>
      <c r="H30" s="382" t="str">
        <f>H29&amp;"_1"</f>
        <v>l1_1</v>
      </c>
      <c r="I30" s="382" cm="1">
        <f t="array" ref="I30">I29</f>
        <v>0</v>
      </c>
      <c r="J30" s="208"/>
      <c r="K30" s="362"/>
      <c r="L30" s="362"/>
      <c r="M30" s="208"/>
      <c r="N30" s="208"/>
      <c r="O30" s="208"/>
      <c r="P30" s="208"/>
      <c r="Q30" s="208"/>
      <c r="R30" s="208"/>
      <c r="S30" s="208"/>
      <c r="T30" s="351" t="b" cm="1">
        <f t="array" aca="1" ref="T30" ca="1">T29</f>
        <v>0</v>
      </c>
      <c r="U30" s="208"/>
      <c r="V30" s="208"/>
      <c r="W30" s="208"/>
      <c r="X30" s="1089"/>
      <c r="Y30" s="1089"/>
      <c r="Z30" s="1090"/>
      <c r="AA30" s="1086"/>
      <c r="AB30" s="498" t="str">
        <f>AB29&amp;".1"</f>
        <v>1.0.1</v>
      </c>
      <c r="AC30" s="134" t="s">
        <v>1141</v>
      </c>
      <c r="AD30" s="9" t="s">
        <v>1142</v>
      </c>
      <c r="AE30" s="9"/>
      <c r="AF30" s="9"/>
      <c r="AG30" s="9"/>
      <c r="AH30" s="9"/>
      <c r="AI30" s="141"/>
      <c r="AJ30" s="141"/>
      <c r="AK30" s="816"/>
      <c r="AN30" s="676" t="s">
        <v>1143</v>
      </c>
      <c r="AO30" s="676" t="s">
        <v>1139</v>
      </c>
      <c r="AP30" s="676" cm="1">
        <f t="array" ref="AP30">AP29</f>
        <v>0</v>
      </c>
      <c r="AQ30" s="178"/>
      <c r="AR30" s="178"/>
    </row>
    <row r="31" spans="1:44" s="62" customFormat="1" ht="14.65" hidden="1" customHeight="1">
      <c r="B31" s="325"/>
      <c r="C31" s="208"/>
      <c r="D31" s="208"/>
      <c r="E31" s="583">
        <v>15</v>
      </c>
      <c r="F31" s="3" cm="1">
        <f t="array" aca="1" ref="F31" ca="1">OFFSET(E31,-1,1)</f>
        <v>0</v>
      </c>
      <c r="G31" s="382"/>
      <c r="H31" s="382" t="str">
        <f>H29&amp;"_2"</f>
        <v>l1_2</v>
      </c>
      <c r="I31" s="382" cm="1">
        <f t="array" ref="I31">I30</f>
        <v>0</v>
      </c>
      <c r="J31" s="208"/>
      <c r="K31" s="362"/>
      <c r="L31" s="362"/>
      <c r="M31" s="208"/>
      <c r="N31" s="208"/>
      <c r="O31" s="208"/>
      <c r="P31" s="208"/>
      <c r="Q31" s="208"/>
      <c r="R31" s="208"/>
      <c r="S31" s="208"/>
      <c r="T31" s="351" t="b" cm="1">
        <f t="array" aca="1" ref="T31" ca="1">T30</f>
        <v>0</v>
      </c>
      <c r="U31" s="208"/>
      <c r="V31" s="208"/>
      <c r="W31" s="208"/>
      <c r="X31" s="1089"/>
      <c r="Y31" s="1089"/>
      <c r="Z31" s="1090"/>
      <c r="AA31" s="1086"/>
      <c r="AB31" s="498" t="str">
        <f>AB29&amp;".2"</f>
        <v>1.0.2</v>
      </c>
      <c r="AC31" s="134" t="s">
        <v>1144</v>
      </c>
      <c r="AD31" s="9" t="s">
        <v>1145</v>
      </c>
      <c r="AE31" s="9"/>
      <c r="AF31" s="9"/>
      <c r="AG31" s="9"/>
      <c r="AH31" s="9"/>
      <c r="AI31" s="141"/>
      <c r="AJ31" s="141"/>
      <c r="AK31" s="816"/>
      <c r="AN31" s="676" t="s">
        <v>1146</v>
      </c>
      <c r="AO31" s="676" t="s">
        <v>1139</v>
      </c>
      <c r="AP31" s="676" cm="1">
        <f t="array" ref="AP31">AP30</f>
        <v>0</v>
      </c>
      <c r="AQ31" s="178"/>
      <c r="AR31" s="178"/>
    </row>
    <row r="32" spans="1:44" s="62" customFormat="1" ht="14.65" hidden="1" customHeight="1">
      <c r="B32" s="325"/>
      <c r="C32" s="208"/>
      <c r="D32" s="208"/>
      <c r="E32" s="583">
        <v>15</v>
      </c>
      <c r="F32" s="3" cm="1">
        <f t="array" aca="1" ref="F32" ca="1">OFFSET(E32,-1,1)</f>
        <v>0</v>
      </c>
      <c r="G32" s="266"/>
      <c r="H32" s="382"/>
      <c r="I32" s="66" t="str">
        <f>"!=='не определено' &amp;&amp; row.l1 !== null"</f>
        <v>!=='не определено' &amp;&amp; row.l1 !== null</v>
      </c>
      <c r="J32" s="208"/>
      <c r="K32" s="362"/>
      <c r="L32" s="362"/>
      <c r="M32" s="208"/>
      <c r="N32" s="208"/>
      <c r="O32" s="208"/>
      <c r="P32" s="208"/>
      <c r="Q32" s="208"/>
      <c r="R32" s="208"/>
      <c r="S32" s="208"/>
      <c r="T32" s="351" t="b">
        <f ca="1">F32&gt;0</f>
        <v>0</v>
      </c>
      <c r="U32" s="208"/>
      <c r="V32" s="208"/>
      <c r="W32" s="515" t="s">
        <v>388</v>
      </c>
      <c r="X32" s="1089"/>
      <c r="Y32" s="586"/>
      <c r="Z32" s="1090"/>
      <c r="AA32" s="208"/>
      <c r="AB32" s="587"/>
      <c r="AC32" s="171" t="s">
        <v>175</v>
      </c>
      <c r="AD32" s="545"/>
      <c r="AE32" s="545"/>
      <c r="AF32" s="545"/>
      <c r="AG32" s="545"/>
      <c r="AH32" s="545"/>
      <c r="AI32" s="545"/>
      <c r="AJ32" s="545"/>
      <c r="AK32" s="546"/>
      <c r="AN32" s="676"/>
      <c r="AO32" s="676"/>
      <c r="AP32" s="676"/>
      <c r="AQ32" s="178" t="s">
        <v>1139</v>
      </c>
      <c r="AR32" s="178"/>
    </row>
    <row r="33" spans="2:44" s="62" customFormat="1" ht="21.95" hidden="1" customHeight="1">
      <c r="B33" s="325"/>
      <c r="C33" s="208"/>
      <c r="D33" s="208"/>
      <c r="E33" s="583">
        <v>22.5</v>
      </c>
      <c r="F33" s="3" cm="1">
        <f t="array" aca="1" ref="F33" ca="1">OFFSET(E33,-1,1)</f>
        <v>0</v>
      </c>
      <c r="G33" s="266" t="s">
        <v>1147</v>
      </c>
      <c r="H33" s="382" t="s">
        <v>322</v>
      </c>
      <c r="I33" s="382"/>
      <c r="J33" s="208"/>
      <c r="K33" s="362" t="str">
        <f ca="1">F33&amp;"2komm"</f>
        <v>02komm</v>
      </c>
      <c r="L33" s="605" cm="1">
        <f t="array" ref="L33">AK33</f>
        <v>0</v>
      </c>
      <c r="M33" s="208"/>
      <c r="N33" s="208"/>
      <c r="O33" s="208"/>
      <c r="P33" s="208"/>
      <c r="Q33" s="208"/>
      <c r="R33" s="208"/>
      <c r="S33" s="208"/>
      <c r="T33" s="351" t="b" cm="1">
        <f t="array" aca="1" ref="T33" ca="1">T32</f>
        <v>0</v>
      </c>
      <c r="U33" s="208"/>
      <c r="V33" s="208"/>
      <c r="W33" s="208"/>
      <c r="X33" s="1089"/>
      <c r="Y33" s="586"/>
      <c r="Z33" s="1090"/>
      <c r="AA33" s="208"/>
      <c r="AB33" s="498" t="s">
        <v>435</v>
      </c>
      <c r="AC33" s="245" t="s">
        <v>1148</v>
      </c>
      <c r="AD33" s="9" t="s">
        <v>859</v>
      </c>
      <c r="AE33" s="780">
        <f ca="1">AE28*SUMIFS(INDEX(Сценарии!$AE$25:$BF$82,,MATCH(AE$13,Сценарии!$AE$8:$BF$8,0)),Сценарии!$F$25:$F$82,$F33,Сценарии!$G$25:$G$82,"СВФОТ")/100</f>
        <v>0</v>
      </c>
      <c r="AF33" s="780">
        <f ca="1">AF28*SUMIFS(INDEX(Сценарии!$AE$25:$BF$82,,MATCH(AF$13,Сценарии!$AE$8:$BF$8,0)),Сценарии!$F$25:$F$82,$F33,Сценарии!$G$25:$G$82,"СВФОТ")/100</f>
        <v>0</v>
      </c>
      <c r="AG33" s="780">
        <f ca="1">AG28*SUMIFS(INDEX(Сценарии!$AE$25:$BF$82,,MATCH(AG$13,Сценарии!$AE$8:$BF$8,0)),Сценарии!$F$25:$F$82,$F33,Сценарии!$G$25:$G$82,"СВФОТ")/100</f>
        <v>0</v>
      </c>
      <c r="AH33" s="780">
        <f ca="1">AH28*SUMIFS(INDEX(Сценарии!$AE$25:$BF$82,,MATCH(AH$13,Сценарии!$AE$8:$BF$8,0)),Сценарии!$F$25:$F$82,$F33,Сценарии!$G$25:$G$82,"СВФОТ")/100</f>
        <v>0</v>
      </c>
      <c r="AI33" s="141">
        <f ca="1">AI28*SUMIFS(INDEX(Сценарии!$AE$25:$BF$82,,MATCH(AI$13,Сценарии!$AE$8:$BF$8,0)),Сценарии!$F$25:$F$82,$F33,Сценарии!$G$25:$G$82,"СВФОТ")/100</f>
        <v>0</v>
      </c>
      <c r="AJ33" s="141">
        <f ca="1">AJ28*SUMIFS(INDEX(Сценарии!$AE$25:$BF$82,,MATCH(AJ$13,Сценарии!$AE$8:$BF$8,0)),Сценарии!$F$25:$F$82,$F33,Сценарии!$G$25:$G$82,"СВФОТ")/100</f>
        <v>0</v>
      </c>
      <c r="AK33" s="816"/>
      <c r="AN33" s="676" t="s">
        <v>1149</v>
      </c>
      <c r="AO33" s="676"/>
      <c r="AP33" s="676"/>
      <c r="AQ33" s="178"/>
      <c r="AR33" s="178"/>
    </row>
    <row r="34" spans="2:44" s="62" customFormat="1" ht="14.65" hidden="1" customHeight="1">
      <c r="B34" s="325"/>
      <c r="C34" s="208"/>
      <c r="D34" s="208"/>
      <c r="E34" s="583">
        <v>15</v>
      </c>
      <c r="F34" s="3" cm="1">
        <f t="array" aca="1" ref="F34" ca="1">OFFSET(E34,-1,1)</f>
        <v>0</v>
      </c>
      <c r="G34" s="266" t="s">
        <v>1150</v>
      </c>
      <c r="H34" s="382" t="s">
        <v>323</v>
      </c>
      <c r="I34" s="382"/>
      <c r="J34" s="208"/>
      <c r="K34" s="362" t="str">
        <f ca="1">F34&amp;"3komm"</f>
        <v>03komm</v>
      </c>
      <c r="L34" s="605" cm="1">
        <f t="array" ref="L34">AK34</f>
        <v>0</v>
      </c>
      <c r="M34" s="208"/>
      <c r="N34" s="208"/>
      <c r="O34" s="208"/>
      <c r="P34" s="208"/>
      <c r="Q34" s="208"/>
      <c r="R34" s="208"/>
      <c r="S34" s="208"/>
      <c r="T34" s="351" t="b" cm="1">
        <f t="array" aca="1" ref="T34" ca="1">T33</f>
        <v>0</v>
      </c>
      <c r="U34" s="208"/>
      <c r="V34" s="208"/>
      <c r="W34" s="208"/>
      <c r="X34" s="1089"/>
      <c r="Y34" s="586"/>
      <c r="Z34" s="1090"/>
      <c r="AA34" s="208"/>
      <c r="AB34" s="498" t="s">
        <v>319</v>
      </c>
      <c r="AC34" s="245" t="s">
        <v>1151</v>
      </c>
      <c r="AD34" s="9" t="s">
        <v>859</v>
      </c>
      <c r="AE34" s="780"/>
      <c r="AF34" s="780"/>
      <c r="AG34" s="780"/>
      <c r="AH34" s="780"/>
      <c r="AI34" s="126">
        <f>SUMIFS(AI35:AI38,$AD35:$AD38,$AD34)</f>
        <v>0</v>
      </c>
      <c r="AJ34" s="126">
        <f>SUMIFS(AJ35:AJ38,$AD35:$AD38,$AD34)</f>
        <v>0</v>
      </c>
      <c r="AK34" s="816"/>
      <c r="AN34" s="676" t="s">
        <v>1152</v>
      </c>
      <c r="AO34" s="676"/>
      <c r="AP34" s="676"/>
      <c r="AQ34" s="178"/>
      <c r="AR34" s="178"/>
    </row>
    <row r="35" spans="2:44" s="62" customFormat="1" ht="18.2" hidden="1" customHeight="1">
      <c r="B35" s="325"/>
      <c r="C35" s="208"/>
      <c r="D35" s="208"/>
      <c r="E35" s="583">
        <v>18.75</v>
      </c>
      <c r="F35" s="3" cm="1">
        <f t="array" aca="1" ref="F35" ca="1">OFFSET(E35,-1,1)</f>
        <v>0</v>
      </c>
      <c r="G35" s="382"/>
      <c r="H35" s="382" t="s">
        <v>323</v>
      </c>
      <c r="I35" s="382" cm="1">
        <f t="array" ref="I35">AC35</f>
        <v>0</v>
      </c>
      <c r="J35" s="208"/>
      <c r="K35" s="362"/>
      <c r="L35" s="362"/>
      <c r="M35" s="208"/>
      <c r="N35" s="208"/>
      <c r="O35" s="208"/>
      <c r="P35" s="208"/>
      <c r="Q35" s="208"/>
      <c r="R35" s="208"/>
      <c r="S35" s="208"/>
      <c r="T35" s="351" t="b">
        <f ca="1">AND(F35&gt;0,Y35&gt;0)</f>
        <v>0</v>
      </c>
      <c r="U35" s="208"/>
      <c r="V35" s="208"/>
      <c r="W35" s="208" t="s">
        <v>171</v>
      </c>
      <c r="X35" s="1089"/>
      <c r="Y35" s="1089">
        <v>0</v>
      </c>
      <c r="Z35" s="1090"/>
      <c r="AA35" s="1086" t="s">
        <v>172</v>
      </c>
      <c r="AB35" s="7" t="str">
        <f>"3."&amp;Y35</f>
        <v>3.0</v>
      </c>
      <c r="AC35" s="779"/>
      <c r="AD35" s="9" t="s">
        <v>859</v>
      </c>
      <c r="AE35" s="9"/>
      <c r="AF35" s="9"/>
      <c r="AG35" s="9"/>
      <c r="AH35" s="9"/>
      <c r="AI35" s="128">
        <f>AI36*AI37*12/1000</f>
        <v>0</v>
      </c>
      <c r="AJ35" s="128">
        <f>AJ36*AJ37*12/1000</f>
        <v>0</v>
      </c>
      <c r="AK35" s="816"/>
      <c r="AN35" s="676" t="s">
        <v>1138</v>
      </c>
      <c r="AO35" s="676" t="s">
        <v>1153</v>
      </c>
      <c r="AP35" s="676" cm="1">
        <f t="array" ref="AP35">AC35</f>
        <v>0</v>
      </c>
      <c r="AQ35" s="178"/>
      <c r="AR35" s="178" t="b">
        <v>1</v>
      </c>
    </row>
    <row r="36" spans="2:44" s="62" customFormat="1" ht="14.65" hidden="1" customHeight="1">
      <c r="B36" s="325"/>
      <c r="C36" s="208"/>
      <c r="D36" s="208"/>
      <c r="E36" s="583">
        <v>15</v>
      </c>
      <c r="F36" s="3" cm="1">
        <f t="array" aca="1" ref="F36" ca="1">OFFSET(E36,-1,1)</f>
        <v>0</v>
      </c>
      <c r="G36" s="382" t="s">
        <v>1154</v>
      </c>
      <c r="H36" s="382" t="str">
        <f>H35&amp;"_1"</f>
        <v>l3_1</v>
      </c>
      <c r="I36" s="382" cm="1">
        <f t="array" ref="I36">I35</f>
        <v>0</v>
      </c>
      <c r="J36" s="208"/>
      <c r="K36" s="362"/>
      <c r="L36" s="362"/>
      <c r="M36" s="208"/>
      <c r="N36" s="208"/>
      <c r="O36" s="208"/>
      <c r="P36" s="208"/>
      <c r="Q36" s="208"/>
      <c r="R36" s="208"/>
      <c r="S36" s="208"/>
      <c r="T36" s="351" t="b" cm="1">
        <f t="array" aca="1" ref="T36" ca="1">T35</f>
        <v>0</v>
      </c>
      <c r="U36" s="208"/>
      <c r="V36" s="208"/>
      <c r="W36" s="208"/>
      <c r="X36" s="1089"/>
      <c r="Y36" s="1089"/>
      <c r="Z36" s="1090"/>
      <c r="AA36" s="1086"/>
      <c r="AB36" s="498" t="str">
        <f>AB35&amp;".1"</f>
        <v>3.0.1</v>
      </c>
      <c r="AC36" s="134" t="s">
        <v>1141</v>
      </c>
      <c r="AD36" s="9" t="s">
        <v>1142</v>
      </c>
      <c r="AE36" s="9"/>
      <c r="AF36" s="9"/>
      <c r="AG36" s="9"/>
      <c r="AH36" s="9"/>
      <c r="AI36" s="141"/>
      <c r="AJ36" s="141"/>
      <c r="AK36" s="816"/>
      <c r="AN36" s="676" t="s">
        <v>1143</v>
      </c>
      <c r="AO36" s="676" t="s">
        <v>1153</v>
      </c>
      <c r="AP36" s="676" cm="1">
        <f t="array" ref="AP36">AP35</f>
        <v>0</v>
      </c>
      <c r="AQ36" s="178"/>
      <c r="AR36" s="178"/>
    </row>
    <row r="37" spans="2:44" s="62" customFormat="1" ht="14.65" hidden="1" customHeight="1">
      <c r="B37" s="325"/>
      <c r="C37" s="208"/>
      <c r="D37" s="208"/>
      <c r="E37" s="583">
        <v>15</v>
      </c>
      <c r="F37" s="3" cm="1">
        <f t="array" aca="1" ref="F37" ca="1">OFFSET(E37,-1,1)</f>
        <v>0</v>
      </c>
      <c r="G37" s="382"/>
      <c r="H37" s="382" t="str">
        <f>H35&amp;"_2"</f>
        <v>l3_2</v>
      </c>
      <c r="I37" s="382" cm="1">
        <f t="array" ref="I37">I36</f>
        <v>0</v>
      </c>
      <c r="J37" s="208"/>
      <c r="K37" s="362"/>
      <c r="L37" s="362"/>
      <c r="M37" s="208"/>
      <c r="N37" s="208"/>
      <c r="O37" s="208"/>
      <c r="P37" s="208"/>
      <c r="Q37" s="208"/>
      <c r="R37" s="208"/>
      <c r="S37" s="208"/>
      <c r="T37" s="351" t="b" cm="1">
        <f t="array" aca="1" ref="T37" ca="1">T36</f>
        <v>0</v>
      </c>
      <c r="U37" s="208"/>
      <c r="V37" s="208"/>
      <c r="W37" s="208"/>
      <c r="X37" s="1089"/>
      <c r="Y37" s="1089"/>
      <c r="Z37" s="1090"/>
      <c r="AA37" s="1086"/>
      <c r="AB37" s="498" t="str">
        <f>AB35&amp;".2"</f>
        <v>3.0.2</v>
      </c>
      <c r="AC37" s="134" t="s">
        <v>1144</v>
      </c>
      <c r="AD37" s="9" t="s">
        <v>1145</v>
      </c>
      <c r="AE37" s="9"/>
      <c r="AF37" s="9"/>
      <c r="AG37" s="9"/>
      <c r="AH37" s="9"/>
      <c r="AI37" s="141"/>
      <c r="AJ37" s="141"/>
      <c r="AK37" s="816"/>
      <c r="AN37" s="676" t="s">
        <v>1146</v>
      </c>
      <c r="AO37" s="676" t="s">
        <v>1153</v>
      </c>
      <c r="AP37" s="676" cm="1">
        <f t="array" ref="AP37">AP36</f>
        <v>0</v>
      </c>
      <c r="AQ37" s="178"/>
      <c r="AR37" s="178"/>
    </row>
    <row r="38" spans="2:44" s="62" customFormat="1" ht="14.65" hidden="1" customHeight="1">
      <c r="B38" s="325"/>
      <c r="C38" s="208"/>
      <c r="D38" s="208"/>
      <c r="E38" s="583">
        <v>15</v>
      </c>
      <c r="F38" s="3" cm="1">
        <f t="array" aca="1" ref="F38" ca="1">OFFSET(E38,-1,1)</f>
        <v>0</v>
      </c>
      <c r="G38" s="266"/>
      <c r="H38" s="382"/>
      <c r="I38" s="66" t="str">
        <f>"!=='не определено' &amp;&amp; row.l3 !== null"</f>
        <v>!=='не определено' &amp;&amp; row.l3 !== null</v>
      </c>
      <c r="J38" s="208"/>
      <c r="K38" s="362"/>
      <c r="L38" s="362"/>
      <c r="M38" s="208"/>
      <c r="N38" s="208"/>
      <c r="O38" s="208"/>
      <c r="P38" s="208"/>
      <c r="Q38" s="208"/>
      <c r="R38" s="208"/>
      <c r="S38" s="208"/>
      <c r="T38" s="351" t="b">
        <f ca="1">F38&gt;0</f>
        <v>0</v>
      </c>
      <c r="U38" s="208"/>
      <c r="V38" s="208"/>
      <c r="W38" s="515" t="s">
        <v>918</v>
      </c>
      <c r="X38" s="1089"/>
      <c r="Y38" s="586"/>
      <c r="Z38" s="1090"/>
      <c r="AA38" s="208"/>
      <c r="AB38" s="587"/>
      <c r="AC38" s="171" t="s">
        <v>175</v>
      </c>
      <c r="AD38" s="545"/>
      <c r="AE38" s="545"/>
      <c r="AF38" s="545"/>
      <c r="AG38" s="545"/>
      <c r="AH38" s="545"/>
      <c r="AI38" s="545"/>
      <c r="AJ38" s="545"/>
      <c r="AK38" s="546"/>
      <c r="AN38" s="676"/>
      <c r="AO38" s="676"/>
      <c r="AP38" s="676"/>
      <c r="AQ38" s="178" t="s">
        <v>1153</v>
      </c>
      <c r="AR38" s="178"/>
    </row>
    <row r="39" spans="2:44" s="62" customFormat="1" ht="21.95" hidden="1" customHeight="1">
      <c r="B39" s="325"/>
      <c r="C39" s="208"/>
      <c r="D39" s="208"/>
      <c r="E39" s="583">
        <v>22.5</v>
      </c>
      <c r="F39" s="3" cm="1">
        <f t="array" aca="1" ref="F39" ca="1">OFFSET(E39,-1,1)</f>
        <v>0</v>
      </c>
      <c r="G39" s="266" t="s">
        <v>1155</v>
      </c>
      <c r="H39" s="382" t="s">
        <v>325</v>
      </c>
      <c r="I39" s="382"/>
      <c r="J39" s="208"/>
      <c r="K39" s="362" t="str">
        <f ca="1">F39&amp;"4komm"</f>
        <v>04komm</v>
      </c>
      <c r="L39" s="605" cm="1">
        <f t="array" ref="L39">AK39</f>
        <v>0</v>
      </c>
      <c r="M39" s="208"/>
      <c r="N39" s="208"/>
      <c r="O39" s="208"/>
      <c r="P39" s="208"/>
      <c r="Q39" s="208"/>
      <c r="R39" s="208"/>
      <c r="S39" s="208"/>
      <c r="T39" s="351" t="b" cm="1">
        <f t="array" aca="1" ref="T39" ca="1">T38</f>
        <v>0</v>
      </c>
      <c r="U39" s="208"/>
      <c r="V39" s="208"/>
      <c r="W39" s="208"/>
      <c r="X39" s="1089"/>
      <c r="Y39" s="586"/>
      <c r="Z39" s="1090"/>
      <c r="AA39" s="208"/>
      <c r="AB39" s="498" t="s">
        <v>438</v>
      </c>
      <c r="AC39" s="245" t="s">
        <v>1156</v>
      </c>
      <c r="AD39" s="9" t="s">
        <v>859</v>
      </c>
      <c r="AE39" s="780">
        <f ca="1">AE34*SUMIFS(INDEX(Сценарии!$AE$25:$BF$82,,MATCH(AE$13,Сценарии!$AE$8:$BF$8,0)),Сценарии!$F$25:$F$82,$F39,Сценарии!$G$25:$G$82,"СВФОТ")/100</f>
        <v>0</v>
      </c>
      <c r="AF39" s="780">
        <f ca="1">AF34*SUMIFS(INDEX(Сценарии!$AE$25:$BF$82,,MATCH(AF$13,Сценарии!$AE$8:$BF$8,0)),Сценарии!$F$25:$F$82,$F39,Сценарии!$G$25:$G$82,"СВФОТ")/100</f>
        <v>0</v>
      </c>
      <c r="AG39" s="780">
        <f ca="1">AG34*SUMIFS(INDEX(Сценарии!$AE$25:$BF$82,,MATCH(AG$13,Сценарии!$AE$8:$BF$8,0)),Сценарии!$F$25:$F$82,$F39,Сценарии!$G$25:$G$82,"СВФОТ")/100</f>
        <v>0</v>
      </c>
      <c r="AH39" s="780">
        <f ca="1">AH34*SUMIFS(INDEX(Сценарии!$AE$25:$BF$82,,MATCH(AH$13,Сценарии!$AE$8:$BF$8,0)),Сценарии!$F$25:$F$82,$F39,Сценарии!$G$25:$G$82,"СВФОТ")/100</f>
        <v>0</v>
      </c>
      <c r="AI39" s="141">
        <f ca="1">AI34*SUMIFS(INDEX(Сценарии!$AE$25:$BF$82,,MATCH(AI$13,Сценарии!$AE$8:$BF$8,0)),Сценарии!$F$25:$F$82,$F39,Сценарии!$G$25:$G$82,"СВФОТ")/100</f>
        <v>0</v>
      </c>
      <c r="AJ39" s="141">
        <f ca="1">AJ34*SUMIFS(INDEX(Сценарии!$AE$25:$BF$82,,MATCH(AJ$13,Сценарии!$AE$8:$BF$8,0)),Сценарии!$F$25:$F$82,$F39,Сценарии!$G$25:$G$82,"СВФОТ")/100</f>
        <v>0</v>
      </c>
      <c r="AK39" s="816"/>
      <c r="AN39" s="676" t="s">
        <v>1157</v>
      </c>
      <c r="AO39" s="676"/>
      <c r="AP39" s="676"/>
      <c r="AQ39" s="178"/>
      <c r="AR39" s="178"/>
    </row>
    <row r="40" spans="2:44" s="62" customFormat="1" ht="21.95" hidden="1" customHeight="1">
      <c r="B40" s="325"/>
      <c r="C40" s="208"/>
      <c r="D40" s="208"/>
      <c r="E40" s="583">
        <v>22.5</v>
      </c>
      <c r="F40" s="3" cm="1">
        <f t="array" aca="1" ref="F40" ca="1">OFFSET(E40,-1,1)</f>
        <v>0</v>
      </c>
      <c r="G40" s="266" t="s">
        <v>1158</v>
      </c>
      <c r="H40" s="382" t="s">
        <v>324</v>
      </c>
      <c r="I40" s="382"/>
      <c r="J40" s="208"/>
      <c r="K40" s="362" t="str">
        <f ca="1">F40&amp;"5komm"</f>
        <v>05komm</v>
      </c>
      <c r="L40" s="605" cm="1">
        <f t="array" ref="L40">AK40</f>
        <v>0</v>
      </c>
      <c r="M40" s="208"/>
      <c r="N40" s="208"/>
      <c r="O40" s="208"/>
      <c r="P40" s="208"/>
      <c r="Q40" s="208"/>
      <c r="R40" s="208"/>
      <c r="S40" s="208"/>
      <c r="T40" s="351" t="b" cm="1">
        <f t="array" aca="1" ref="T40" ca="1">T39</f>
        <v>0</v>
      </c>
      <c r="U40" s="208"/>
      <c r="V40" s="208"/>
      <c r="W40" s="208"/>
      <c r="X40" s="1089"/>
      <c r="Y40" s="586"/>
      <c r="Z40" s="1090"/>
      <c r="AA40" s="208"/>
      <c r="AB40" s="498" t="s">
        <v>440</v>
      </c>
      <c r="AC40" s="245" t="s">
        <v>1159</v>
      </c>
      <c r="AD40" s="9" t="s">
        <v>859</v>
      </c>
      <c r="AE40" s="780"/>
      <c r="AF40" s="780"/>
      <c r="AG40" s="780"/>
      <c r="AH40" s="780"/>
      <c r="AI40" s="126">
        <f>SUMIFS(AI41:AI44,$AD41:$AD44,$AD40)</f>
        <v>0</v>
      </c>
      <c r="AJ40" s="126">
        <f>SUMIFS(AJ41:AJ44,$AD41:$AD44,$AD40)</f>
        <v>0</v>
      </c>
      <c r="AK40" s="816"/>
      <c r="AN40" s="676" t="s">
        <v>1160</v>
      </c>
      <c r="AO40" s="676"/>
      <c r="AP40" s="676"/>
      <c r="AQ40" s="178"/>
      <c r="AR40" s="178"/>
    </row>
    <row r="41" spans="2:44" s="62" customFormat="1" ht="18.2" hidden="1" customHeight="1">
      <c r="B41" s="325"/>
      <c r="C41" s="208"/>
      <c r="D41" s="208"/>
      <c r="E41" s="583">
        <v>18.75</v>
      </c>
      <c r="F41" s="3" cm="1">
        <f t="array" aca="1" ref="F41" ca="1">OFFSET(E41,-1,1)</f>
        <v>0</v>
      </c>
      <c r="G41" s="382"/>
      <c r="H41" s="382" t="s">
        <v>324</v>
      </c>
      <c r="I41" s="382" cm="1">
        <f t="array" ref="I41">AC41</f>
        <v>0</v>
      </c>
      <c r="J41" s="208"/>
      <c r="K41" s="362"/>
      <c r="L41" s="362"/>
      <c r="M41" s="208"/>
      <c r="N41" s="208"/>
      <c r="O41" s="208"/>
      <c r="P41" s="208"/>
      <c r="Q41" s="208"/>
      <c r="R41" s="208"/>
      <c r="S41" s="208"/>
      <c r="T41" s="351" t="b">
        <f ca="1">AND(F41&gt;0,Y41&gt;0)</f>
        <v>0</v>
      </c>
      <c r="U41" s="208"/>
      <c r="V41" s="208"/>
      <c r="W41" s="208" t="s">
        <v>171</v>
      </c>
      <c r="X41" s="1089"/>
      <c r="Y41" s="1089">
        <v>0</v>
      </c>
      <c r="Z41" s="1090"/>
      <c r="AA41" s="1086" t="s">
        <v>172</v>
      </c>
      <c r="AB41" s="7" t="str">
        <f>"5."&amp;Y41</f>
        <v>5.0</v>
      </c>
      <c r="AC41" s="779"/>
      <c r="AD41" s="9" t="s">
        <v>859</v>
      </c>
      <c r="AE41" s="9"/>
      <c r="AF41" s="9"/>
      <c r="AG41" s="9"/>
      <c r="AH41" s="9"/>
      <c r="AI41" s="128">
        <f>AI42*AI43*12/1000</f>
        <v>0</v>
      </c>
      <c r="AJ41" s="128">
        <f>AJ42*AJ43*12/1000</f>
        <v>0</v>
      </c>
      <c r="AK41" s="816"/>
      <c r="AN41" s="676" t="s">
        <v>1138</v>
      </c>
      <c r="AO41" s="676" t="s">
        <v>1161</v>
      </c>
      <c r="AP41" s="676" cm="1">
        <f t="array" ref="AP41">AC41</f>
        <v>0</v>
      </c>
      <c r="AQ41" s="178"/>
      <c r="AR41" s="178" t="b">
        <v>1</v>
      </c>
    </row>
    <row r="42" spans="2:44" s="62" customFormat="1" ht="14.65" hidden="1" customHeight="1">
      <c r="B42" s="325"/>
      <c r="C42" s="208"/>
      <c r="D42" s="208"/>
      <c r="E42" s="583">
        <v>15</v>
      </c>
      <c r="F42" s="3" cm="1">
        <f t="array" aca="1" ref="F42" ca="1">OFFSET(E42,-1,1)</f>
        <v>0</v>
      </c>
      <c r="G42" s="382"/>
      <c r="H42" s="382" t="str">
        <f>H41&amp;"_1"</f>
        <v>l5_1</v>
      </c>
      <c r="I42" s="382" cm="1">
        <f t="array" ref="I42">I41</f>
        <v>0</v>
      </c>
      <c r="J42" s="208"/>
      <c r="K42" s="362"/>
      <c r="L42" s="362"/>
      <c r="M42" s="208"/>
      <c r="N42" s="208"/>
      <c r="O42" s="208"/>
      <c r="P42" s="208"/>
      <c r="Q42" s="208"/>
      <c r="R42" s="208"/>
      <c r="S42" s="208"/>
      <c r="T42" s="351" t="b" cm="1">
        <f t="array" aca="1" ref="T42" ca="1">T41</f>
        <v>0</v>
      </c>
      <c r="U42" s="208"/>
      <c r="V42" s="208"/>
      <c r="W42" s="208"/>
      <c r="X42" s="1089"/>
      <c r="Y42" s="1089"/>
      <c r="Z42" s="1090"/>
      <c r="AA42" s="1086"/>
      <c r="AB42" s="498" t="str">
        <f>AB41&amp;".1"</f>
        <v>5.0.1</v>
      </c>
      <c r="AC42" s="134" t="s">
        <v>1141</v>
      </c>
      <c r="AD42" s="9" t="s">
        <v>1142</v>
      </c>
      <c r="AE42" s="9"/>
      <c r="AF42" s="9"/>
      <c r="AG42" s="9"/>
      <c r="AH42" s="9"/>
      <c r="AI42" s="141"/>
      <c r="AJ42" s="141"/>
      <c r="AK42" s="816"/>
      <c r="AN42" s="676" t="s">
        <v>1143</v>
      </c>
      <c r="AO42" s="676" t="s">
        <v>1161</v>
      </c>
      <c r="AP42" s="676" cm="1">
        <f t="array" ref="AP42">AP41</f>
        <v>0</v>
      </c>
      <c r="AQ42" s="178"/>
      <c r="AR42" s="178"/>
    </row>
    <row r="43" spans="2:44" s="62" customFormat="1" ht="14.65" hidden="1" customHeight="1">
      <c r="B43" s="325"/>
      <c r="C43" s="208"/>
      <c r="D43" s="208"/>
      <c r="E43" s="583">
        <v>15</v>
      </c>
      <c r="F43" s="3" cm="1">
        <f t="array" aca="1" ref="F43" ca="1">OFFSET(E43,-1,1)</f>
        <v>0</v>
      </c>
      <c r="G43" s="382"/>
      <c r="H43" s="382" t="str">
        <f>H41&amp;"_2"</f>
        <v>l5_2</v>
      </c>
      <c r="I43" s="382" cm="1">
        <f t="array" ref="I43">I42</f>
        <v>0</v>
      </c>
      <c r="J43" s="208"/>
      <c r="K43" s="362"/>
      <c r="L43" s="362"/>
      <c r="M43" s="208"/>
      <c r="N43" s="208"/>
      <c r="O43" s="208"/>
      <c r="P43" s="208"/>
      <c r="Q43" s="208"/>
      <c r="R43" s="208"/>
      <c r="S43" s="208"/>
      <c r="T43" s="351" t="b" cm="1">
        <f t="array" aca="1" ref="T43" ca="1">T42</f>
        <v>0</v>
      </c>
      <c r="U43" s="208"/>
      <c r="V43" s="208"/>
      <c r="W43" s="208"/>
      <c r="X43" s="1089"/>
      <c r="Y43" s="1089"/>
      <c r="Z43" s="1090"/>
      <c r="AA43" s="1086"/>
      <c r="AB43" s="498" t="str">
        <f>AB41&amp;".2"</f>
        <v>5.0.2</v>
      </c>
      <c r="AC43" s="134" t="s">
        <v>1144</v>
      </c>
      <c r="AD43" s="9" t="s">
        <v>1145</v>
      </c>
      <c r="AE43" s="9"/>
      <c r="AF43" s="9"/>
      <c r="AG43" s="9"/>
      <c r="AH43" s="9"/>
      <c r="AI43" s="141"/>
      <c r="AJ43" s="141"/>
      <c r="AK43" s="816"/>
      <c r="AN43" s="676" t="s">
        <v>1146</v>
      </c>
      <c r="AO43" s="676" t="s">
        <v>1161</v>
      </c>
      <c r="AP43" s="676" cm="1">
        <f t="array" ref="AP43">AP42</f>
        <v>0</v>
      </c>
      <c r="AQ43" s="178"/>
      <c r="AR43" s="178"/>
    </row>
    <row r="44" spans="2:44" s="62" customFormat="1" ht="14.65" hidden="1" customHeight="1">
      <c r="B44" s="325"/>
      <c r="C44" s="208"/>
      <c r="D44" s="208"/>
      <c r="E44" s="583">
        <v>15</v>
      </c>
      <c r="F44" s="3" cm="1">
        <f t="array" aca="1" ref="F44" ca="1">OFFSET(E44,-1,1)</f>
        <v>0</v>
      </c>
      <c r="G44" s="266"/>
      <c r="H44" s="382"/>
      <c r="I44" s="66" t="str">
        <f>"!=='не определено' &amp;&amp; row.l5 !== null"</f>
        <v>!=='не определено' &amp;&amp; row.l5 !== null</v>
      </c>
      <c r="J44" s="208"/>
      <c r="K44" s="362"/>
      <c r="L44" s="362"/>
      <c r="M44" s="208"/>
      <c r="N44" s="208"/>
      <c r="O44" s="208"/>
      <c r="P44" s="208"/>
      <c r="Q44" s="208"/>
      <c r="R44" s="208"/>
      <c r="S44" s="208"/>
      <c r="T44" s="351" t="b">
        <f ca="1">F44&gt;0</f>
        <v>0</v>
      </c>
      <c r="U44" s="208"/>
      <c r="V44" s="208"/>
      <c r="W44" s="515" t="s">
        <v>1162</v>
      </c>
      <c r="X44" s="1089"/>
      <c r="Y44" s="586"/>
      <c r="Z44" s="1090"/>
      <c r="AA44" s="208"/>
      <c r="AB44" s="587"/>
      <c r="AC44" s="171" t="s">
        <v>175</v>
      </c>
      <c r="AD44" s="545"/>
      <c r="AE44" s="545"/>
      <c r="AF44" s="545"/>
      <c r="AG44" s="545"/>
      <c r="AH44" s="545"/>
      <c r="AI44" s="545"/>
      <c r="AJ44" s="545"/>
      <c r="AK44" s="546"/>
      <c r="AN44" s="676"/>
      <c r="AO44" s="676"/>
      <c r="AP44" s="676"/>
      <c r="AQ44" s="178" t="s">
        <v>1161</v>
      </c>
      <c r="AR44" s="178"/>
    </row>
    <row r="45" spans="2:44" s="62" customFormat="1" ht="21.95" hidden="1" customHeight="1">
      <c r="B45" s="325"/>
      <c r="C45" s="208"/>
      <c r="D45" s="208"/>
      <c r="E45" s="583">
        <v>22.5</v>
      </c>
      <c r="F45" s="3" cm="1">
        <f t="array" aca="1" ref="F45" ca="1">OFFSET(E45,-1,1)</f>
        <v>0</v>
      </c>
      <c r="G45" s="266" t="s">
        <v>1163</v>
      </c>
      <c r="H45" s="382" t="s">
        <v>557</v>
      </c>
      <c r="I45" s="382"/>
      <c r="J45" s="208"/>
      <c r="K45" s="362" t="str">
        <f ca="1">F45&amp;"6komm"</f>
        <v>06komm</v>
      </c>
      <c r="L45" s="362" cm="1">
        <f t="array" ref="L45">AK45</f>
        <v>0</v>
      </c>
      <c r="M45" s="208"/>
      <c r="N45" s="208"/>
      <c r="O45" s="208"/>
      <c r="P45" s="208"/>
      <c r="Q45" s="208"/>
      <c r="R45" s="208"/>
      <c r="S45" s="208"/>
      <c r="T45" s="351" t="b" cm="1">
        <f t="array" aca="1" ref="T45" ca="1">T44</f>
        <v>0</v>
      </c>
      <c r="U45" s="208"/>
      <c r="V45" s="208"/>
      <c r="W45" s="208"/>
      <c r="X45" s="1089"/>
      <c r="Y45" s="586"/>
      <c r="Z45" s="1090"/>
      <c r="AA45" s="208"/>
      <c r="AB45" s="498" t="s">
        <v>442</v>
      </c>
      <c r="AC45" s="245" t="s">
        <v>1164</v>
      </c>
      <c r="AD45" s="9" t="s">
        <v>859</v>
      </c>
      <c r="AE45" s="780">
        <f ca="1">AE40*SUMIFS(INDEX(Сценарии!$AE$25:$BF$82,,MATCH(AE$13,Сценарии!$AE$8:$BF$8,0)),Сценарии!$F$25:$F$82,$F45,Сценарии!$G$25:$G$82,"СВФОТ")/100</f>
        <v>0</v>
      </c>
      <c r="AF45" s="780">
        <f ca="1">AF40*SUMIFS(INDEX(Сценарии!$AE$25:$BF$82,,MATCH(AF$13,Сценарии!$AE$8:$BF$8,0)),Сценарии!$F$25:$F$82,$F45,Сценарии!$G$25:$G$82,"СВФОТ")/100</f>
        <v>0</v>
      </c>
      <c r="AG45" s="780">
        <f ca="1">AG40*SUMIFS(INDEX(Сценарии!$AE$25:$BF$82,,MATCH(AG$13,Сценарии!$AE$8:$BF$8,0)),Сценарии!$F$25:$F$82,$F45,Сценарии!$G$25:$G$82,"СВФОТ")/100</f>
        <v>0</v>
      </c>
      <c r="AH45" s="780">
        <f ca="1">AH40*SUMIFS(INDEX(Сценарии!$AE$25:$BF$82,,MATCH(AH$13,Сценарии!$AE$8:$BF$8,0)),Сценарии!$F$25:$F$82,$F45,Сценарии!$G$25:$G$82,"СВФОТ")/100</f>
        <v>0</v>
      </c>
      <c r="AI45" s="141">
        <f ca="1">AI40*SUMIFS(INDEX(Сценарии!$AE$25:$BF$82,,MATCH(AI$13,Сценарии!$AE$8:$BF$8,0)),Сценарии!$F$25:$F$82,$F45,Сценарии!$G$25:$G$82,"СВФОТ")/100</f>
        <v>0</v>
      </c>
      <c r="AJ45" s="141">
        <f ca="1">AJ40*SUMIFS(INDEX(Сценарии!$AE$25:$BF$82,,MATCH(AJ$13,Сценарии!$AE$8:$BF$8,0)),Сценарии!$F$25:$F$82,$F45,Сценарии!$G$25:$G$82,"СВФОТ")/100</f>
        <v>0</v>
      </c>
      <c r="AK45" s="887"/>
      <c r="AN45" s="676" t="s">
        <v>1165</v>
      </c>
      <c r="AO45" s="676"/>
      <c r="AP45" s="676"/>
      <c r="AQ45" s="178"/>
      <c r="AR45" s="178"/>
    </row>
    <row r="46" spans="2:44" s="62" customFormat="1" ht="14.65" hidden="1" customHeight="1">
      <c r="B46" s="325"/>
      <c r="C46" s="208"/>
      <c r="D46" s="208"/>
      <c r="E46" s="583">
        <v>15</v>
      </c>
      <c r="F46" s="3" cm="1">
        <f t="array" aca="1" ref="F46" ca="1">OFFSET(E46,-1,1)</f>
        <v>0</v>
      </c>
      <c r="G46" s="266" t="s">
        <v>1166</v>
      </c>
      <c r="H46" s="382" t="s">
        <v>560</v>
      </c>
      <c r="I46" s="382"/>
      <c r="J46" s="208"/>
      <c r="K46" s="362" t="str">
        <f ca="1">F46&amp;"7komm"</f>
        <v>07komm</v>
      </c>
      <c r="L46" s="362" cm="1">
        <f t="array" ref="L46">AK46</f>
        <v>0</v>
      </c>
      <c r="M46" s="208"/>
      <c r="N46" s="208"/>
      <c r="O46" s="208"/>
      <c r="P46" s="208"/>
      <c r="Q46" s="208"/>
      <c r="R46" s="208"/>
      <c r="S46" s="208"/>
      <c r="T46" s="351" t="b" cm="1">
        <f t="array" aca="1" ref="T46" ca="1">T45</f>
        <v>0</v>
      </c>
      <c r="U46" s="208"/>
      <c r="V46" s="208"/>
      <c r="W46" s="208"/>
      <c r="X46" s="1089"/>
      <c r="Y46" s="586"/>
      <c r="Z46" s="1090"/>
      <c r="AA46" s="208"/>
      <c r="AB46" s="498" t="s">
        <v>444</v>
      </c>
      <c r="AC46" s="245" t="s">
        <v>1167</v>
      </c>
      <c r="AD46" s="9" t="s">
        <v>859</v>
      </c>
      <c r="AE46" s="780"/>
      <c r="AF46" s="780"/>
      <c r="AG46" s="780"/>
      <c r="AH46" s="780"/>
      <c r="AI46" s="126">
        <f>SUMIFS(AI47:AI50,$AD47:$AD50,$AD46)</f>
        <v>0</v>
      </c>
      <c r="AJ46" s="126">
        <f>SUMIFS(AJ47:AJ50,$AD47:$AD50,$AD46)</f>
        <v>0</v>
      </c>
      <c r="AK46" s="887"/>
      <c r="AN46" s="676" t="s">
        <v>1168</v>
      </c>
      <c r="AO46" s="676"/>
      <c r="AP46" s="676"/>
      <c r="AQ46" s="178"/>
      <c r="AR46" s="178"/>
    </row>
    <row r="47" spans="2:44" s="62" customFormat="1" ht="18.2" hidden="1" customHeight="1">
      <c r="C47" s="208"/>
      <c r="D47" s="208"/>
      <c r="E47" s="583">
        <v>18.75</v>
      </c>
      <c r="F47" s="3" cm="1">
        <f t="array" aca="1" ref="F47" ca="1">OFFSET(E47,-1,1)</f>
        <v>0</v>
      </c>
      <c r="G47" s="382"/>
      <c r="H47" s="382" t="s">
        <v>560</v>
      </c>
      <c r="I47" s="382" cm="1">
        <f t="array" ref="I47">AC47</f>
        <v>0</v>
      </c>
      <c r="J47" s="208"/>
      <c r="K47" s="362"/>
      <c r="L47" s="362"/>
      <c r="M47" s="208"/>
      <c r="N47" s="208"/>
      <c r="O47" s="208"/>
      <c r="P47" s="208"/>
      <c r="Q47" s="208"/>
      <c r="R47" s="208"/>
      <c r="S47" s="208"/>
      <c r="T47" s="351" t="b">
        <f ca="1">AND(F47&gt;0,Y47&gt;0)</f>
        <v>0</v>
      </c>
      <c r="U47" s="208"/>
      <c r="V47" s="208"/>
      <c r="W47" s="208" t="s">
        <v>171</v>
      </c>
      <c r="X47" s="1089"/>
      <c r="Y47" s="1089">
        <v>0</v>
      </c>
      <c r="Z47" s="1090"/>
      <c r="AA47" s="1086" t="s">
        <v>172</v>
      </c>
      <c r="AB47" s="7" t="str">
        <f>"7."&amp;Y47</f>
        <v>7.0</v>
      </c>
      <c r="AC47" s="779"/>
      <c r="AD47" s="9" t="s">
        <v>859</v>
      </c>
      <c r="AE47" s="9"/>
      <c r="AF47" s="9"/>
      <c r="AG47" s="9"/>
      <c r="AH47" s="9"/>
      <c r="AI47" s="128">
        <f>AI48*AI49*12/1000</f>
        <v>0</v>
      </c>
      <c r="AJ47" s="128">
        <f>AJ48*AJ49*12/1000</f>
        <v>0</v>
      </c>
      <c r="AK47" s="816"/>
      <c r="AN47" s="676" t="s">
        <v>1138</v>
      </c>
      <c r="AO47" s="676" t="s">
        <v>1169</v>
      </c>
      <c r="AP47" s="676" cm="1">
        <f t="array" ref="AP47">AC47</f>
        <v>0</v>
      </c>
      <c r="AQ47" s="178"/>
      <c r="AR47" s="178" t="b">
        <v>1</v>
      </c>
    </row>
    <row r="48" spans="2:44" s="62" customFormat="1" ht="14.65" hidden="1" customHeight="1">
      <c r="C48" s="208"/>
      <c r="D48" s="208"/>
      <c r="E48" s="583">
        <v>15</v>
      </c>
      <c r="F48" s="3" cm="1">
        <f t="array" aca="1" ref="F48" ca="1">OFFSET(E48,-1,1)</f>
        <v>0</v>
      </c>
      <c r="G48" s="382"/>
      <c r="H48" s="382" t="str">
        <f>H47&amp;"_1"</f>
        <v>l7_1</v>
      </c>
      <c r="I48" s="382" cm="1">
        <f t="array" ref="I48">I47</f>
        <v>0</v>
      </c>
      <c r="J48" s="208"/>
      <c r="K48" s="362"/>
      <c r="L48" s="362"/>
      <c r="M48" s="208"/>
      <c r="N48" s="208"/>
      <c r="O48" s="208"/>
      <c r="P48" s="208"/>
      <c r="Q48" s="208"/>
      <c r="R48" s="208"/>
      <c r="S48" s="208"/>
      <c r="T48" s="351" t="b" cm="1">
        <f t="array" aca="1" ref="T48" ca="1">T47</f>
        <v>0</v>
      </c>
      <c r="U48" s="208"/>
      <c r="V48" s="208"/>
      <c r="W48" s="208"/>
      <c r="X48" s="1089"/>
      <c r="Y48" s="1089"/>
      <c r="Z48" s="1090"/>
      <c r="AA48" s="1086"/>
      <c r="AB48" s="498" t="str">
        <f>AB47&amp;".1"</f>
        <v>7.0.1</v>
      </c>
      <c r="AC48" s="134" t="s">
        <v>1141</v>
      </c>
      <c r="AD48" s="9" t="s">
        <v>1142</v>
      </c>
      <c r="AE48" s="9"/>
      <c r="AF48" s="9"/>
      <c r="AG48" s="9"/>
      <c r="AH48" s="9"/>
      <c r="AI48" s="141"/>
      <c r="AJ48" s="141"/>
      <c r="AK48" s="816"/>
      <c r="AN48" s="676" t="s">
        <v>1143</v>
      </c>
      <c r="AO48" s="676" t="s">
        <v>1169</v>
      </c>
      <c r="AP48" s="676" cm="1">
        <f t="array" ref="AP48">AP47</f>
        <v>0</v>
      </c>
      <c r="AQ48" s="178"/>
      <c r="AR48" s="178"/>
    </row>
    <row r="49" spans="1:44" s="62" customFormat="1" ht="14.65" hidden="1" customHeight="1">
      <c r="C49" s="208"/>
      <c r="D49" s="208"/>
      <c r="E49" s="583">
        <v>15</v>
      </c>
      <c r="F49" s="3" cm="1">
        <f t="array" aca="1" ref="F49" ca="1">OFFSET(E49,-1,1)</f>
        <v>0</v>
      </c>
      <c r="G49" s="382"/>
      <c r="H49" s="382" t="str">
        <f>H47&amp;"_2"</f>
        <v>l7_2</v>
      </c>
      <c r="I49" s="382" cm="1">
        <f t="array" ref="I49">I48</f>
        <v>0</v>
      </c>
      <c r="J49" s="208"/>
      <c r="K49" s="362"/>
      <c r="L49" s="362"/>
      <c r="M49" s="208"/>
      <c r="N49" s="208"/>
      <c r="O49" s="208"/>
      <c r="P49" s="208"/>
      <c r="Q49" s="208"/>
      <c r="R49" s="208"/>
      <c r="S49" s="208"/>
      <c r="T49" s="351" t="b" cm="1">
        <f t="array" aca="1" ref="T49" ca="1">T48</f>
        <v>0</v>
      </c>
      <c r="U49" s="208"/>
      <c r="V49" s="208"/>
      <c r="W49" s="208"/>
      <c r="X49" s="1089"/>
      <c r="Y49" s="1089"/>
      <c r="Z49" s="1090"/>
      <c r="AA49" s="1086"/>
      <c r="AB49" s="498" t="str">
        <f>AB47&amp;".2"</f>
        <v>7.0.2</v>
      </c>
      <c r="AC49" s="134" t="s">
        <v>1144</v>
      </c>
      <c r="AD49" s="9" t="s">
        <v>1145</v>
      </c>
      <c r="AE49" s="9"/>
      <c r="AF49" s="9"/>
      <c r="AG49" s="9"/>
      <c r="AH49" s="9"/>
      <c r="AI49" s="141"/>
      <c r="AJ49" s="141"/>
      <c r="AK49" s="816"/>
      <c r="AN49" s="676" t="s">
        <v>1146</v>
      </c>
      <c r="AO49" s="676" t="s">
        <v>1169</v>
      </c>
      <c r="AP49" s="676" cm="1">
        <f t="array" ref="AP49">AP48</f>
        <v>0</v>
      </c>
      <c r="AQ49" s="178"/>
      <c r="AR49" s="178"/>
    </row>
    <row r="50" spans="1:44" s="62" customFormat="1" ht="14.65" hidden="1" customHeight="1">
      <c r="B50" s="325"/>
      <c r="C50" s="208"/>
      <c r="D50" s="208"/>
      <c r="E50" s="583">
        <v>15</v>
      </c>
      <c r="F50" s="3" cm="1">
        <f t="array" aca="1" ref="F50" ca="1">OFFSET(E50,-1,1)</f>
        <v>0</v>
      </c>
      <c r="G50" s="266"/>
      <c r="H50" s="382"/>
      <c r="I50" s="66" t="str">
        <f>"!=='не определено' &amp;&amp; row.l7 !== null"</f>
        <v>!=='не определено' &amp;&amp; row.l7 !== null</v>
      </c>
      <c r="J50" s="208"/>
      <c r="K50" s="362"/>
      <c r="L50" s="362"/>
      <c r="M50" s="208"/>
      <c r="N50" s="208"/>
      <c r="O50" s="208"/>
      <c r="P50" s="208"/>
      <c r="Q50" s="208"/>
      <c r="R50" s="208"/>
      <c r="S50" s="208"/>
      <c r="T50" s="351" t="b">
        <f ca="1">F50&gt;0</f>
        <v>0</v>
      </c>
      <c r="U50" s="208"/>
      <c r="V50" s="208"/>
      <c r="W50" s="515" t="s">
        <v>1170</v>
      </c>
      <c r="X50" s="1089"/>
      <c r="Y50" s="208"/>
      <c r="Z50" s="1090"/>
      <c r="AA50" s="208"/>
      <c r="AB50" s="587"/>
      <c r="AC50" s="171" t="s">
        <v>175</v>
      </c>
      <c r="AD50" s="545"/>
      <c r="AE50" s="545"/>
      <c r="AF50" s="545"/>
      <c r="AG50" s="545"/>
      <c r="AH50" s="545"/>
      <c r="AI50" s="545"/>
      <c r="AJ50" s="545"/>
      <c r="AK50" s="546"/>
      <c r="AN50" s="676"/>
      <c r="AO50" s="676"/>
      <c r="AP50" s="676"/>
      <c r="AQ50" s="178" t="s">
        <v>1169</v>
      </c>
      <c r="AR50" s="178"/>
    </row>
    <row r="51" spans="1:44" s="62" customFormat="1" ht="21.95" hidden="1" customHeight="1">
      <c r="B51" s="325"/>
      <c r="C51" s="208"/>
      <c r="D51" s="208"/>
      <c r="E51" s="583">
        <v>22.5</v>
      </c>
      <c r="F51" s="3" cm="1">
        <f t="array" aca="1" ref="F51" ca="1">OFFSET(E51,-1,1)</f>
        <v>0</v>
      </c>
      <c r="G51" s="266" t="s">
        <v>1171</v>
      </c>
      <c r="H51" s="382" t="s">
        <v>613</v>
      </c>
      <c r="I51" s="382"/>
      <c r="J51" s="208"/>
      <c r="K51" s="362" t="str">
        <f ca="1">F51&amp;"8komm"</f>
        <v>08komm</v>
      </c>
      <c r="L51" s="605" cm="1">
        <f t="array" ref="L51">AK51</f>
        <v>0</v>
      </c>
      <c r="M51" s="208"/>
      <c r="N51" s="208"/>
      <c r="O51" s="208"/>
      <c r="P51" s="208"/>
      <c r="Q51" s="208"/>
      <c r="R51" s="208"/>
      <c r="S51" s="208"/>
      <c r="T51" s="351" t="b" cm="1">
        <f t="array" aca="1" ref="T51" ca="1">T50</f>
        <v>0</v>
      </c>
      <c r="U51" s="208"/>
      <c r="V51" s="208"/>
      <c r="W51" s="208"/>
      <c r="X51" s="1089"/>
      <c r="Y51" s="208"/>
      <c r="Z51" s="1090"/>
      <c r="AA51" s="208"/>
      <c r="AB51" s="498" t="s">
        <v>446</v>
      </c>
      <c r="AC51" s="245" t="s">
        <v>1172</v>
      </c>
      <c r="AD51" s="9" t="s">
        <v>859</v>
      </c>
      <c r="AE51" s="780">
        <f ca="1">AE46*SUMIFS(INDEX(Сценарии!$AE$25:$BF$82,,MATCH(AE$13,Сценарии!$AE$8:$BF$8,0)),Сценарии!$F$25:$F$82,$F51,Сценарии!$G$25:$G$82,"СВФОТ")/100</f>
        <v>0</v>
      </c>
      <c r="AF51" s="780">
        <f ca="1">AF46*SUMIFS(INDEX(Сценарии!$AE$25:$BF$82,,MATCH(AF$13,Сценарии!$AE$8:$BF$8,0)),Сценарии!$F$25:$F$82,$F51,Сценарии!$G$25:$G$82,"СВФОТ")/100</f>
        <v>0</v>
      </c>
      <c r="AG51" s="780">
        <f ca="1">AG46*SUMIFS(INDEX(Сценарии!$AE$25:$BF$82,,MATCH(AG$13,Сценарии!$AE$8:$BF$8,0)),Сценарии!$F$25:$F$82,$F51,Сценарии!$G$25:$G$82,"СВФОТ")/100</f>
        <v>0</v>
      </c>
      <c r="AH51" s="780">
        <f ca="1">AH46*SUMIFS(INDEX(Сценарии!$AE$25:$BF$82,,MATCH(AH$13,Сценарии!$AE$8:$BF$8,0)),Сценарии!$F$25:$F$82,$F51,Сценарии!$G$25:$G$82,"СВФОТ")/100</f>
        <v>0</v>
      </c>
      <c r="AI51" s="141">
        <f ca="1">AI46*SUMIFS(INDEX(Сценарии!$AE$25:$BF$82,,MATCH(AI$13,Сценарии!$AE$8:$BF$8,0)),Сценарии!$F$25:$F$82,$F51,Сценарии!$G$25:$G$82,"СВФОТ")/100</f>
        <v>0</v>
      </c>
      <c r="AJ51" s="141">
        <f ca="1">AJ46*SUMIFS(INDEX(Сценарии!$AE$25:$BF$82,,MATCH(AJ$13,Сценарии!$AE$8:$BF$8,0)),Сценарии!$F$25:$F$82,$F51,Сценарии!$G$25:$G$82,"СВФОТ")/100</f>
        <v>0</v>
      </c>
      <c r="AK51" s="816"/>
      <c r="AN51" s="676" t="s">
        <v>1173</v>
      </c>
      <c r="AO51" s="676"/>
      <c r="AP51" s="676"/>
      <c r="AQ51" s="178"/>
      <c r="AR51" s="178"/>
    </row>
    <row r="52" spans="1:44" s="325" customFormat="1" ht="29.45" customHeight="1">
      <c r="A52" s="62"/>
      <c r="C52" s="208"/>
      <c r="D52" s="208"/>
      <c r="E52" s="583">
        <v>15</v>
      </c>
      <c r="F52" s="59" t="str" cm="1">
        <f t="array" ref="F52">X52</f>
        <v>1</v>
      </c>
      <c r="G52" s="382" t="s">
        <v>60</v>
      </c>
      <c r="H52" s="382"/>
      <c r="I52" s="382"/>
      <c r="J52" s="208"/>
      <c r="K52" s="362"/>
      <c r="L52" s="362"/>
      <c r="M52" s="208"/>
      <c r="N52" s="208"/>
      <c r="O52" s="208"/>
      <c r="P52" s="208"/>
      <c r="Q52" s="208"/>
      <c r="R52" s="208"/>
      <c r="S52" s="208"/>
      <c r="T52" s="351" t="b">
        <f>X52&gt;0</f>
        <v>1</v>
      </c>
      <c r="U52" s="208"/>
      <c r="V52" s="208" t="str" cm="1">
        <f t="array" ref="V52">Покупка!$AB$57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52" s="208"/>
      <c r="X52" s="1089" t="s">
        <v>277</v>
      </c>
      <c r="Y52" s="208"/>
      <c r="Z52" s="1090"/>
      <c r="AA52" s="208"/>
      <c r="AB52" s="155" t="str" cm="1">
        <f t="array" ref="AB52">Покупка!$AB$57</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52" s="584"/>
      <c r="AD52" s="584"/>
      <c r="AE52" s="585">
        <f t="shared" ref="AE52:AJ52" ca="1" si="2">AE53+AE64+AE65+AE73+AE74+AE82+AE83+AE88</f>
        <v>5239.5500000000011</v>
      </c>
      <c r="AF52" s="585">
        <f t="shared" ca="1" si="2"/>
        <v>9026.1634800000011</v>
      </c>
      <c r="AG52" s="585">
        <f t="shared" ca="1" si="2"/>
        <v>9033.2164200000025</v>
      </c>
      <c r="AH52" s="585">
        <f t="shared" ca="1" si="2"/>
        <v>143026.63145971199</v>
      </c>
      <c r="AI52" s="585">
        <f t="shared" ca="1" si="2"/>
        <v>151330.11894000001</v>
      </c>
      <c r="AJ52" s="585">
        <f t="shared" ca="1" si="2"/>
        <v>148688.73352032001</v>
      </c>
      <c r="AK52" s="585"/>
      <c r="AL52" s="62"/>
      <c r="AM52" s="62"/>
      <c r="AN52" s="676"/>
      <c r="AO52" s="676"/>
      <c r="AP52" s="676"/>
      <c r="AQ52" s="178"/>
      <c r="AR52" s="178"/>
    </row>
    <row r="53" spans="1:44" s="325" customFormat="1" ht="33.200000000000003" customHeight="1">
      <c r="A53" s="62"/>
      <c r="C53" s="208"/>
      <c r="D53" s="208"/>
      <c r="E53" s="583">
        <v>22.5</v>
      </c>
      <c r="F53" s="3" t="str" cm="1">
        <f t="array" aca="1" ref="F53" ca="1">OFFSET(E53,-1,1)</f>
        <v>1</v>
      </c>
      <c r="G53" s="266" t="s">
        <v>1135</v>
      </c>
      <c r="H53" s="382" t="s">
        <v>321</v>
      </c>
      <c r="I53" s="382"/>
      <c r="J53" s="208"/>
      <c r="K53" s="362" t="str">
        <f ca="1">F53&amp;"1komm"</f>
        <v>11komm</v>
      </c>
      <c r="L53" s="605" t="str" cm="1">
        <f t="array" ref="L53">AK53</f>
        <v>П. 17 Методических указаний ФСТ России № 1746-э.</v>
      </c>
      <c r="M53" s="208"/>
      <c r="N53" s="208"/>
      <c r="O53" s="208"/>
      <c r="P53" s="208"/>
      <c r="Q53" s="208"/>
      <c r="R53" s="208"/>
      <c r="S53" s="208"/>
      <c r="T53" s="351" t="b" cm="1">
        <f t="array" ref="T53">T52</f>
        <v>1</v>
      </c>
      <c r="U53" s="208"/>
      <c r="V53" s="208"/>
      <c r="W53" s="208"/>
      <c r="X53" s="1089"/>
      <c r="Y53" s="208"/>
      <c r="Z53" s="1090"/>
      <c r="AA53" s="208"/>
      <c r="AB53" s="498">
        <v>1</v>
      </c>
      <c r="AC53" s="245" t="s">
        <v>1136</v>
      </c>
      <c r="AD53" s="9" t="s">
        <v>859</v>
      </c>
      <c r="AE53" s="141">
        <f>1510.47+952.55</f>
        <v>2463.02</v>
      </c>
      <c r="AF53" s="141">
        <f>2590.55+1040.42</f>
        <v>3630.9700000000003</v>
      </c>
      <c r="AG53" s="141" cm="1">
        <f t="array" ref="AG53">AF53</f>
        <v>3630.9700000000003</v>
      </c>
      <c r="AH53" s="141">
        <v>66276.216864000002</v>
      </c>
      <c r="AI53" s="126">
        <f>SUMIFS(AI54:AI63,$AD54:$AD63,$AD53)</f>
        <v>65088.223200000008</v>
      </c>
      <c r="AJ53" s="126">
        <f>SUMIFS(AJ54:AJ63,$AD54:$AD63,$AD53)</f>
        <v>65088.223200000008</v>
      </c>
      <c r="AK53" s="103" t="s">
        <v>1174</v>
      </c>
      <c r="AL53" s="62"/>
      <c r="AM53" s="62"/>
      <c r="AN53" s="676" t="s">
        <v>1137</v>
      </c>
      <c r="AO53" s="676"/>
      <c r="AP53" s="676"/>
      <c r="AQ53" s="178"/>
      <c r="AR53" s="178"/>
    </row>
    <row r="54" spans="1:44" s="325" customFormat="1" ht="18" hidden="1" customHeight="1">
      <c r="A54" s="62"/>
      <c r="C54" s="208"/>
      <c r="D54" s="208"/>
      <c r="E54" s="583">
        <v>18.75</v>
      </c>
      <c r="F54" s="3" t="str" cm="1">
        <f t="array" aca="1" ref="F54" ca="1">OFFSET(E54,-1,1)</f>
        <v>1</v>
      </c>
      <c r="G54" s="382"/>
      <c r="H54" s="382" t="s">
        <v>321</v>
      </c>
      <c r="I54" s="382" cm="1">
        <f t="array" ref="I54">AC54</f>
        <v>0</v>
      </c>
      <c r="J54" s="208"/>
      <c r="K54" s="362"/>
      <c r="L54" s="362"/>
      <c r="M54" s="208"/>
      <c r="N54" s="208"/>
      <c r="O54" s="208"/>
      <c r="P54" s="208"/>
      <c r="Q54" s="208"/>
      <c r="R54" s="208"/>
      <c r="S54" s="208"/>
      <c r="T54" s="351" t="b">
        <f ca="1">AND(F54&gt;0,Y54&gt;0)</f>
        <v>0</v>
      </c>
      <c r="U54" s="208"/>
      <c r="V54" s="208"/>
      <c r="W54" s="208" t="s">
        <v>171</v>
      </c>
      <c r="X54" s="1089"/>
      <c r="Y54" s="1089">
        <v>0</v>
      </c>
      <c r="Z54" s="1090"/>
      <c r="AA54" s="1086" t="s">
        <v>172</v>
      </c>
      <c r="AB54" s="7" t="str">
        <f>"1."&amp;Y54</f>
        <v>1.0</v>
      </c>
      <c r="AC54" s="779"/>
      <c r="AD54" s="9" t="s">
        <v>859</v>
      </c>
      <c r="AE54" s="9"/>
      <c r="AF54" s="9"/>
      <c r="AG54" s="9"/>
      <c r="AH54" s="9"/>
      <c r="AI54" s="128">
        <f>AI55*AI56*12/1000</f>
        <v>0</v>
      </c>
      <c r="AJ54" s="128">
        <f>AJ55*AJ56*12/1000</f>
        <v>0</v>
      </c>
      <c r="AK54" s="816"/>
      <c r="AL54" s="62"/>
      <c r="AM54" s="62"/>
      <c r="AN54" s="676" t="s">
        <v>1138</v>
      </c>
      <c r="AO54" s="676" t="s">
        <v>1139</v>
      </c>
      <c r="AP54" s="676" cm="1">
        <f t="array" ref="AP54">AC54</f>
        <v>0</v>
      </c>
      <c r="AQ54" s="178"/>
      <c r="AR54" s="178" t="b">
        <v>1</v>
      </c>
    </row>
    <row r="55" spans="1:44" s="325" customFormat="1" ht="14.25" hidden="1" customHeight="1">
      <c r="A55" s="62"/>
      <c r="C55" s="208"/>
      <c r="D55" s="208"/>
      <c r="E55" s="583">
        <v>15</v>
      </c>
      <c r="F55" s="3" t="str" cm="1">
        <f t="array" aca="1" ref="F55" ca="1">OFFSET(E55,-1,1)</f>
        <v>1</v>
      </c>
      <c r="G55" s="382" t="s">
        <v>1140</v>
      </c>
      <c r="H55" s="382" t="str">
        <f>H54&amp;"_1"</f>
        <v>l1_1</v>
      </c>
      <c r="I55" s="382" cm="1">
        <f t="array" ref="I55">I54</f>
        <v>0</v>
      </c>
      <c r="J55" s="208"/>
      <c r="K55" s="362"/>
      <c r="L55" s="362"/>
      <c r="M55" s="208"/>
      <c r="N55" s="208"/>
      <c r="O55" s="208"/>
      <c r="P55" s="208"/>
      <c r="Q55" s="208"/>
      <c r="R55" s="208"/>
      <c r="S55" s="208"/>
      <c r="T55" s="351" t="b" cm="1">
        <f t="array" aca="1" ref="T55" ca="1">T54</f>
        <v>0</v>
      </c>
      <c r="U55" s="208"/>
      <c r="V55" s="208"/>
      <c r="W55" s="208"/>
      <c r="X55" s="1089"/>
      <c r="Y55" s="1089"/>
      <c r="Z55" s="1090"/>
      <c r="AA55" s="1086"/>
      <c r="AB55" s="498" t="str">
        <f>AB54&amp;".1"</f>
        <v>1.0.1</v>
      </c>
      <c r="AC55" s="134" t="s">
        <v>1141</v>
      </c>
      <c r="AD55" s="9" t="s">
        <v>1142</v>
      </c>
      <c r="AE55" s="9"/>
      <c r="AF55" s="9"/>
      <c r="AG55" s="9"/>
      <c r="AH55" s="9"/>
      <c r="AI55" s="141"/>
      <c r="AJ55" s="141"/>
      <c r="AK55" s="816"/>
      <c r="AL55" s="62"/>
      <c r="AM55" s="62"/>
      <c r="AN55" s="676" t="s">
        <v>1143</v>
      </c>
      <c r="AO55" s="676" t="s">
        <v>1139</v>
      </c>
      <c r="AP55" s="676" cm="1">
        <f t="array" ref="AP55">AP54</f>
        <v>0</v>
      </c>
      <c r="AQ55" s="178"/>
      <c r="AR55" s="178"/>
    </row>
    <row r="56" spans="1:44" s="325" customFormat="1" ht="14.25" hidden="1" customHeight="1">
      <c r="A56" s="62"/>
      <c r="C56" s="208"/>
      <c r="D56" s="208"/>
      <c r="E56" s="583">
        <v>15</v>
      </c>
      <c r="F56" s="3" t="str" cm="1">
        <f t="array" aca="1" ref="F56" ca="1">OFFSET(E56,-1,1)</f>
        <v>1</v>
      </c>
      <c r="G56" s="382"/>
      <c r="H56" s="382" t="str">
        <f>H54&amp;"_2"</f>
        <v>l1_2</v>
      </c>
      <c r="I56" s="382" cm="1">
        <f t="array" ref="I56">I55</f>
        <v>0</v>
      </c>
      <c r="J56" s="208"/>
      <c r="K56" s="362"/>
      <c r="L56" s="362"/>
      <c r="M56" s="208"/>
      <c r="N56" s="208"/>
      <c r="O56" s="208"/>
      <c r="P56" s="208"/>
      <c r="Q56" s="208"/>
      <c r="R56" s="208"/>
      <c r="S56" s="208"/>
      <c r="T56" s="351" t="b" cm="1">
        <f t="array" aca="1" ref="T56" ca="1">T55</f>
        <v>0</v>
      </c>
      <c r="U56" s="208"/>
      <c r="V56" s="208"/>
      <c r="W56" s="208"/>
      <c r="X56" s="1089"/>
      <c r="Y56" s="1089"/>
      <c r="Z56" s="1090"/>
      <c r="AA56" s="1086"/>
      <c r="AB56" s="498" t="str">
        <f>AB54&amp;".2"</f>
        <v>1.0.2</v>
      </c>
      <c r="AC56" s="134" t="s">
        <v>1144</v>
      </c>
      <c r="AD56" s="9" t="s">
        <v>1145</v>
      </c>
      <c r="AE56" s="9"/>
      <c r="AF56" s="9"/>
      <c r="AG56" s="9"/>
      <c r="AH56" s="9"/>
      <c r="AI56" s="141"/>
      <c r="AJ56" s="141"/>
      <c r="AK56" s="816"/>
      <c r="AL56" s="62"/>
      <c r="AM56" s="62"/>
      <c r="AN56" s="676" t="s">
        <v>1146</v>
      </c>
      <c r="AO56" s="676" t="s">
        <v>1139</v>
      </c>
      <c r="AP56" s="676" cm="1">
        <f t="array" ref="AP56">AP55</f>
        <v>0</v>
      </c>
      <c r="AQ56" s="178"/>
      <c r="AR56" s="178"/>
    </row>
    <row r="57" spans="1:44" s="325" customFormat="1" ht="27.95" customHeight="1">
      <c r="A57" s="62"/>
      <c r="C57" s="208"/>
      <c r="D57" s="208"/>
      <c r="E57" s="583">
        <v>18.75</v>
      </c>
      <c r="F57" s="3" t="str" cm="1">
        <f t="array" aca="1" ref="F57" ca="1">OFFSET(E57,-1,1)</f>
        <v>1</v>
      </c>
      <c r="G57" s="382"/>
      <c r="H57" s="382" t="s">
        <v>321</v>
      </c>
      <c r="I57" s="382" t="str" cm="1">
        <f t="array" ref="I57">AC57</f>
        <v>Основной производственный персонал</v>
      </c>
      <c r="J57" s="208"/>
      <c r="K57" s="362"/>
      <c r="L57" s="362"/>
      <c r="M57" s="208"/>
      <c r="N57" s="208"/>
      <c r="O57" s="208"/>
      <c r="P57" s="208"/>
      <c r="Q57" s="208"/>
      <c r="R57" s="208"/>
      <c r="S57" s="208"/>
      <c r="T57" s="351" t="b">
        <f ca="1">AND(F57&gt;0,Y57&gt;0)</f>
        <v>1</v>
      </c>
      <c r="U57" s="208"/>
      <c r="V57" s="208"/>
      <c r="W57" s="208"/>
      <c r="X57" s="1089"/>
      <c r="Y57" s="1089" t="s">
        <v>277</v>
      </c>
      <c r="Z57" s="1090"/>
      <c r="AA57" s="1086" t="s">
        <v>172</v>
      </c>
      <c r="AB57" s="7" t="str">
        <f>"1."&amp;Y57</f>
        <v>1.1</v>
      </c>
      <c r="AC57" s="346" t="s">
        <v>1175</v>
      </c>
      <c r="AD57" s="9" t="s">
        <v>859</v>
      </c>
      <c r="AE57" s="9"/>
      <c r="AF57" s="9"/>
      <c r="AG57" s="9"/>
      <c r="AH57" s="9"/>
      <c r="AI57" s="128">
        <f>AI58*AI59*12/1000</f>
        <v>37193.270400000009</v>
      </c>
      <c r="AJ57" s="128">
        <f>AJ58*AJ59*12/1000</f>
        <v>37193.270400000009</v>
      </c>
      <c r="AK57" s="103"/>
      <c r="AL57" s="62"/>
      <c r="AM57" s="62"/>
      <c r="AN57" s="676" t="s">
        <v>1138</v>
      </c>
      <c r="AO57" s="676" t="s">
        <v>1139</v>
      </c>
      <c r="AP57" s="676" t="str" cm="1">
        <f t="array" ref="AP57">AC57</f>
        <v>Основной производственный персонал</v>
      </c>
      <c r="AQ57" s="178"/>
      <c r="AR57" s="178" t="b">
        <v>1</v>
      </c>
    </row>
    <row r="58" spans="1:44" s="325" customFormat="1" ht="42.95" customHeight="1">
      <c r="A58" s="62"/>
      <c r="C58" s="208"/>
      <c r="D58" s="208"/>
      <c r="E58" s="583">
        <v>15</v>
      </c>
      <c r="F58" s="3" t="str" cm="1">
        <f t="array" aca="1" ref="F58" ca="1">OFFSET(E58,-1,1)</f>
        <v>1</v>
      </c>
      <c r="G58" s="382" t="s">
        <v>1140</v>
      </c>
      <c r="H58" s="382" t="str">
        <f>H57&amp;"_1"</f>
        <v>l1_1</v>
      </c>
      <c r="I58" s="382" t="str" cm="1">
        <f t="array" ref="I58">I57</f>
        <v>Основной производственный персонал</v>
      </c>
      <c r="J58" s="208"/>
      <c r="K58" s="362"/>
      <c r="L58" s="362"/>
      <c r="M58" s="208"/>
      <c r="N58" s="208"/>
      <c r="O58" s="208"/>
      <c r="P58" s="208"/>
      <c r="Q58" s="208"/>
      <c r="R58" s="208"/>
      <c r="S58" s="208"/>
      <c r="T58" s="351" t="b" cm="1">
        <f t="array" aca="1" ref="T58" ca="1">T57</f>
        <v>1</v>
      </c>
      <c r="U58" s="208"/>
      <c r="V58" s="208"/>
      <c r="W58" s="208"/>
      <c r="X58" s="1089"/>
      <c r="Y58" s="1089"/>
      <c r="Z58" s="1090"/>
      <c r="AA58" s="1086"/>
      <c r="AB58" s="498" t="str">
        <f>AB57&amp;".1"</f>
        <v>1.1.1</v>
      </c>
      <c r="AC58" s="134" t="s">
        <v>1141</v>
      </c>
      <c r="AD58" s="9" t="s">
        <v>1142</v>
      </c>
      <c r="AE58" s="9"/>
      <c r="AF58" s="9"/>
      <c r="AG58" s="9"/>
      <c r="AH58" s="9"/>
      <c r="AI58" s="141">
        <v>88</v>
      </c>
      <c r="AJ58" s="141">
        <v>88</v>
      </c>
      <c r="AK58" s="103" t="s">
        <v>1176</v>
      </c>
      <c r="AL58" s="62"/>
      <c r="AM58" s="62"/>
      <c r="AN58" s="676" t="s">
        <v>1143</v>
      </c>
      <c r="AO58" s="676" t="s">
        <v>1139</v>
      </c>
      <c r="AP58" s="676" t="str" cm="1">
        <f t="array" ref="AP58">AP57</f>
        <v>Основной производственный персонал</v>
      </c>
      <c r="AQ58" s="178"/>
      <c r="AR58" s="178"/>
    </row>
    <row r="59" spans="1:44" s="325" customFormat="1" ht="69.2" customHeight="1">
      <c r="A59" s="62"/>
      <c r="C59" s="208"/>
      <c r="D59" s="208"/>
      <c r="E59" s="583">
        <v>15</v>
      </c>
      <c r="F59" s="3" t="str" cm="1">
        <f t="array" aca="1" ref="F59" ca="1">OFFSET(E59,-1,1)</f>
        <v>1</v>
      </c>
      <c r="G59" s="382"/>
      <c r="H59" s="382" t="str">
        <f>H57&amp;"_2"</f>
        <v>l1_2</v>
      </c>
      <c r="I59" s="382" t="str" cm="1">
        <f t="array" ref="I59">I58</f>
        <v>Основной производственный персонал</v>
      </c>
      <c r="J59" s="208"/>
      <c r="K59" s="362"/>
      <c r="L59" s="362"/>
      <c r="M59" s="208"/>
      <c r="N59" s="208"/>
      <c r="O59" s="208"/>
      <c r="P59" s="208"/>
      <c r="Q59" s="208"/>
      <c r="R59" s="208"/>
      <c r="S59" s="208"/>
      <c r="T59" s="351" t="b" cm="1">
        <f t="array" aca="1" ref="T59" ca="1">T58</f>
        <v>1</v>
      </c>
      <c r="U59" s="208"/>
      <c r="V59" s="208"/>
      <c r="W59" s="208"/>
      <c r="X59" s="1089"/>
      <c r="Y59" s="1089"/>
      <c r="Z59" s="1090"/>
      <c r="AA59" s="1086"/>
      <c r="AB59" s="498" t="str">
        <f>AB57&amp;".2"</f>
        <v>1.1.2</v>
      </c>
      <c r="AC59" s="134" t="s">
        <v>1144</v>
      </c>
      <c r="AD59" s="9" t="s">
        <v>1145</v>
      </c>
      <c r="AE59" s="9"/>
      <c r="AF59" s="9"/>
      <c r="AG59" s="9"/>
      <c r="AH59" s="9"/>
      <c r="AI59" s="141">
        <f>27093*1.3</f>
        <v>35220.9</v>
      </c>
      <c r="AJ59" s="141">
        <f>27093*1.3</f>
        <v>35220.9</v>
      </c>
      <c r="AK59" s="103" t="s">
        <v>1177</v>
      </c>
      <c r="AL59" s="62"/>
      <c r="AM59" s="62"/>
      <c r="AN59" s="676" t="s">
        <v>1146</v>
      </c>
      <c r="AO59" s="676" t="s">
        <v>1139</v>
      </c>
      <c r="AP59" s="676" t="str" cm="1">
        <f t="array" ref="AP59">AP58</f>
        <v>Основной производственный персонал</v>
      </c>
      <c r="AQ59" s="178"/>
      <c r="AR59" s="178"/>
    </row>
    <row r="60" spans="1:44" s="325" customFormat="1" ht="26.45" customHeight="1">
      <c r="A60" s="62"/>
      <c r="C60" s="208"/>
      <c r="D60" s="208"/>
      <c r="E60" s="583">
        <v>18.75</v>
      </c>
      <c r="F60" s="3" t="str" cm="1">
        <f t="array" aca="1" ref="F60" ca="1">OFFSET(E60,-1,1)</f>
        <v>1</v>
      </c>
      <c r="G60" s="382"/>
      <c r="H60" s="382" t="s">
        <v>321</v>
      </c>
      <c r="I60" s="382" t="str" cm="1">
        <f t="array" ref="I60">AC60</f>
        <v>цеховый персонал</v>
      </c>
      <c r="J60" s="208"/>
      <c r="K60" s="362"/>
      <c r="L60" s="362"/>
      <c r="M60" s="208"/>
      <c r="N60" s="208"/>
      <c r="O60" s="208"/>
      <c r="P60" s="208"/>
      <c r="Q60" s="208"/>
      <c r="R60" s="208"/>
      <c r="S60" s="208"/>
      <c r="T60" s="351" t="b">
        <f ca="1">AND(F60&gt;0,Y60&gt;0)</f>
        <v>1</v>
      </c>
      <c r="U60" s="208"/>
      <c r="V60" s="208"/>
      <c r="W60" s="208"/>
      <c r="X60" s="1089"/>
      <c r="Y60" s="1089" t="s">
        <v>435</v>
      </c>
      <c r="Z60" s="1090"/>
      <c r="AA60" s="1086" t="s">
        <v>172</v>
      </c>
      <c r="AB60" s="7" t="str">
        <f>"1."&amp;Y60</f>
        <v>1.2</v>
      </c>
      <c r="AC60" s="346" t="s">
        <v>1178</v>
      </c>
      <c r="AD60" s="9" t="s">
        <v>859</v>
      </c>
      <c r="AE60" s="9"/>
      <c r="AF60" s="9"/>
      <c r="AG60" s="9"/>
      <c r="AH60" s="9"/>
      <c r="AI60" s="128">
        <f>AI61*AI62*12/1000</f>
        <v>27894.952799999995</v>
      </c>
      <c r="AJ60" s="128">
        <f>AJ61*AJ62*12/1000</f>
        <v>27894.952799999995</v>
      </c>
      <c r="AK60" s="103"/>
      <c r="AL60" s="62"/>
      <c r="AM60" s="62"/>
      <c r="AN60" s="676" t="s">
        <v>1138</v>
      </c>
      <c r="AO60" s="676" t="s">
        <v>1139</v>
      </c>
      <c r="AP60" s="676" t="str" cm="1">
        <f t="array" ref="AP60">AC60</f>
        <v>цеховый персонал</v>
      </c>
      <c r="AQ60" s="178"/>
      <c r="AR60" s="178" t="b">
        <v>1</v>
      </c>
    </row>
    <row r="61" spans="1:44" s="325" customFormat="1" ht="36.200000000000003" customHeight="1">
      <c r="A61" s="62"/>
      <c r="C61" s="208"/>
      <c r="D61" s="208"/>
      <c r="E61" s="583">
        <v>15</v>
      </c>
      <c r="F61" s="3" t="str" cm="1">
        <f t="array" aca="1" ref="F61" ca="1">OFFSET(E61,-1,1)</f>
        <v>1</v>
      </c>
      <c r="G61" s="382" t="s">
        <v>1140</v>
      </c>
      <c r="H61" s="382" t="str">
        <f>H60&amp;"_1"</f>
        <v>l1_1</v>
      </c>
      <c r="I61" s="382" t="str" cm="1">
        <f t="array" ref="I61">I60</f>
        <v>цеховый персонал</v>
      </c>
      <c r="J61" s="208"/>
      <c r="K61" s="362"/>
      <c r="L61" s="362"/>
      <c r="M61" s="208"/>
      <c r="N61" s="208"/>
      <c r="O61" s="208"/>
      <c r="P61" s="208"/>
      <c r="Q61" s="208"/>
      <c r="R61" s="208"/>
      <c r="S61" s="208"/>
      <c r="T61" s="351" t="b" cm="1">
        <f t="array" aca="1" ref="T61" ca="1">T60</f>
        <v>1</v>
      </c>
      <c r="U61" s="208"/>
      <c r="V61" s="208"/>
      <c r="W61" s="208"/>
      <c r="X61" s="1089"/>
      <c r="Y61" s="1089"/>
      <c r="Z61" s="1090"/>
      <c r="AA61" s="1086"/>
      <c r="AB61" s="498" t="str">
        <f>AB60&amp;".1"</f>
        <v>1.2.1</v>
      </c>
      <c r="AC61" s="134" t="s">
        <v>1141</v>
      </c>
      <c r="AD61" s="9" t="s">
        <v>1142</v>
      </c>
      <c r="AE61" s="9"/>
      <c r="AF61" s="9"/>
      <c r="AG61" s="9"/>
      <c r="AH61" s="9"/>
      <c r="AI61" s="141">
        <v>66</v>
      </c>
      <c r="AJ61" s="141">
        <v>66</v>
      </c>
      <c r="AK61" s="103" t="s">
        <v>1176</v>
      </c>
      <c r="AL61" s="62"/>
      <c r="AM61" s="62"/>
      <c r="AN61" s="676" t="s">
        <v>1143</v>
      </c>
      <c r="AO61" s="676" t="s">
        <v>1139</v>
      </c>
      <c r="AP61" s="676" t="str" cm="1">
        <f t="array" ref="AP61">AP60</f>
        <v>цеховый персонал</v>
      </c>
      <c r="AQ61" s="178"/>
      <c r="AR61" s="178"/>
    </row>
    <row r="62" spans="1:44" s="325" customFormat="1" ht="70.7" customHeight="1">
      <c r="A62" s="62"/>
      <c r="C62" s="208"/>
      <c r="D62" s="208"/>
      <c r="E62" s="583">
        <v>15</v>
      </c>
      <c r="F62" s="3" t="str" cm="1">
        <f t="array" aca="1" ref="F62" ca="1">OFFSET(E62,-1,1)</f>
        <v>1</v>
      </c>
      <c r="G62" s="382"/>
      <c r="H62" s="382" t="str">
        <f>H60&amp;"_2"</f>
        <v>l1_2</v>
      </c>
      <c r="I62" s="382" t="str" cm="1">
        <f t="array" ref="I62">I61</f>
        <v>цеховый персонал</v>
      </c>
      <c r="J62" s="208"/>
      <c r="K62" s="362"/>
      <c r="L62" s="362"/>
      <c r="M62" s="208"/>
      <c r="N62" s="208"/>
      <c r="O62" s="208"/>
      <c r="P62" s="208"/>
      <c r="Q62" s="208"/>
      <c r="R62" s="208"/>
      <c r="S62" s="208"/>
      <c r="T62" s="351" t="b" cm="1">
        <f t="array" aca="1" ref="T62" ca="1">T61</f>
        <v>1</v>
      </c>
      <c r="U62" s="208"/>
      <c r="V62" s="208"/>
      <c r="W62" s="208"/>
      <c r="X62" s="1089"/>
      <c r="Y62" s="1089"/>
      <c r="Z62" s="1090"/>
      <c r="AA62" s="1086"/>
      <c r="AB62" s="498" t="str">
        <f>AB60&amp;".2"</f>
        <v>1.2.2</v>
      </c>
      <c r="AC62" s="134" t="s">
        <v>1144</v>
      </c>
      <c r="AD62" s="9" t="s">
        <v>1145</v>
      </c>
      <c r="AE62" s="9"/>
      <c r="AF62" s="9"/>
      <c r="AG62" s="9"/>
      <c r="AH62" s="9"/>
      <c r="AI62" s="141">
        <f>27093*1.3</f>
        <v>35220.9</v>
      </c>
      <c r="AJ62" s="141">
        <f>27093*1.3</f>
        <v>35220.9</v>
      </c>
      <c r="AK62" s="103" t="s">
        <v>1177</v>
      </c>
      <c r="AL62" s="62"/>
      <c r="AM62" s="62"/>
      <c r="AN62" s="676" t="s">
        <v>1146</v>
      </c>
      <c r="AO62" s="676" t="s">
        <v>1139</v>
      </c>
      <c r="AP62" s="676" t="str" cm="1">
        <f t="array" ref="AP62">AP61</f>
        <v>цеховый персонал</v>
      </c>
      <c r="AQ62" s="178"/>
      <c r="AR62" s="178"/>
    </row>
    <row r="63" spans="1:44" s="325" customFormat="1" ht="14.25" customHeight="1">
      <c r="A63" s="62"/>
      <c r="C63" s="208"/>
      <c r="D63" s="208"/>
      <c r="E63" s="583">
        <v>15</v>
      </c>
      <c r="F63" s="3" t="str" cm="1">
        <f t="array" aca="1" ref="F63" ca="1">OFFSET(E63,-1,1)</f>
        <v>1</v>
      </c>
      <c r="G63" s="266"/>
      <c r="H63" s="382"/>
      <c r="I63" s="66" t="str">
        <f>"!=='не определено' &amp;&amp; row.l1 !== null"</f>
        <v>!=='не определено' &amp;&amp; row.l1 !== null</v>
      </c>
      <c r="J63" s="208"/>
      <c r="K63" s="362"/>
      <c r="L63" s="362"/>
      <c r="M63" s="208"/>
      <c r="N63" s="208"/>
      <c r="O63" s="208"/>
      <c r="P63" s="208"/>
      <c r="Q63" s="208"/>
      <c r="R63" s="208"/>
      <c r="S63" s="208"/>
      <c r="T63" s="351" t="b">
        <f ca="1">F63&gt;0</f>
        <v>1</v>
      </c>
      <c r="U63" s="208"/>
      <c r="V63" s="208"/>
      <c r="W63" s="515" t="s">
        <v>388</v>
      </c>
      <c r="X63" s="1089"/>
      <c r="Y63" s="586"/>
      <c r="Z63" s="1090"/>
      <c r="AA63" s="208"/>
      <c r="AB63" s="587"/>
      <c r="AC63" s="171" t="s">
        <v>175</v>
      </c>
      <c r="AD63" s="545"/>
      <c r="AE63" s="545"/>
      <c r="AF63" s="545"/>
      <c r="AG63" s="545"/>
      <c r="AH63" s="545"/>
      <c r="AI63" s="545"/>
      <c r="AJ63" s="545"/>
      <c r="AK63" s="546"/>
      <c r="AL63" s="62"/>
      <c r="AM63" s="62"/>
      <c r="AN63" s="676"/>
      <c r="AO63" s="676"/>
      <c r="AP63" s="676"/>
      <c r="AQ63" s="178" t="s">
        <v>1139</v>
      </c>
      <c r="AR63" s="178"/>
    </row>
    <row r="64" spans="1:44" s="325" customFormat="1" ht="78.95" customHeight="1">
      <c r="A64" s="62"/>
      <c r="C64" s="208"/>
      <c r="D64" s="208"/>
      <c r="E64" s="583">
        <v>22.5</v>
      </c>
      <c r="F64" s="3" t="str" cm="1">
        <f t="array" aca="1" ref="F64" ca="1">OFFSET(E64,-1,1)</f>
        <v>1</v>
      </c>
      <c r="G64" s="266" t="s">
        <v>1147</v>
      </c>
      <c r="H64" s="382" t="s">
        <v>322</v>
      </c>
      <c r="I64" s="382"/>
      <c r="J64" s="208"/>
      <c r="K64" s="362" t="str">
        <f ca="1">F64&amp;"2komm"</f>
        <v>12komm</v>
      </c>
      <c r="L64" s="605" t="str" cm="1">
        <f t="array" ref="L64">AK64</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M64" s="208"/>
      <c r="N64" s="208"/>
      <c r="O64" s="208"/>
      <c r="P64" s="208"/>
      <c r="Q64" s="208"/>
      <c r="R64" s="208"/>
      <c r="S64" s="208"/>
      <c r="T64" s="351" t="b" cm="1">
        <f t="array" aca="1" ref="T64" ca="1">T63</f>
        <v>1</v>
      </c>
      <c r="U64" s="208"/>
      <c r="V64" s="208"/>
      <c r="W64" s="208"/>
      <c r="X64" s="1089"/>
      <c r="Y64" s="586"/>
      <c r="Z64" s="1090"/>
      <c r="AA64" s="208"/>
      <c r="AB64" s="498" t="s">
        <v>435</v>
      </c>
      <c r="AC64" s="245" t="s">
        <v>1148</v>
      </c>
      <c r="AD64" s="9" t="s">
        <v>859</v>
      </c>
      <c r="AE64" s="141">
        <f>456.16+287.67</f>
        <v>743.83</v>
      </c>
      <c r="AF64" s="141">
        <f>775.3+314.2</f>
        <v>1089.5</v>
      </c>
      <c r="AG64" s="141">
        <f ca="1">AG53*SUMIFS(INDEX(Сценарии!$AE$25:$BF$82,,MATCH(AG$13,Сценарии!$AE$8:$BF$8,0)),Сценарии!$F$25:$F$82,$F64,Сценарии!$G$25:$G$82,"СВФОТ")/100</f>
        <v>1096.55294</v>
      </c>
      <c r="AH64" s="141">
        <v>20015.417492928002</v>
      </c>
      <c r="AI64" s="141">
        <f ca="1">AI53*SUMIFS(INDEX(Сценарии!$AE$25:$BF$82,,MATCH(AI$13,Сценарии!$AE$8:$BF$8,0)),Сценарии!$F$25:$F$82,$F64,Сценарии!$G$25:$G$82,"СВФОТ")/100</f>
        <v>19656.643406400002</v>
      </c>
      <c r="AJ64" s="141">
        <f ca="1">AJ53*SUMIFS(INDEX(Сценарии!$AE$25:$BF$82,,MATCH(AJ$13,Сценарии!$AE$8:$BF$8,0)),Сценарии!$F$25:$F$82,$F64,Сценарии!$G$25:$G$82,"СВФОТ")/100</f>
        <v>19656.643406400002</v>
      </c>
      <c r="AK64" s="103" t="s">
        <v>1179</v>
      </c>
      <c r="AL64" s="62"/>
      <c r="AM64" s="62"/>
      <c r="AN64" s="676" t="s">
        <v>1149</v>
      </c>
      <c r="AO64" s="676"/>
      <c r="AP64" s="676"/>
      <c r="AQ64" s="178"/>
      <c r="AR64" s="178"/>
    </row>
    <row r="65" spans="1:44" s="325" customFormat="1" ht="27.2" customHeight="1">
      <c r="A65" s="62"/>
      <c r="C65" s="208"/>
      <c r="D65" s="208"/>
      <c r="E65" s="583">
        <v>15</v>
      </c>
      <c r="F65" s="3" t="str" cm="1">
        <f t="array" aca="1" ref="F65" ca="1">OFFSET(E65,-1,1)</f>
        <v>1</v>
      </c>
      <c r="G65" s="266" t="s">
        <v>1150</v>
      </c>
      <c r="H65" s="382" t="s">
        <v>323</v>
      </c>
      <c r="I65" s="382"/>
      <c r="J65" s="208"/>
      <c r="K65" s="362" t="str">
        <f ca="1">F65&amp;"3komm"</f>
        <v>13komm</v>
      </c>
      <c r="L65" s="605" cm="1">
        <f t="array" ref="L65">AK65</f>
        <v>0</v>
      </c>
      <c r="M65" s="208"/>
      <c r="N65" s="208"/>
      <c r="O65" s="208"/>
      <c r="P65" s="208"/>
      <c r="Q65" s="208"/>
      <c r="R65" s="208"/>
      <c r="S65" s="208"/>
      <c r="T65" s="351" t="b" cm="1">
        <f t="array" aca="1" ref="T65" ca="1">T64</f>
        <v>1</v>
      </c>
      <c r="U65" s="208"/>
      <c r="V65" s="208"/>
      <c r="W65" s="208"/>
      <c r="X65" s="1089"/>
      <c r="Y65" s="586"/>
      <c r="Z65" s="1090"/>
      <c r="AA65" s="208"/>
      <c r="AB65" s="498" t="s">
        <v>319</v>
      </c>
      <c r="AC65" s="245" t="s">
        <v>1151</v>
      </c>
      <c r="AD65" s="9" t="s">
        <v>859</v>
      </c>
      <c r="AE65" s="141">
        <v>1156.67</v>
      </c>
      <c r="AF65" s="141">
        <v>1640.74</v>
      </c>
      <c r="AG65" s="141">
        <v>1640.74</v>
      </c>
      <c r="AH65" s="141">
        <v>31124.19024</v>
      </c>
      <c r="AI65" s="126">
        <f>SUMIFS(AI66:AI72,$AD66:$AD72,$AD65)</f>
        <v>35925.317999999999</v>
      </c>
      <c r="AJ65" s="126">
        <f>SUMIFS(AJ66:AJ72,$AD66:$AD72,$AD65)</f>
        <v>35925.317999999999</v>
      </c>
      <c r="AK65" s="103"/>
      <c r="AL65" s="62"/>
      <c r="AM65" s="62"/>
      <c r="AN65" s="676" t="s">
        <v>1152</v>
      </c>
      <c r="AO65" s="676"/>
      <c r="AP65" s="676"/>
      <c r="AQ65" s="178"/>
      <c r="AR65" s="178"/>
    </row>
    <row r="66" spans="1:44" s="325" customFormat="1" ht="18" hidden="1" customHeight="1">
      <c r="A66" s="62"/>
      <c r="C66" s="208"/>
      <c r="D66" s="208"/>
      <c r="E66" s="583">
        <v>18.75</v>
      </c>
      <c r="F66" s="3" t="str" cm="1">
        <f t="array" aca="1" ref="F66" ca="1">OFFSET(E66,-1,1)</f>
        <v>1</v>
      </c>
      <c r="G66" s="382"/>
      <c r="H66" s="382" t="s">
        <v>323</v>
      </c>
      <c r="I66" s="382" cm="1">
        <f t="array" ref="I66">AC66</f>
        <v>0</v>
      </c>
      <c r="J66" s="208"/>
      <c r="K66" s="362"/>
      <c r="L66" s="362"/>
      <c r="M66" s="208"/>
      <c r="N66" s="208"/>
      <c r="O66" s="208"/>
      <c r="P66" s="208"/>
      <c r="Q66" s="208"/>
      <c r="R66" s="208"/>
      <c r="S66" s="208"/>
      <c r="T66" s="351" t="b">
        <f ca="1">AND(F66&gt;0,Y66&gt;0)</f>
        <v>0</v>
      </c>
      <c r="U66" s="208"/>
      <c r="V66" s="208"/>
      <c r="W66" s="208" t="s">
        <v>171</v>
      </c>
      <c r="X66" s="1089"/>
      <c r="Y66" s="1089">
        <v>0</v>
      </c>
      <c r="Z66" s="1090"/>
      <c r="AA66" s="1086" t="s">
        <v>172</v>
      </c>
      <c r="AB66" s="7" t="str">
        <f>"3."&amp;Y66</f>
        <v>3.0</v>
      </c>
      <c r="AC66" s="779"/>
      <c r="AD66" s="9" t="s">
        <v>859</v>
      </c>
      <c r="AE66" s="9"/>
      <c r="AF66" s="9"/>
      <c r="AG66" s="9"/>
      <c r="AH66" s="9"/>
      <c r="AI66" s="128">
        <f>AI67*AI68*12/1000</f>
        <v>0</v>
      </c>
      <c r="AJ66" s="128">
        <f>AJ67*AJ68*12/1000</f>
        <v>0</v>
      </c>
      <c r="AK66" s="816"/>
      <c r="AL66" s="62"/>
      <c r="AM66" s="62"/>
      <c r="AN66" s="676" t="s">
        <v>1138</v>
      </c>
      <c r="AO66" s="676" t="s">
        <v>1153</v>
      </c>
      <c r="AP66" s="676" cm="1">
        <f t="array" ref="AP66">AC66</f>
        <v>0</v>
      </c>
      <c r="AQ66" s="178"/>
      <c r="AR66" s="178" t="b">
        <v>1</v>
      </c>
    </row>
    <row r="67" spans="1:44" s="325" customFormat="1" ht="14.25" hidden="1" customHeight="1">
      <c r="A67" s="62"/>
      <c r="C67" s="208"/>
      <c r="D67" s="208"/>
      <c r="E67" s="583">
        <v>15</v>
      </c>
      <c r="F67" s="3" t="str" cm="1">
        <f t="array" aca="1" ref="F67" ca="1">OFFSET(E67,-1,1)</f>
        <v>1</v>
      </c>
      <c r="G67" s="382" t="s">
        <v>1154</v>
      </c>
      <c r="H67" s="382" t="str">
        <f>H66&amp;"_1"</f>
        <v>l3_1</v>
      </c>
      <c r="I67" s="382" cm="1">
        <f t="array" ref="I67">I66</f>
        <v>0</v>
      </c>
      <c r="J67" s="208"/>
      <c r="K67" s="362"/>
      <c r="L67" s="362"/>
      <c r="M67" s="208"/>
      <c r="N67" s="208"/>
      <c r="O67" s="208"/>
      <c r="P67" s="208"/>
      <c r="Q67" s="208"/>
      <c r="R67" s="208"/>
      <c r="S67" s="208"/>
      <c r="T67" s="351" t="b" cm="1">
        <f t="array" aca="1" ref="T67" ca="1">T66</f>
        <v>0</v>
      </c>
      <c r="U67" s="208"/>
      <c r="V67" s="208"/>
      <c r="W67" s="208"/>
      <c r="X67" s="1089"/>
      <c r="Y67" s="1089"/>
      <c r="Z67" s="1090"/>
      <c r="AA67" s="1086"/>
      <c r="AB67" s="498" t="str">
        <f>AB66&amp;".1"</f>
        <v>3.0.1</v>
      </c>
      <c r="AC67" s="134" t="s">
        <v>1141</v>
      </c>
      <c r="AD67" s="9" t="s">
        <v>1142</v>
      </c>
      <c r="AE67" s="9"/>
      <c r="AF67" s="9"/>
      <c r="AG67" s="9"/>
      <c r="AH67" s="9"/>
      <c r="AI67" s="141"/>
      <c r="AJ67" s="141"/>
      <c r="AK67" s="816"/>
      <c r="AL67" s="62"/>
      <c r="AM67" s="62"/>
      <c r="AN67" s="676" t="s">
        <v>1143</v>
      </c>
      <c r="AO67" s="676" t="s">
        <v>1153</v>
      </c>
      <c r="AP67" s="676" cm="1">
        <f t="array" ref="AP67">AP66</f>
        <v>0</v>
      </c>
      <c r="AQ67" s="178"/>
      <c r="AR67" s="178"/>
    </row>
    <row r="68" spans="1:44" s="325" customFormat="1" ht="14.25" hidden="1" customHeight="1">
      <c r="A68" s="62"/>
      <c r="C68" s="208"/>
      <c r="D68" s="208"/>
      <c r="E68" s="583">
        <v>15</v>
      </c>
      <c r="F68" s="3" t="str" cm="1">
        <f t="array" aca="1" ref="F68" ca="1">OFFSET(E68,-1,1)</f>
        <v>1</v>
      </c>
      <c r="G68" s="382"/>
      <c r="H68" s="382" t="str">
        <f>H66&amp;"_2"</f>
        <v>l3_2</v>
      </c>
      <c r="I68" s="382" cm="1">
        <f t="array" ref="I68">I67</f>
        <v>0</v>
      </c>
      <c r="J68" s="208"/>
      <c r="K68" s="362"/>
      <c r="L68" s="362"/>
      <c r="M68" s="208"/>
      <c r="N68" s="208"/>
      <c r="O68" s="208"/>
      <c r="P68" s="208"/>
      <c r="Q68" s="208"/>
      <c r="R68" s="208"/>
      <c r="S68" s="208"/>
      <c r="T68" s="351" t="b" cm="1">
        <f t="array" aca="1" ref="T68" ca="1">T67</f>
        <v>0</v>
      </c>
      <c r="U68" s="208"/>
      <c r="V68" s="208"/>
      <c r="W68" s="208"/>
      <c r="X68" s="1089"/>
      <c r="Y68" s="1089"/>
      <c r="Z68" s="1090"/>
      <c r="AA68" s="1086"/>
      <c r="AB68" s="498" t="str">
        <f>AB66&amp;".2"</f>
        <v>3.0.2</v>
      </c>
      <c r="AC68" s="134" t="s">
        <v>1144</v>
      </c>
      <c r="AD68" s="9" t="s">
        <v>1145</v>
      </c>
      <c r="AE68" s="9"/>
      <c r="AF68" s="9"/>
      <c r="AG68" s="9"/>
      <c r="AH68" s="9"/>
      <c r="AI68" s="141"/>
      <c r="AJ68" s="141"/>
      <c r="AK68" s="816"/>
      <c r="AL68" s="62"/>
      <c r="AM68" s="62"/>
      <c r="AN68" s="676" t="s">
        <v>1146</v>
      </c>
      <c r="AO68" s="676" t="s">
        <v>1153</v>
      </c>
      <c r="AP68" s="676" cm="1">
        <f t="array" ref="AP68">AP67</f>
        <v>0</v>
      </c>
      <c r="AQ68" s="178"/>
      <c r="AR68" s="178"/>
    </row>
    <row r="69" spans="1:44" s="325" customFormat="1" ht="33.75" customHeight="1">
      <c r="A69" s="62"/>
      <c r="C69" s="208"/>
      <c r="D69" s="208"/>
      <c r="E69" s="583">
        <v>18.75</v>
      </c>
      <c r="F69" s="3" t="str" cm="1">
        <f t="array" aca="1" ref="F69" ca="1">OFFSET(E69,-1,1)</f>
        <v>1</v>
      </c>
      <c r="G69" s="382"/>
      <c r="H69" s="382" t="s">
        <v>323</v>
      </c>
      <c r="I69" s="382" t="str" cm="1">
        <f t="array" ref="I69">AC69</f>
        <v>Ремонтный персонал (включая аварийно-ремонтный)</v>
      </c>
      <c r="J69" s="208"/>
      <c r="K69" s="362"/>
      <c r="L69" s="362"/>
      <c r="M69" s="208"/>
      <c r="N69" s="208"/>
      <c r="O69" s="208"/>
      <c r="P69" s="208"/>
      <c r="Q69" s="208"/>
      <c r="R69" s="208"/>
      <c r="S69" s="208"/>
      <c r="T69" s="351" t="b">
        <f ca="1">AND(F69&gt;0,Y69&gt;0)</f>
        <v>1</v>
      </c>
      <c r="U69" s="208"/>
      <c r="V69" s="208"/>
      <c r="W69" s="208"/>
      <c r="X69" s="1089"/>
      <c r="Y69" s="1089" t="s">
        <v>277</v>
      </c>
      <c r="Z69" s="1090"/>
      <c r="AA69" s="1086" t="s">
        <v>172</v>
      </c>
      <c r="AB69" s="7" t="str">
        <f>"3."&amp;Y69</f>
        <v>3.1</v>
      </c>
      <c r="AC69" s="346" t="s">
        <v>1180</v>
      </c>
      <c r="AD69" s="9" t="s">
        <v>859</v>
      </c>
      <c r="AE69" s="9"/>
      <c r="AF69" s="9"/>
      <c r="AG69" s="9"/>
      <c r="AH69" s="9"/>
      <c r="AI69" s="128">
        <f>AI70*AI71*12/1000</f>
        <v>35925.317999999999</v>
      </c>
      <c r="AJ69" s="128">
        <f>AJ70*AJ71*12/1000</f>
        <v>35925.317999999999</v>
      </c>
      <c r="AK69" s="103" t="s">
        <v>1181</v>
      </c>
      <c r="AL69" s="62"/>
      <c r="AM69" s="62"/>
      <c r="AN69" s="676" t="s">
        <v>1138</v>
      </c>
      <c r="AO69" s="676" t="s">
        <v>1153</v>
      </c>
      <c r="AP69" s="676" t="str" cm="1">
        <f t="array" ref="AP69">AC69</f>
        <v>Ремонтный персонал (включая аварийно-ремонтный)</v>
      </c>
      <c r="AQ69" s="178"/>
      <c r="AR69" s="178" t="b">
        <v>1</v>
      </c>
    </row>
    <row r="70" spans="1:44" s="325" customFormat="1" ht="44.45" customHeight="1">
      <c r="A70" s="62"/>
      <c r="C70" s="208"/>
      <c r="D70" s="208"/>
      <c r="E70" s="583">
        <v>15</v>
      </c>
      <c r="F70" s="3" t="str" cm="1">
        <f t="array" aca="1" ref="F70" ca="1">OFFSET(E70,-1,1)</f>
        <v>1</v>
      </c>
      <c r="G70" s="382" t="s">
        <v>1154</v>
      </c>
      <c r="H70" s="382" t="str">
        <f>H69&amp;"_1"</f>
        <v>l3_1</v>
      </c>
      <c r="I70" s="382" t="str" cm="1">
        <f t="array" ref="I70">I69</f>
        <v>Ремонтный персонал (включая аварийно-ремонтный)</v>
      </c>
      <c r="J70" s="208"/>
      <c r="K70" s="362"/>
      <c r="L70" s="362"/>
      <c r="M70" s="208"/>
      <c r="N70" s="208"/>
      <c r="O70" s="208"/>
      <c r="P70" s="208"/>
      <c r="Q70" s="208"/>
      <c r="R70" s="208"/>
      <c r="S70" s="208"/>
      <c r="T70" s="351" t="b" cm="1">
        <f t="array" aca="1" ref="T70" ca="1">T69</f>
        <v>1</v>
      </c>
      <c r="U70" s="208"/>
      <c r="V70" s="208"/>
      <c r="W70" s="208"/>
      <c r="X70" s="1089"/>
      <c r="Y70" s="1089"/>
      <c r="Z70" s="1090"/>
      <c r="AA70" s="1086"/>
      <c r="AB70" s="498" t="str">
        <f>AB69&amp;".1"</f>
        <v>3.1.1</v>
      </c>
      <c r="AC70" s="134" t="s">
        <v>1141</v>
      </c>
      <c r="AD70" s="9" t="s">
        <v>1142</v>
      </c>
      <c r="AE70" s="9"/>
      <c r="AF70" s="9"/>
      <c r="AG70" s="9"/>
      <c r="AH70" s="9"/>
      <c r="AI70" s="141">
        <v>85</v>
      </c>
      <c r="AJ70" s="141">
        <v>85</v>
      </c>
      <c r="AK70" s="103" t="s">
        <v>1176</v>
      </c>
      <c r="AL70" s="62"/>
      <c r="AM70" s="62"/>
      <c r="AN70" s="676" t="s">
        <v>1143</v>
      </c>
      <c r="AO70" s="676" t="s">
        <v>1153</v>
      </c>
      <c r="AP70" s="676" t="str" cm="1">
        <f t="array" ref="AP70">AP69</f>
        <v>Ремонтный персонал (включая аварийно-ремонтный)</v>
      </c>
      <c r="AQ70" s="178"/>
      <c r="AR70" s="178"/>
    </row>
    <row r="71" spans="1:44" s="325" customFormat="1" ht="69.2" customHeight="1">
      <c r="A71" s="62"/>
      <c r="C71" s="208"/>
      <c r="D71" s="208"/>
      <c r="E71" s="583">
        <v>15</v>
      </c>
      <c r="F71" s="3" t="str" cm="1">
        <f t="array" aca="1" ref="F71" ca="1">OFFSET(E71,-1,1)</f>
        <v>1</v>
      </c>
      <c r="G71" s="382"/>
      <c r="H71" s="382" t="str">
        <f>H69&amp;"_2"</f>
        <v>l3_2</v>
      </c>
      <c r="I71" s="382" t="str" cm="1">
        <f t="array" ref="I71">I70</f>
        <v>Ремонтный персонал (включая аварийно-ремонтный)</v>
      </c>
      <c r="J71" s="208"/>
      <c r="K71" s="362"/>
      <c r="L71" s="362"/>
      <c r="M71" s="208"/>
      <c r="N71" s="208"/>
      <c r="O71" s="208"/>
      <c r="P71" s="208"/>
      <c r="Q71" s="208"/>
      <c r="R71" s="208"/>
      <c r="S71" s="208"/>
      <c r="T71" s="351" t="b" cm="1">
        <f t="array" aca="1" ref="T71" ca="1">T70</f>
        <v>1</v>
      </c>
      <c r="U71" s="208"/>
      <c r="V71" s="208"/>
      <c r="W71" s="208"/>
      <c r="X71" s="1089"/>
      <c r="Y71" s="1089"/>
      <c r="Z71" s="1090"/>
      <c r="AA71" s="1086"/>
      <c r="AB71" s="498" t="str">
        <f>AB69&amp;".2"</f>
        <v>3.1.2</v>
      </c>
      <c r="AC71" s="134" t="s">
        <v>1144</v>
      </c>
      <c r="AD71" s="9" t="s">
        <v>1145</v>
      </c>
      <c r="AE71" s="9"/>
      <c r="AF71" s="9"/>
      <c r="AG71" s="9"/>
      <c r="AH71" s="9"/>
      <c r="AI71" s="141">
        <f>27093*1.3</f>
        <v>35220.9</v>
      </c>
      <c r="AJ71" s="141">
        <f>27093*1.3</f>
        <v>35220.9</v>
      </c>
      <c r="AK71" s="103" t="s">
        <v>1177</v>
      </c>
      <c r="AL71" s="62"/>
      <c r="AM71" s="62"/>
      <c r="AN71" s="676" t="s">
        <v>1146</v>
      </c>
      <c r="AO71" s="676" t="s">
        <v>1153</v>
      </c>
      <c r="AP71" s="676" t="str" cm="1">
        <f t="array" ref="AP71">AP70</f>
        <v>Ремонтный персонал (включая аварийно-ремонтный)</v>
      </c>
      <c r="AQ71" s="178"/>
      <c r="AR71" s="178"/>
    </row>
    <row r="72" spans="1:44" s="325" customFormat="1" ht="14.25" customHeight="1">
      <c r="A72" s="62"/>
      <c r="C72" s="208"/>
      <c r="D72" s="208"/>
      <c r="E72" s="583">
        <v>15</v>
      </c>
      <c r="F72" s="3" t="str" cm="1">
        <f t="array" aca="1" ref="F72" ca="1">OFFSET(E72,-1,1)</f>
        <v>1</v>
      </c>
      <c r="G72" s="266"/>
      <c r="H72" s="382"/>
      <c r="I72" s="66" t="str">
        <f>"!=='не определено' &amp;&amp; row.l3 !== null"</f>
        <v>!=='не определено' &amp;&amp; row.l3 !== null</v>
      </c>
      <c r="J72" s="208"/>
      <c r="K72" s="362"/>
      <c r="L72" s="362"/>
      <c r="M72" s="208"/>
      <c r="N72" s="208"/>
      <c r="O72" s="208"/>
      <c r="P72" s="208"/>
      <c r="Q72" s="208"/>
      <c r="R72" s="208"/>
      <c r="S72" s="208"/>
      <c r="T72" s="351" t="b">
        <f ca="1">F72&gt;0</f>
        <v>1</v>
      </c>
      <c r="U72" s="208"/>
      <c r="V72" s="208"/>
      <c r="W72" s="515" t="s">
        <v>918</v>
      </c>
      <c r="X72" s="1089"/>
      <c r="Y72" s="586"/>
      <c r="Z72" s="1090"/>
      <c r="AA72" s="208"/>
      <c r="AB72" s="587"/>
      <c r="AC72" s="171" t="s">
        <v>175</v>
      </c>
      <c r="AD72" s="545"/>
      <c r="AE72" s="545"/>
      <c r="AF72" s="545"/>
      <c r="AG72" s="545"/>
      <c r="AH72" s="545"/>
      <c r="AI72" s="545"/>
      <c r="AJ72" s="545"/>
      <c r="AK72" s="546"/>
      <c r="AL72" s="62"/>
      <c r="AM72" s="62"/>
      <c r="AN72" s="676"/>
      <c r="AO72" s="676"/>
      <c r="AP72" s="676"/>
      <c r="AQ72" s="178" t="s">
        <v>1153</v>
      </c>
      <c r="AR72" s="178"/>
    </row>
    <row r="73" spans="1:44" s="325" customFormat="1" ht="78.2" customHeight="1">
      <c r="A73" s="62"/>
      <c r="C73" s="208"/>
      <c r="D73" s="208"/>
      <c r="E73" s="583">
        <v>22.5</v>
      </c>
      <c r="F73" s="3" t="str" cm="1">
        <f t="array" aca="1" ref="F73" ca="1">OFFSET(E73,-1,1)</f>
        <v>1</v>
      </c>
      <c r="G73" s="266" t="s">
        <v>1155</v>
      </c>
      <c r="H73" s="382" t="s">
        <v>325</v>
      </c>
      <c r="I73" s="382"/>
      <c r="J73" s="208"/>
      <c r="K73" s="362" t="str">
        <f ca="1">F73&amp;"4komm"</f>
        <v>14komm</v>
      </c>
      <c r="L73" s="605" t="str" cm="1">
        <f t="array" ref="L73">AK73</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M73" s="208"/>
      <c r="N73" s="208"/>
      <c r="O73" s="208"/>
      <c r="P73" s="208"/>
      <c r="Q73" s="208"/>
      <c r="R73" s="208"/>
      <c r="S73" s="208"/>
      <c r="T73" s="351" t="b" cm="1">
        <f t="array" aca="1" ref="T73" ca="1">T72</f>
        <v>1</v>
      </c>
      <c r="U73" s="208"/>
      <c r="V73" s="208"/>
      <c r="W73" s="208"/>
      <c r="X73" s="1089"/>
      <c r="Y73" s="586"/>
      <c r="Z73" s="1090"/>
      <c r="AA73" s="208"/>
      <c r="AB73" s="498" t="s">
        <v>438</v>
      </c>
      <c r="AC73" s="245" t="s">
        <v>1156</v>
      </c>
      <c r="AD73" s="9" t="s">
        <v>859</v>
      </c>
      <c r="AE73" s="141">
        <v>349.31</v>
      </c>
      <c r="AF73" s="141">
        <f ca="1">AF65*SUMIFS(INDEX(Сценарии!$AE$25:$BF$82,,MATCH(AF$13,Сценарии!$AE$8:$BF$8,0)),Сценарии!$F$25:$F$82,$F73,Сценарии!$G$25:$G$82,"СВФОТ")/100</f>
        <v>495.50347999999997</v>
      </c>
      <c r="AG73" s="141">
        <f ca="1">AG65*SUMIFS(INDEX(Сценарии!$AE$25:$BF$82,,MATCH(AG$13,Сценарии!$AE$8:$BF$8,0)),Сценарии!$F$25:$F$82,$F73,Сценарии!$G$25:$G$82,"СВФОТ")/100</f>
        <v>495.50347999999997</v>
      </c>
      <c r="AH73" s="141">
        <v>9399.5054524799998</v>
      </c>
      <c r="AI73" s="141">
        <f ca="1">AI65*SUMIFS(INDEX(Сценарии!$AE$25:$BF$82,,MATCH(AI$13,Сценарии!$AE$8:$BF$8,0)),Сценарии!$F$25:$F$82,$F73,Сценарии!$G$25:$G$82,"СВФОТ")/100</f>
        <v>10849.446036000001</v>
      </c>
      <c r="AJ73" s="141">
        <f ca="1">AJ65*SUMIFS(INDEX(Сценарии!$AE$25:$BF$82,,MATCH(AJ$13,Сценарии!$AE$8:$BF$8,0)),Сценарии!$F$25:$F$82,$F73,Сценарии!$G$25:$G$82,"СВФОТ")/100</f>
        <v>10849.446036000001</v>
      </c>
      <c r="AK73" s="103" t="s">
        <v>1179</v>
      </c>
      <c r="AL73" s="62"/>
      <c r="AM73" s="62"/>
      <c r="AN73" s="676" t="s">
        <v>1157</v>
      </c>
      <c r="AO73" s="676"/>
      <c r="AP73" s="676"/>
      <c r="AQ73" s="178"/>
      <c r="AR73" s="178"/>
    </row>
    <row r="74" spans="1:44" s="325" customFormat="1" ht="35.450000000000003" customHeight="1">
      <c r="A74" s="62"/>
      <c r="C74" s="208"/>
      <c r="D74" s="208"/>
      <c r="E74" s="583">
        <v>22.5</v>
      </c>
      <c r="F74" s="3" t="str" cm="1">
        <f t="array" aca="1" ref="F74" ca="1">OFFSET(E74,-1,1)</f>
        <v>1</v>
      </c>
      <c r="G74" s="266" t="s">
        <v>1158</v>
      </c>
      <c r="H74" s="382" t="s">
        <v>324</v>
      </c>
      <c r="I74" s="382"/>
      <c r="J74" s="208"/>
      <c r="K74" s="362" t="str">
        <f ca="1">F74&amp;"5komm"</f>
        <v>15komm</v>
      </c>
      <c r="L74" s="605" t="str" cm="1">
        <f t="array" ref="L74">AK74</f>
        <v>П. 25 (2) Методических указаний ФСТ России № 1746-э.</v>
      </c>
      <c r="M74" s="208"/>
      <c r="N74" s="208"/>
      <c r="O74" s="208"/>
      <c r="P74" s="208"/>
      <c r="Q74" s="208"/>
      <c r="R74" s="208"/>
      <c r="S74" s="208"/>
      <c r="T74" s="351" t="b" cm="1">
        <f t="array" aca="1" ref="T74" ca="1">T73</f>
        <v>1</v>
      </c>
      <c r="U74" s="208"/>
      <c r="V74" s="208"/>
      <c r="W74" s="208"/>
      <c r="X74" s="1089"/>
      <c r="Y74" s="586"/>
      <c r="Z74" s="1090"/>
      <c r="AA74" s="208"/>
      <c r="AB74" s="498" t="s">
        <v>440</v>
      </c>
      <c r="AC74" s="245" t="s">
        <v>1159</v>
      </c>
      <c r="AD74" s="9" t="s">
        <v>859</v>
      </c>
      <c r="AE74" s="141">
        <v>404.55</v>
      </c>
      <c r="AF74" s="141">
        <v>1667.16</v>
      </c>
      <c r="AG74" s="141">
        <v>1667.16</v>
      </c>
      <c r="AH74" s="141">
        <v>12451.076352</v>
      </c>
      <c r="AI74" s="126">
        <f>SUMIFS(AI75:AI81,$AD75:$AD81,$AD74)</f>
        <v>15215.428800000002</v>
      </c>
      <c r="AJ74" s="126">
        <f>SUMIFS(AJ75:AJ81,$AD75:$AD81,$AD74)</f>
        <v>13186.714960000001</v>
      </c>
      <c r="AK74" s="103" t="s">
        <v>1182</v>
      </c>
      <c r="AL74" s="62"/>
      <c r="AM74" s="62"/>
      <c r="AN74" s="676" t="s">
        <v>1160</v>
      </c>
      <c r="AO74" s="676"/>
      <c r="AP74" s="676"/>
      <c r="AQ74" s="178"/>
      <c r="AR74" s="178"/>
    </row>
    <row r="75" spans="1:44" s="325" customFormat="1" ht="18" hidden="1" customHeight="1">
      <c r="A75" s="62"/>
      <c r="C75" s="208"/>
      <c r="D75" s="208"/>
      <c r="E75" s="583">
        <v>18.75</v>
      </c>
      <c r="F75" s="3" t="str" cm="1">
        <f t="array" aca="1" ref="F75" ca="1">OFFSET(E75,-1,1)</f>
        <v>1</v>
      </c>
      <c r="G75" s="382"/>
      <c r="H75" s="382" t="s">
        <v>324</v>
      </c>
      <c r="I75" s="382" cm="1">
        <f t="array" ref="I75">AC75</f>
        <v>0</v>
      </c>
      <c r="J75" s="208"/>
      <c r="K75" s="362"/>
      <c r="L75" s="362"/>
      <c r="M75" s="208"/>
      <c r="N75" s="208"/>
      <c r="O75" s="208"/>
      <c r="P75" s="208"/>
      <c r="Q75" s="208"/>
      <c r="R75" s="208"/>
      <c r="S75" s="208"/>
      <c r="T75" s="351" t="b">
        <f ca="1">AND(F75&gt;0,Y75&gt;0)</f>
        <v>0</v>
      </c>
      <c r="U75" s="208"/>
      <c r="V75" s="208"/>
      <c r="W75" s="208" t="s">
        <v>171</v>
      </c>
      <c r="X75" s="1089"/>
      <c r="Y75" s="1089">
        <v>0</v>
      </c>
      <c r="Z75" s="1090"/>
      <c r="AA75" s="1086" t="s">
        <v>172</v>
      </c>
      <c r="AB75" s="7" t="str">
        <f>"5."&amp;Y75</f>
        <v>5.0</v>
      </c>
      <c r="AC75" s="779"/>
      <c r="AD75" s="9" t="s">
        <v>859</v>
      </c>
      <c r="AE75" s="9"/>
      <c r="AF75" s="9"/>
      <c r="AG75" s="9"/>
      <c r="AH75" s="9"/>
      <c r="AI75" s="128">
        <f>AI76*AI77*12/1000</f>
        <v>0</v>
      </c>
      <c r="AJ75" s="128">
        <f>AJ76*AJ77*12/1000</f>
        <v>0</v>
      </c>
      <c r="AK75" s="816"/>
      <c r="AL75" s="62"/>
      <c r="AM75" s="62"/>
      <c r="AN75" s="676" t="s">
        <v>1138</v>
      </c>
      <c r="AO75" s="676" t="s">
        <v>1161</v>
      </c>
      <c r="AP75" s="676" cm="1">
        <f t="array" ref="AP75">AC75</f>
        <v>0</v>
      </c>
      <c r="AQ75" s="178"/>
      <c r="AR75" s="178" t="b">
        <v>1</v>
      </c>
    </row>
    <row r="76" spans="1:44" s="325" customFormat="1" ht="14.25" hidden="1" customHeight="1">
      <c r="A76" s="62"/>
      <c r="C76" s="208"/>
      <c r="D76" s="208"/>
      <c r="E76" s="583">
        <v>15</v>
      </c>
      <c r="F76" s="3" t="str" cm="1">
        <f t="array" aca="1" ref="F76" ca="1">OFFSET(E76,-1,1)</f>
        <v>1</v>
      </c>
      <c r="G76" s="382"/>
      <c r="H76" s="382" t="str">
        <f>H75&amp;"_1"</f>
        <v>l5_1</v>
      </c>
      <c r="I76" s="382" cm="1">
        <f t="array" ref="I76">I75</f>
        <v>0</v>
      </c>
      <c r="J76" s="208"/>
      <c r="K76" s="362"/>
      <c r="L76" s="362"/>
      <c r="M76" s="208"/>
      <c r="N76" s="208"/>
      <c r="O76" s="208"/>
      <c r="P76" s="208"/>
      <c r="Q76" s="208"/>
      <c r="R76" s="208"/>
      <c r="S76" s="208"/>
      <c r="T76" s="351" t="b" cm="1">
        <f t="array" aca="1" ref="T76" ca="1">T75</f>
        <v>0</v>
      </c>
      <c r="U76" s="208"/>
      <c r="V76" s="208"/>
      <c r="W76" s="208"/>
      <c r="X76" s="1089"/>
      <c r="Y76" s="1089"/>
      <c r="Z76" s="1090"/>
      <c r="AA76" s="1086"/>
      <c r="AB76" s="498" t="str">
        <f>AB75&amp;".1"</f>
        <v>5.0.1</v>
      </c>
      <c r="AC76" s="134" t="s">
        <v>1141</v>
      </c>
      <c r="AD76" s="9" t="s">
        <v>1142</v>
      </c>
      <c r="AE76" s="9"/>
      <c r="AF76" s="9"/>
      <c r="AG76" s="9"/>
      <c r="AH76" s="9"/>
      <c r="AI76" s="141"/>
      <c r="AJ76" s="141"/>
      <c r="AK76" s="816"/>
      <c r="AL76" s="62"/>
      <c r="AM76" s="62"/>
      <c r="AN76" s="676" t="s">
        <v>1143</v>
      </c>
      <c r="AO76" s="676" t="s">
        <v>1161</v>
      </c>
      <c r="AP76" s="676" cm="1">
        <f t="array" ref="AP76">AP75</f>
        <v>0</v>
      </c>
      <c r="AQ76" s="178"/>
      <c r="AR76" s="178"/>
    </row>
    <row r="77" spans="1:44" s="325" customFormat="1" ht="14.25" hidden="1" customHeight="1">
      <c r="A77" s="62"/>
      <c r="C77" s="208"/>
      <c r="D77" s="208"/>
      <c r="E77" s="583">
        <v>15</v>
      </c>
      <c r="F77" s="3" t="str" cm="1">
        <f t="array" aca="1" ref="F77" ca="1">OFFSET(E77,-1,1)</f>
        <v>1</v>
      </c>
      <c r="G77" s="382"/>
      <c r="H77" s="382" t="str">
        <f>H75&amp;"_2"</f>
        <v>l5_2</v>
      </c>
      <c r="I77" s="382" cm="1">
        <f t="array" ref="I77">I76</f>
        <v>0</v>
      </c>
      <c r="J77" s="208"/>
      <c r="K77" s="362"/>
      <c r="L77" s="362"/>
      <c r="M77" s="208"/>
      <c r="N77" s="208"/>
      <c r="O77" s="208"/>
      <c r="P77" s="208"/>
      <c r="Q77" s="208"/>
      <c r="R77" s="208"/>
      <c r="S77" s="208"/>
      <c r="T77" s="351" t="b" cm="1">
        <f t="array" aca="1" ref="T77" ca="1">T76</f>
        <v>0</v>
      </c>
      <c r="U77" s="208"/>
      <c r="V77" s="208"/>
      <c r="W77" s="208"/>
      <c r="X77" s="1089"/>
      <c r="Y77" s="1089"/>
      <c r="Z77" s="1090"/>
      <c r="AA77" s="1086"/>
      <c r="AB77" s="498" t="str">
        <f>AB75&amp;".2"</f>
        <v>5.0.2</v>
      </c>
      <c r="AC77" s="134" t="s">
        <v>1144</v>
      </c>
      <c r="AD77" s="9" t="s">
        <v>1145</v>
      </c>
      <c r="AE77" s="9"/>
      <c r="AF77" s="9"/>
      <c r="AG77" s="9"/>
      <c r="AH77" s="9"/>
      <c r="AI77" s="141"/>
      <c r="AJ77" s="141"/>
      <c r="AK77" s="816"/>
      <c r="AL77" s="62"/>
      <c r="AM77" s="62"/>
      <c r="AN77" s="676" t="s">
        <v>1146</v>
      </c>
      <c r="AO77" s="676" t="s">
        <v>1161</v>
      </c>
      <c r="AP77" s="676" cm="1">
        <f t="array" ref="AP77">AP76</f>
        <v>0</v>
      </c>
      <c r="AQ77" s="178"/>
      <c r="AR77" s="178"/>
    </row>
    <row r="78" spans="1:44" s="325" customFormat="1" ht="61.5" customHeight="1">
      <c r="A78" s="62"/>
      <c r="C78" s="208"/>
      <c r="D78" s="208"/>
      <c r="E78" s="583">
        <v>18.75</v>
      </c>
      <c r="F78" s="3" t="str" cm="1">
        <f t="array" aca="1" ref="F78" ca="1">OFFSET(E78,-1,1)</f>
        <v>1</v>
      </c>
      <c r="G78" s="382"/>
      <c r="H78" s="382" t="s">
        <v>324</v>
      </c>
      <c r="I78" s="382" t="str" cm="1">
        <f t="array" ref="I78">AC78</f>
        <v>Административно-управленческий персонал (АУП)</v>
      </c>
      <c r="J78" s="208"/>
      <c r="K78" s="362"/>
      <c r="L78" s="362"/>
      <c r="M78" s="208"/>
      <c r="N78" s="208"/>
      <c r="O78" s="208"/>
      <c r="P78" s="208"/>
      <c r="Q78" s="208"/>
      <c r="R78" s="208"/>
      <c r="S78" s="208"/>
      <c r="T78" s="351" t="b">
        <f ca="1">AND(F78&gt;0,Y78&gt;0)</f>
        <v>1</v>
      </c>
      <c r="U78" s="208"/>
      <c r="V78" s="208"/>
      <c r="W78" s="208"/>
      <c r="X78" s="1089"/>
      <c r="Y78" s="1089" t="s">
        <v>277</v>
      </c>
      <c r="Z78" s="1090"/>
      <c r="AA78" s="1086" t="s">
        <v>172</v>
      </c>
      <c r="AB78" s="7" t="str">
        <f>"5."&amp;Y78</f>
        <v>5.1</v>
      </c>
      <c r="AC78" s="346" t="s">
        <v>1183</v>
      </c>
      <c r="AD78" s="9" t="s">
        <v>859</v>
      </c>
      <c r="AE78" s="9"/>
      <c r="AF78" s="9"/>
      <c r="AG78" s="9"/>
      <c r="AH78" s="9"/>
      <c r="AI78" s="128">
        <f>AI79*AI80*12/1000</f>
        <v>15215.428800000002</v>
      </c>
      <c r="AJ78" s="128">
        <f>AJ79*AJ80*12/1000+0.01</f>
        <v>13186.714960000001</v>
      </c>
      <c r="AK78" s="103" t="s">
        <v>1184</v>
      </c>
      <c r="AL78" s="62"/>
      <c r="AM78" s="62"/>
      <c r="AN78" s="676" t="s">
        <v>1138</v>
      </c>
      <c r="AO78" s="676" t="s">
        <v>1161</v>
      </c>
      <c r="AP78" s="676" t="str" cm="1">
        <f t="array" ref="AP78">AC78</f>
        <v>Административно-управленческий персонал (АУП)</v>
      </c>
      <c r="AQ78" s="178"/>
      <c r="AR78" s="178" t="b">
        <v>1</v>
      </c>
    </row>
    <row r="79" spans="1:44" s="325" customFormat="1" ht="46.7" customHeight="1">
      <c r="A79" s="62"/>
      <c r="C79" s="208"/>
      <c r="D79" s="208"/>
      <c r="E79" s="583">
        <v>15</v>
      </c>
      <c r="F79" s="3" t="str" cm="1">
        <f t="array" aca="1" ref="F79" ca="1">OFFSET(E79,-1,1)</f>
        <v>1</v>
      </c>
      <c r="G79" s="382"/>
      <c r="H79" s="382" t="str">
        <f>H78&amp;"_1"</f>
        <v>l5_1</v>
      </c>
      <c r="I79" s="382" t="str" cm="1">
        <f t="array" ref="I79">I78</f>
        <v>Административно-управленческий персонал (АУП)</v>
      </c>
      <c r="J79" s="208"/>
      <c r="K79" s="362"/>
      <c r="L79" s="362"/>
      <c r="M79" s="208"/>
      <c r="N79" s="208"/>
      <c r="O79" s="208"/>
      <c r="P79" s="208"/>
      <c r="Q79" s="208"/>
      <c r="R79" s="208"/>
      <c r="S79" s="208"/>
      <c r="T79" s="351" t="b" cm="1">
        <f t="array" aca="1" ref="T79" ca="1">T78</f>
        <v>1</v>
      </c>
      <c r="U79" s="208"/>
      <c r="V79" s="208"/>
      <c r="W79" s="208"/>
      <c r="X79" s="1089"/>
      <c r="Y79" s="1089"/>
      <c r="Z79" s="1090"/>
      <c r="AA79" s="1086"/>
      <c r="AB79" s="498" t="str">
        <f>AB78&amp;".1"</f>
        <v>5.1.1</v>
      </c>
      <c r="AC79" s="134" t="s">
        <v>1141</v>
      </c>
      <c r="AD79" s="9" t="s">
        <v>1142</v>
      </c>
      <c r="AE79" s="9"/>
      <c r="AF79" s="9"/>
      <c r="AG79" s="9"/>
      <c r="AH79" s="9"/>
      <c r="AI79" s="141">
        <v>30</v>
      </c>
      <c r="AJ79" s="141">
        <v>26</v>
      </c>
      <c r="AK79" s="103" t="s">
        <v>1176</v>
      </c>
      <c r="AL79" s="62"/>
      <c r="AM79" s="62"/>
      <c r="AN79" s="676" t="s">
        <v>1143</v>
      </c>
      <c r="AO79" s="676" t="s">
        <v>1161</v>
      </c>
      <c r="AP79" s="676" t="str" cm="1">
        <f t="array" ref="AP79">AP78</f>
        <v>Административно-управленческий персонал (АУП)</v>
      </c>
      <c r="AQ79" s="178"/>
      <c r="AR79" s="178"/>
    </row>
    <row r="80" spans="1:44" s="325" customFormat="1" ht="72.95" customHeight="1">
      <c r="A80" s="62"/>
      <c r="C80" s="208"/>
      <c r="D80" s="208"/>
      <c r="E80" s="583">
        <v>15</v>
      </c>
      <c r="F80" s="3" t="str" cm="1">
        <f t="array" aca="1" ref="F80" ca="1">OFFSET(E80,-1,1)</f>
        <v>1</v>
      </c>
      <c r="G80" s="382"/>
      <c r="H80" s="382" t="str">
        <f>H78&amp;"_2"</f>
        <v>l5_2</v>
      </c>
      <c r="I80" s="382" t="str" cm="1">
        <f t="array" ref="I80">I79</f>
        <v>Административно-управленческий персонал (АУП)</v>
      </c>
      <c r="J80" s="208"/>
      <c r="K80" s="362"/>
      <c r="L80" s="362"/>
      <c r="M80" s="208"/>
      <c r="N80" s="208"/>
      <c r="O80" s="208"/>
      <c r="P80" s="208"/>
      <c r="Q80" s="208"/>
      <c r="R80" s="208"/>
      <c r="S80" s="208"/>
      <c r="T80" s="351" t="b" cm="1">
        <f t="array" aca="1" ref="T80" ca="1">T79</f>
        <v>1</v>
      </c>
      <c r="U80" s="208"/>
      <c r="V80" s="208"/>
      <c r="W80" s="208"/>
      <c r="X80" s="1089"/>
      <c r="Y80" s="1089"/>
      <c r="Z80" s="1090"/>
      <c r="AA80" s="1086"/>
      <c r="AB80" s="498" t="str">
        <f>AB78&amp;".2"</f>
        <v>5.1.2</v>
      </c>
      <c r="AC80" s="134" t="s">
        <v>1144</v>
      </c>
      <c r="AD80" s="9" t="s">
        <v>1145</v>
      </c>
      <c r="AE80" s="9"/>
      <c r="AF80" s="9"/>
      <c r="AG80" s="9"/>
      <c r="AH80" s="9"/>
      <c r="AI80" s="141">
        <v>42265.08</v>
      </c>
      <c r="AJ80" s="141">
        <v>42265.08</v>
      </c>
      <c r="AK80" s="103" t="s">
        <v>1177</v>
      </c>
      <c r="AL80" s="62"/>
      <c r="AM80" s="62"/>
      <c r="AN80" s="676" t="s">
        <v>1146</v>
      </c>
      <c r="AO80" s="676" t="s">
        <v>1161</v>
      </c>
      <c r="AP80" s="676" t="str" cm="1">
        <f t="array" ref="AP80">AP79</f>
        <v>Административно-управленческий персонал (АУП)</v>
      </c>
      <c r="AQ80" s="178"/>
      <c r="AR80" s="178"/>
    </row>
    <row r="81" spans="1:44" s="325" customFormat="1" ht="14.25" customHeight="1">
      <c r="A81" s="62"/>
      <c r="C81" s="208"/>
      <c r="D81" s="208"/>
      <c r="E81" s="583">
        <v>15</v>
      </c>
      <c r="F81" s="3" t="str" cm="1">
        <f t="array" aca="1" ref="F81" ca="1">OFFSET(E81,-1,1)</f>
        <v>1</v>
      </c>
      <c r="G81" s="266"/>
      <c r="H81" s="382"/>
      <c r="I81" s="66" t="str">
        <f>"!=='не определено' &amp;&amp; row.l5 !== null"</f>
        <v>!=='не определено' &amp;&amp; row.l5 !== null</v>
      </c>
      <c r="J81" s="208"/>
      <c r="K81" s="362"/>
      <c r="L81" s="362"/>
      <c r="M81" s="208"/>
      <c r="N81" s="208"/>
      <c r="O81" s="208"/>
      <c r="P81" s="208"/>
      <c r="Q81" s="208"/>
      <c r="R81" s="208"/>
      <c r="S81" s="208"/>
      <c r="T81" s="351" t="b">
        <f ca="1">F81&gt;0</f>
        <v>1</v>
      </c>
      <c r="U81" s="208"/>
      <c r="V81" s="208"/>
      <c r="W81" s="515" t="s">
        <v>1162</v>
      </c>
      <c r="X81" s="1089"/>
      <c r="Y81" s="586"/>
      <c r="Z81" s="1090"/>
      <c r="AA81" s="208"/>
      <c r="AB81" s="587"/>
      <c r="AC81" s="171" t="s">
        <v>175</v>
      </c>
      <c r="AD81" s="545"/>
      <c r="AE81" s="545"/>
      <c r="AF81" s="545"/>
      <c r="AG81" s="545"/>
      <c r="AH81" s="545"/>
      <c r="AI81" s="545"/>
      <c r="AJ81" s="545"/>
      <c r="AK81" s="546"/>
      <c r="AL81" s="62"/>
      <c r="AM81" s="62"/>
      <c r="AN81" s="676"/>
      <c r="AO81" s="676"/>
      <c r="AP81" s="676"/>
      <c r="AQ81" s="178" t="s">
        <v>1161</v>
      </c>
      <c r="AR81" s="178"/>
    </row>
    <row r="82" spans="1:44" s="325" customFormat="1" ht="84.95" customHeight="1">
      <c r="A82" s="62"/>
      <c r="C82" s="208"/>
      <c r="D82" s="208"/>
      <c r="E82" s="583">
        <v>22.5</v>
      </c>
      <c r="F82" s="3" t="str" cm="1">
        <f t="array" aca="1" ref="F82" ca="1">OFFSET(E82,-1,1)</f>
        <v>1</v>
      </c>
      <c r="G82" s="266" t="s">
        <v>1163</v>
      </c>
      <c r="H82" s="382" t="s">
        <v>557</v>
      </c>
      <c r="I82" s="382"/>
      <c r="J82" s="208"/>
      <c r="K82" s="362" t="str">
        <f ca="1">F82&amp;"6komm"</f>
        <v>16komm</v>
      </c>
      <c r="L82" s="362" t="str" cm="1">
        <f t="array" ref="L82">AK82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M82" s="208"/>
      <c r="N82" s="208"/>
      <c r="O82" s="208"/>
      <c r="P82" s="208"/>
      <c r="Q82" s="208"/>
      <c r="R82" s="208"/>
      <c r="S82" s="208"/>
      <c r="T82" s="351" t="b" cm="1">
        <f t="array" aca="1" ref="T82" ca="1">T81</f>
        <v>1</v>
      </c>
      <c r="U82" s="208"/>
      <c r="V82" s="208"/>
      <c r="W82" s="208"/>
      <c r="X82" s="1089"/>
      <c r="Y82" s="586"/>
      <c r="Z82" s="1090"/>
      <c r="AA82" s="208"/>
      <c r="AB82" s="498" t="s">
        <v>442</v>
      </c>
      <c r="AC82" s="245" t="s">
        <v>1164</v>
      </c>
      <c r="AD82" s="9" t="s">
        <v>859</v>
      </c>
      <c r="AE82" s="141">
        <v>122.17</v>
      </c>
      <c r="AF82" s="141">
        <v>502.29</v>
      </c>
      <c r="AG82" s="141">
        <v>502.29</v>
      </c>
      <c r="AH82" s="141">
        <v>3760.225058304</v>
      </c>
      <c r="AI82" s="141">
        <f ca="1">AI74*SUMIFS(INDEX(Сценарии!$AE$25:$BF$82,,MATCH(AI$13,Сценарии!$AE$8:$BF$8,0)),Сценарии!$F$25:$F$82,$F82,Сценарии!$G$25:$G$82,"СВФОТ")/100</f>
        <v>4595.0594976000002</v>
      </c>
      <c r="AJ82" s="141">
        <f ca="1">AJ74*SUMIFS(INDEX(Сценарии!$AE$25:$BF$82,,MATCH(AJ$13,Сценарии!$AE$8:$BF$8,0)),Сценарии!$F$25:$F$82,$F82,Сценарии!$G$25:$G$82,"СВФОТ")/100</f>
        <v>3982.3879179199998</v>
      </c>
      <c r="AK82" s="606" t="s">
        <v>1179</v>
      </c>
      <c r="AL82" s="62"/>
      <c r="AM82" s="62"/>
      <c r="AN82" s="676" t="s">
        <v>1165</v>
      </c>
      <c r="AO82" s="676"/>
      <c r="AP82" s="676"/>
      <c r="AQ82" s="178"/>
      <c r="AR82" s="178"/>
    </row>
    <row r="83" spans="1:44" s="325" customFormat="1" ht="14.65" customHeight="1">
      <c r="A83" s="62"/>
      <c r="C83" s="208"/>
      <c r="D83" s="208"/>
      <c r="E83" s="583">
        <v>15</v>
      </c>
      <c r="F83" s="3" t="str" cm="1">
        <f t="array" aca="1" ref="F83" ca="1">OFFSET(E83,-1,1)</f>
        <v>1</v>
      </c>
      <c r="G83" s="266" t="s">
        <v>1166</v>
      </c>
      <c r="H83" s="382" t="s">
        <v>560</v>
      </c>
      <c r="I83" s="382"/>
      <c r="J83" s="208"/>
      <c r="K83" s="362" t="str">
        <f ca="1">F83&amp;"7komm"</f>
        <v>17komm</v>
      </c>
      <c r="L83" s="362" cm="1">
        <f t="array" ref="L83">AK83</f>
        <v>0</v>
      </c>
      <c r="M83" s="208"/>
      <c r="N83" s="208"/>
      <c r="O83" s="208"/>
      <c r="P83" s="208"/>
      <c r="Q83" s="208"/>
      <c r="R83" s="208"/>
      <c r="S83" s="208"/>
      <c r="T83" s="351" t="b" cm="1">
        <f t="array" aca="1" ref="T83" ca="1">T82</f>
        <v>1</v>
      </c>
      <c r="U83" s="208"/>
      <c r="V83" s="208"/>
      <c r="W83" s="208"/>
      <c r="X83" s="1089"/>
      <c r="Y83" s="586"/>
      <c r="Z83" s="1090"/>
      <c r="AA83" s="208"/>
      <c r="AB83" s="498" t="s">
        <v>444</v>
      </c>
      <c r="AC83" s="245" t="s">
        <v>1167</v>
      </c>
      <c r="AD83" s="9" t="s">
        <v>859</v>
      </c>
      <c r="AE83" s="141"/>
      <c r="AF83" s="141"/>
      <c r="AG83" s="141"/>
      <c r="AH83" s="141">
        <v>0</v>
      </c>
      <c r="AI83" s="126">
        <f>SUMIFS(AI84:AI87,$AD84:$AD87,$AD83)</f>
        <v>0</v>
      </c>
      <c r="AJ83" s="126">
        <f>SUMIFS(AJ84:AJ87,$AD84:$AD87,$AD83)</f>
        <v>0</v>
      </c>
      <c r="AK83" s="606"/>
      <c r="AL83" s="62"/>
      <c r="AM83" s="62"/>
      <c r="AN83" s="676" t="s">
        <v>1168</v>
      </c>
      <c r="AO83" s="676"/>
      <c r="AP83" s="676"/>
      <c r="AQ83" s="178"/>
      <c r="AR83" s="178"/>
    </row>
    <row r="84" spans="1:44" s="325" customFormat="1" ht="18" hidden="1" customHeight="1">
      <c r="A84" s="62"/>
      <c r="B84" s="62"/>
      <c r="C84" s="208"/>
      <c r="D84" s="208"/>
      <c r="E84" s="583">
        <v>18.75</v>
      </c>
      <c r="F84" s="3" t="str" cm="1">
        <f t="array" aca="1" ref="F84" ca="1">OFFSET(E84,-1,1)</f>
        <v>1</v>
      </c>
      <c r="G84" s="382"/>
      <c r="H84" s="382" t="s">
        <v>560</v>
      </c>
      <c r="I84" s="382" cm="1">
        <f t="array" ref="I84">AC84</f>
        <v>0</v>
      </c>
      <c r="J84" s="208"/>
      <c r="K84" s="362"/>
      <c r="L84" s="362"/>
      <c r="M84" s="208"/>
      <c r="N84" s="208"/>
      <c r="O84" s="208"/>
      <c r="P84" s="208"/>
      <c r="Q84" s="208"/>
      <c r="R84" s="208"/>
      <c r="S84" s="208"/>
      <c r="T84" s="351" t="b">
        <f ca="1">AND(F84&gt;0,Y84&gt;0)</f>
        <v>0</v>
      </c>
      <c r="U84" s="208"/>
      <c r="V84" s="208"/>
      <c r="W84" s="208" t="s">
        <v>171</v>
      </c>
      <c r="X84" s="1089"/>
      <c r="Y84" s="1089">
        <v>0</v>
      </c>
      <c r="Z84" s="1090"/>
      <c r="AA84" s="1086" t="s">
        <v>172</v>
      </c>
      <c r="AB84" s="7" t="str">
        <f>"7."&amp;Y84</f>
        <v>7.0</v>
      </c>
      <c r="AC84" s="779"/>
      <c r="AD84" s="9" t="s">
        <v>859</v>
      </c>
      <c r="AE84" s="9"/>
      <c r="AF84" s="9"/>
      <c r="AG84" s="9"/>
      <c r="AH84" s="9"/>
      <c r="AI84" s="128">
        <f>AI85*AI86*12/1000</f>
        <v>0</v>
      </c>
      <c r="AJ84" s="128">
        <f>AJ85*AJ86*12/1000</f>
        <v>0</v>
      </c>
      <c r="AK84" s="816"/>
      <c r="AL84" s="62"/>
      <c r="AM84" s="62"/>
      <c r="AN84" s="676" t="s">
        <v>1138</v>
      </c>
      <c r="AO84" s="676" t="s">
        <v>1169</v>
      </c>
      <c r="AP84" s="676" cm="1">
        <f t="array" ref="AP84">AC84</f>
        <v>0</v>
      </c>
      <c r="AQ84" s="178"/>
      <c r="AR84" s="178" t="b">
        <v>1</v>
      </c>
    </row>
    <row r="85" spans="1:44" s="325" customFormat="1" ht="14.25" hidden="1" customHeight="1">
      <c r="A85" s="62"/>
      <c r="B85" s="62"/>
      <c r="C85" s="208"/>
      <c r="D85" s="208"/>
      <c r="E85" s="583">
        <v>15</v>
      </c>
      <c r="F85" s="3" t="str" cm="1">
        <f t="array" aca="1" ref="F85" ca="1">OFFSET(E85,-1,1)</f>
        <v>1</v>
      </c>
      <c r="G85" s="382"/>
      <c r="H85" s="382" t="str">
        <f>H84&amp;"_1"</f>
        <v>l7_1</v>
      </c>
      <c r="I85" s="382" cm="1">
        <f t="array" ref="I85">I84</f>
        <v>0</v>
      </c>
      <c r="J85" s="208"/>
      <c r="K85" s="362"/>
      <c r="L85" s="362"/>
      <c r="M85" s="208"/>
      <c r="N85" s="208"/>
      <c r="O85" s="208"/>
      <c r="P85" s="208"/>
      <c r="Q85" s="208"/>
      <c r="R85" s="208"/>
      <c r="S85" s="208"/>
      <c r="T85" s="351" t="b" cm="1">
        <f t="array" aca="1" ref="T85" ca="1">T84</f>
        <v>0</v>
      </c>
      <c r="U85" s="208"/>
      <c r="V85" s="208"/>
      <c r="W85" s="208"/>
      <c r="X85" s="1089"/>
      <c r="Y85" s="1089"/>
      <c r="Z85" s="1090"/>
      <c r="AA85" s="1086"/>
      <c r="AB85" s="498" t="str">
        <f>AB84&amp;".1"</f>
        <v>7.0.1</v>
      </c>
      <c r="AC85" s="134" t="s">
        <v>1141</v>
      </c>
      <c r="AD85" s="9" t="s">
        <v>1142</v>
      </c>
      <c r="AE85" s="9"/>
      <c r="AF85" s="9"/>
      <c r="AG85" s="9"/>
      <c r="AH85" s="9"/>
      <c r="AI85" s="141"/>
      <c r="AJ85" s="141"/>
      <c r="AK85" s="816"/>
      <c r="AL85" s="62"/>
      <c r="AM85" s="62"/>
      <c r="AN85" s="676" t="s">
        <v>1143</v>
      </c>
      <c r="AO85" s="676" t="s">
        <v>1169</v>
      </c>
      <c r="AP85" s="676" cm="1">
        <f t="array" ref="AP85">AP84</f>
        <v>0</v>
      </c>
      <c r="AQ85" s="178"/>
      <c r="AR85" s="178"/>
    </row>
    <row r="86" spans="1:44" s="325" customFormat="1" ht="14.25" hidden="1" customHeight="1">
      <c r="A86" s="62"/>
      <c r="B86" s="62"/>
      <c r="C86" s="208"/>
      <c r="D86" s="208"/>
      <c r="E86" s="583">
        <v>15</v>
      </c>
      <c r="F86" s="3" t="str" cm="1">
        <f t="array" aca="1" ref="F86" ca="1">OFFSET(E86,-1,1)</f>
        <v>1</v>
      </c>
      <c r="G86" s="382"/>
      <c r="H86" s="382" t="str">
        <f>H84&amp;"_2"</f>
        <v>l7_2</v>
      </c>
      <c r="I86" s="382" cm="1">
        <f t="array" ref="I86">I85</f>
        <v>0</v>
      </c>
      <c r="J86" s="208"/>
      <c r="K86" s="362"/>
      <c r="L86" s="362"/>
      <c r="M86" s="208"/>
      <c r="N86" s="208"/>
      <c r="O86" s="208"/>
      <c r="P86" s="208"/>
      <c r="Q86" s="208"/>
      <c r="R86" s="208"/>
      <c r="S86" s="208"/>
      <c r="T86" s="351" t="b" cm="1">
        <f t="array" aca="1" ref="T86" ca="1">T85</f>
        <v>0</v>
      </c>
      <c r="U86" s="208"/>
      <c r="V86" s="208"/>
      <c r="W86" s="208"/>
      <c r="X86" s="1089"/>
      <c r="Y86" s="1089"/>
      <c r="Z86" s="1090"/>
      <c r="AA86" s="1086"/>
      <c r="AB86" s="498" t="str">
        <f>AB84&amp;".2"</f>
        <v>7.0.2</v>
      </c>
      <c r="AC86" s="134" t="s">
        <v>1144</v>
      </c>
      <c r="AD86" s="9" t="s">
        <v>1145</v>
      </c>
      <c r="AE86" s="9"/>
      <c r="AF86" s="9"/>
      <c r="AG86" s="9"/>
      <c r="AH86" s="9"/>
      <c r="AI86" s="141"/>
      <c r="AJ86" s="141"/>
      <c r="AK86" s="816"/>
      <c r="AL86" s="62"/>
      <c r="AM86" s="62"/>
      <c r="AN86" s="676" t="s">
        <v>1146</v>
      </c>
      <c r="AO86" s="676" t="s">
        <v>1169</v>
      </c>
      <c r="AP86" s="676" cm="1">
        <f t="array" ref="AP86">AP85</f>
        <v>0</v>
      </c>
      <c r="AQ86" s="178"/>
      <c r="AR86" s="178"/>
    </row>
    <row r="87" spans="1:44" s="325" customFormat="1" ht="14.25" customHeight="1">
      <c r="A87" s="62"/>
      <c r="C87" s="208"/>
      <c r="D87" s="208"/>
      <c r="E87" s="583">
        <v>15</v>
      </c>
      <c r="F87" s="3" t="str" cm="1">
        <f t="array" aca="1" ref="F87" ca="1">OFFSET(E87,-1,1)</f>
        <v>1</v>
      </c>
      <c r="G87" s="266"/>
      <c r="H87" s="382"/>
      <c r="I87" s="66" t="str">
        <f>"!=='не определено' &amp;&amp; row.l7 !== null"</f>
        <v>!=='не определено' &amp;&amp; row.l7 !== null</v>
      </c>
      <c r="J87" s="208"/>
      <c r="K87" s="362"/>
      <c r="L87" s="362"/>
      <c r="M87" s="208"/>
      <c r="N87" s="208"/>
      <c r="O87" s="208"/>
      <c r="P87" s="208"/>
      <c r="Q87" s="208"/>
      <c r="R87" s="208"/>
      <c r="S87" s="208"/>
      <c r="T87" s="351" t="b">
        <f ca="1">F87&gt;0</f>
        <v>1</v>
      </c>
      <c r="U87" s="208"/>
      <c r="V87" s="208"/>
      <c r="W87" s="515" t="s">
        <v>1170</v>
      </c>
      <c r="X87" s="1089"/>
      <c r="Y87" s="208"/>
      <c r="Z87" s="1090"/>
      <c r="AA87" s="208"/>
      <c r="AB87" s="587"/>
      <c r="AC87" s="171" t="s">
        <v>175</v>
      </c>
      <c r="AD87" s="545"/>
      <c r="AE87" s="545"/>
      <c r="AF87" s="545"/>
      <c r="AG87" s="545"/>
      <c r="AH87" s="545"/>
      <c r="AI87" s="545"/>
      <c r="AJ87" s="545"/>
      <c r="AK87" s="546"/>
      <c r="AL87" s="62"/>
      <c r="AM87" s="62"/>
      <c r="AN87" s="676"/>
      <c r="AO87" s="676"/>
      <c r="AP87" s="676"/>
      <c r="AQ87" s="178" t="s">
        <v>1169</v>
      </c>
      <c r="AR87" s="178"/>
    </row>
    <row r="88" spans="1:44" s="325" customFormat="1" ht="21.75" customHeight="1">
      <c r="A88" s="62"/>
      <c r="C88" s="208"/>
      <c r="D88" s="208"/>
      <c r="E88" s="583">
        <v>22.5</v>
      </c>
      <c r="F88" s="3" t="str" cm="1">
        <f t="array" aca="1" ref="F88" ca="1">OFFSET(E88,-1,1)</f>
        <v>1</v>
      </c>
      <c r="G88" s="266" t="s">
        <v>1171</v>
      </c>
      <c r="H88" s="382" t="s">
        <v>613</v>
      </c>
      <c r="I88" s="382"/>
      <c r="J88" s="208"/>
      <c r="K88" s="362" t="str">
        <f ca="1">F88&amp;"8komm"</f>
        <v>18komm</v>
      </c>
      <c r="L88" s="605" cm="1">
        <f t="array" ref="L88">AK88</f>
        <v>0</v>
      </c>
      <c r="M88" s="208"/>
      <c r="N88" s="208"/>
      <c r="O88" s="208"/>
      <c r="P88" s="208"/>
      <c r="Q88" s="208"/>
      <c r="R88" s="208"/>
      <c r="S88" s="208"/>
      <c r="T88" s="351" t="b" cm="1">
        <f t="array" aca="1" ref="T88" ca="1">T87</f>
        <v>1</v>
      </c>
      <c r="U88" s="208"/>
      <c r="V88" s="208"/>
      <c r="W88" s="208"/>
      <c r="X88" s="1089"/>
      <c r="Y88" s="208"/>
      <c r="Z88" s="1090"/>
      <c r="AA88" s="208"/>
      <c r="AB88" s="498" t="s">
        <v>446</v>
      </c>
      <c r="AC88" s="245" t="s">
        <v>1172</v>
      </c>
      <c r="AD88" s="9" t="s">
        <v>859</v>
      </c>
      <c r="AE88" s="141">
        <f ca="1">AE83*SUMIFS(INDEX(Сценарии!$AE$25:$BF$82,,MATCH(AE$13,Сценарии!$AE$8:$BF$8,0)),Сценарии!$F$25:$F$82,$F88,Сценарии!$G$25:$G$82,"СВФОТ")/100</f>
        <v>0</v>
      </c>
      <c r="AF88" s="141">
        <f ca="1">AF83*SUMIFS(INDEX(Сценарии!$AE$25:$BF$82,,MATCH(AF$13,Сценарии!$AE$8:$BF$8,0)),Сценарии!$F$25:$F$82,$F88,Сценарии!$G$25:$G$82,"СВФОТ")/100</f>
        <v>0</v>
      </c>
      <c r="AG88" s="141">
        <f ca="1">AG83*SUMIFS(INDEX(Сценарии!$AE$25:$BF$82,,MATCH(AG$13,Сценарии!$AE$8:$BF$8,0)),Сценарии!$F$25:$F$82,$F88,Сценарии!$G$25:$G$82,"СВФОТ")/100</f>
        <v>0</v>
      </c>
      <c r="AH88" s="141">
        <f ca="1">AH83*SUMIFS(INDEX(Сценарии!$AE$25:$BF$82,,MATCH(AH$13,Сценарии!$AE$8:$BF$8,0)),Сценарии!$F$25:$F$82,$F88,Сценарии!$G$25:$G$82,"СВФОТ")/100</f>
        <v>0</v>
      </c>
      <c r="AI88" s="141">
        <f ca="1">AI83*SUMIFS(INDEX(Сценарии!$AE$25:$BF$82,,MATCH(AI$13,Сценарии!$AE$8:$BF$8,0)),Сценарии!$F$25:$F$82,$F88,Сценарии!$G$25:$G$82,"СВФОТ")/100</f>
        <v>0</v>
      </c>
      <c r="AJ88" s="141">
        <f ca="1">AJ83*SUMIFS(INDEX(Сценарии!$AE$25:$BF$82,,MATCH(AJ$13,Сценарии!$AE$8:$BF$8,0)),Сценарии!$F$25:$F$82,$F88,Сценарии!$G$25:$G$82,"СВФОТ")/100</f>
        <v>0</v>
      </c>
      <c r="AK88" s="103"/>
      <c r="AL88" s="62"/>
      <c r="AM88" s="62"/>
      <c r="AN88" s="676" t="s">
        <v>1173</v>
      </c>
      <c r="AO88" s="676"/>
      <c r="AP88" s="676"/>
      <c r="AQ88" s="178"/>
      <c r="AR88" s="178"/>
    </row>
    <row r="89" spans="1:44" ht="10.9" customHeight="1">
      <c r="A89" s="314"/>
      <c r="B89" s="477"/>
      <c r="C89" s="314"/>
      <c r="D89" s="314"/>
      <c r="E89" s="478">
        <v>11.25</v>
      </c>
      <c r="F89" s="314"/>
      <c r="G89" s="314"/>
      <c r="H89" s="314"/>
      <c r="I89" s="314"/>
      <c r="J89" s="314"/>
      <c r="K89" s="603"/>
      <c r="L89" s="603"/>
      <c r="M89" s="314"/>
      <c r="N89" s="314"/>
      <c r="O89" s="314"/>
      <c r="P89" s="314"/>
      <c r="Q89" s="314"/>
      <c r="R89" s="314"/>
      <c r="S89" s="314"/>
      <c r="T89" s="314"/>
      <c r="U89" s="314" t="s">
        <v>175</v>
      </c>
      <c r="V89" s="515" t="s">
        <v>1185</v>
      </c>
      <c r="W89" s="314"/>
      <c r="X89" s="314"/>
      <c r="Y89" s="314"/>
      <c r="Z89" s="314"/>
      <c r="AA89" s="314"/>
      <c r="AB89" s="314"/>
      <c r="AC89" s="314"/>
      <c r="AD89" s="314"/>
      <c r="AE89" s="314"/>
      <c r="AF89" s="314"/>
      <c r="AG89"/>
      <c r="AH89"/>
      <c r="AI89"/>
      <c r="AJ89"/>
      <c r="AK89"/>
      <c r="AL89"/>
      <c r="AM89"/>
      <c r="AN89" s="659"/>
      <c r="AO89" s="659"/>
      <c r="AP89" s="659"/>
      <c r="AQ89" s="452"/>
      <c r="AR89" s="452"/>
    </row>
    <row r="90" spans="1:44" ht="14.65" customHeight="1">
      <c r="C90" s="59"/>
      <c r="D90" s="59"/>
      <c r="E90" s="460">
        <v>15</v>
      </c>
      <c r="F90" s="59"/>
      <c r="G90" s="59"/>
      <c r="H90" s="59"/>
      <c r="I90" s="59"/>
      <c r="J90" s="59"/>
      <c r="M90" s="59"/>
      <c r="N90" s="59"/>
      <c r="O90" s="59"/>
      <c r="P90" s="59"/>
      <c r="Q90" s="59"/>
      <c r="R90" s="266"/>
      <c r="S90" s="59"/>
      <c r="T90" s="59"/>
      <c r="U90" s="59"/>
      <c r="V90" s="59"/>
      <c r="W90" s="59"/>
      <c r="X90" s="59"/>
      <c r="Y90" s="59"/>
      <c r="Z90" s="59"/>
      <c r="AA90" s="59"/>
      <c r="AB90" s="1028" t="s">
        <v>396</v>
      </c>
      <c r="AC90" s="1028"/>
      <c r="AD90" s="1028"/>
      <c r="AE90" s="1028"/>
      <c r="AF90" s="1028"/>
      <c r="AG90" s="1028"/>
      <c r="AH90" s="1028"/>
      <c r="AI90" s="1088"/>
      <c r="AJ90" s="1088"/>
      <c r="AK90" s="1088"/>
    </row>
    <row r="91" spans="1:44" ht="46.5" customHeight="1">
      <c r="E91" s="459">
        <v>15</v>
      </c>
      <c r="AA91" s="479"/>
      <c r="AB91" s="1049" t="s">
        <v>1186</v>
      </c>
      <c r="AC91" s="1049"/>
      <c r="AD91" s="1049"/>
      <c r="AE91" s="1049"/>
      <c r="AF91" s="1049"/>
      <c r="AG91" s="1049"/>
      <c r="AH91" s="1049"/>
      <c r="AI91" s="1050"/>
      <c r="AJ91" s="1050"/>
      <c r="AK91" s="1050"/>
    </row>
    <row r="92" spans="1:44" ht="14.65" hidden="1" customHeight="1">
      <c r="E92" s="459">
        <v>15</v>
      </c>
      <c r="T92" s="351" t="b">
        <f t="shared" ref="T92:T103" si="3">ROW(W92)&gt;ROW(W$92)</f>
        <v>0</v>
      </c>
      <c r="W92" s="515" t="s">
        <v>171</v>
      </c>
      <c r="AA92" s="480" t="s">
        <v>172</v>
      </c>
      <c r="AB92" s="1077" t="s">
        <v>124</v>
      </c>
      <c r="AC92" s="1077"/>
      <c r="AD92" s="1077"/>
      <c r="AE92" s="1077"/>
      <c r="AF92" s="1077"/>
      <c r="AG92" s="1077"/>
      <c r="AH92" s="1077"/>
      <c r="AI92" s="1050"/>
      <c r="AJ92" s="1050"/>
      <c r="AK92" s="1078"/>
    </row>
    <row r="93" spans="1:44" ht="55.35" customHeight="1">
      <c r="E93" s="459">
        <v>15</v>
      </c>
      <c r="T93" s="351" t="b">
        <f t="shared" si="3"/>
        <v>1</v>
      </c>
      <c r="W93" s="515"/>
      <c r="Y93" s="17" t="s">
        <v>124</v>
      </c>
      <c r="AA93" s="480" t="s">
        <v>172</v>
      </c>
      <c r="AB93" s="1049" t="s">
        <v>1187</v>
      </c>
      <c r="AC93" s="1049"/>
      <c r="AD93" s="1049"/>
      <c r="AE93" s="1049"/>
      <c r="AF93" s="1049"/>
      <c r="AG93" s="1049"/>
      <c r="AH93" s="1049"/>
      <c r="AI93" s="1050"/>
      <c r="AJ93" s="1050"/>
      <c r="AK93" s="1050"/>
    </row>
    <row r="94" spans="1:44" ht="47.1" customHeight="1">
      <c r="E94" s="459">
        <v>15</v>
      </c>
      <c r="T94" s="351" t="b">
        <f t="shared" si="3"/>
        <v>1</v>
      </c>
      <c r="W94" s="515"/>
      <c r="Y94" s="17" t="s">
        <v>124</v>
      </c>
      <c r="AA94" s="480" t="s">
        <v>172</v>
      </c>
      <c r="AB94" s="1049" t="s">
        <v>1188</v>
      </c>
      <c r="AC94" s="1049"/>
      <c r="AD94" s="1049"/>
      <c r="AE94" s="1049"/>
      <c r="AF94" s="1049"/>
      <c r="AG94" s="1049"/>
      <c r="AH94" s="1049"/>
      <c r="AI94" s="1050"/>
      <c r="AJ94" s="1050"/>
      <c r="AK94" s="1050"/>
    </row>
    <row r="95" spans="1:44" ht="34.9" customHeight="1">
      <c r="E95" s="459">
        <v>15</v>
      </c>
      <c r="T95" s="351" t="b">
        <f t="shared" si="3"/>
        <v>1</v>
      </c>
      <c r="W95" s="515"/>
      <c r="Y95" s="17" t="s">
        <v>124</v>
      </c>
      <c r="AA95" s="480" t="s">
        <v>172</v>
      </c>
      <c r="AB95" s="1049" t="s">
        <v>1189</v>
      </c>
      <c r="AC95" s="1049"/>
      <c r="AD95" s="1049"/>
      <c r="AE95" s="1049"/>
      <c r="AF95" s="1049"/>
      <c r="AG95" s="1049"/>
      <c r="AH95" s="1049"/>
      <c r="AI95" s="1050"/>
      <c r="AJ95" s="1050"/>
      <c r="AK95" s="1050"/>
    </row>
    <row r="96" spans="1:44" ht="47.1" customHeight="1">
      <c r="E96" s="459">
        <v>15</v>
      </c>
      <c r="T96" s="351" t="b">
        <f t="shared" si="3"/>
        <v>1</v>
      </c>
      <c r="W96" s="515"/>
      <c r="Y96" s="17" t="s">
        <v>124</v>
      </c>
      <c r="AA96" s="480" t="s">
        <v>172</v>
      </c>
      <c r="AB96" s="1049" t="s">
        <v>1190</v>
      </c>
      <c r="AC96" s="1049"/>
      <c r="AD96" s="1049"/>
      <c r="AE96" s="1049"/>
      <c r="AF96" s="1049"/>
      <c r="AG96" s="1049"/>
      <c r="AH96" s="1049"/>
      <c r="AI96" s="1050"/>
      <c r="AJ96" s="1050"/>
      <c r="AK96" s="1050"/>
    </row>
    <row r="97" spans="5:38" ht="41.65" customHeight="1">
      <c r="E97" s="459">
        <v>15</v>
      </c>
      <c r="T97" s="351" t="b">
        <f t="shared" si="3"/>
        <v>1</v>
      </c>
      <c r="W97" s="515"/>
      <c r="Y97" s="17" t="s">
        <v>124</v>
      </c>
      <c r="AA97" s="480" t="s">
        <v>172</v>
      </c>
      <c r="AB97" s="1049" t="s">
        <v>1191</v>
      </c>
      <c r="AC97" s="1049"/>
      <c r="AD97" s="1049"/>
      <c r="AE97" s="1049"/>
      <c r="AF97" s="1049"/>
      <c r="AG97" s="1049"/>
      <c r="AH97" s="1049"/>
      <c r="AI97" s="1050"/>
      <c r="AJ97" s="1050"/>
      <c r="AK97" s="1050"/>
    </row>
    <row r="98" spans="5:38" ht="42.4" customHeight="1">
      <c r="E98" s="459">
        <v>15</v>
      </c>
      <c r="T98" s="351" t="b">
        <f t="shared" si="3"/>
        <v>1</v>
      </c>
      <c r="W98" s="515"/>
      <c r="Y98" s="17" t="s">
        <v>124</v>
      </c>
      <c r="AA98" s="480" t="s">
        <v>172</v>
      </c>
      <c r="AB98" s="1049" t="s">
        <v>1192</v>
      </c>
      <c r="AC98" s="1049"/>
      <c r="AD98" s="1049"/>
      <c r="AE98" s="1049"/>
      <c r="AF98" s="1049"/>
      <c r="AG98" s="1049"/>
      <c r="AH98" s="1049"/>
      <c r="AI98" s="1050"/>
      <c r="AJ98" s="1050"/>
      <c r="AK98" s="1050"/>
    </row>
    <row r="99" spans="5:38" ht="46.5" customHeight="1">
      <c r="E99" s="459">
        <v>15</v>
      </c>
      <c r="T99" s="351" t="b">
        <f t="shared" si="3"/>
        <v>1</v>
      </c>
      <c r="W99" s="515"/>
      <c r="Y99" s="17" t="s">
        <v>124</v>
      </c>
      <c r="AA99" s="480" t="s">
        <v>172</v>
      </c>
      <c r="AB99" s="1049" t="s">
        <v>1193</v>
      </c>
      <c r="AC99" s="1049"/>
      <c r="AD99" s="1049"/>
      <c r="AE99" s="1049"/>
      <c r="AF99" s="1049"/>
      <c r="AG99" s="1049"/>
      <c r="AH99" s="1049"/>
      <c r="AI99" s="1050"/>
      <c r="AJ99" s="1050"/>
      <c r="AK99" s="1050"/>
    </row>
    <row r="100" spans="5:38" ht="31.5" customHeight="1">
      <c r="E100" s="459">
        <v>15</v>
      </c>
      <c r="T100" s="351" t="b">
        <f t="shared" si="3"/>
        <v>1</v>
      </c>
      <c r="W100" s="515"/>
      <c r="Y100" s="17" t="s">
        <v>124</v>
      </c>
      <c r="AA100" s="480" t="s">
        <v>172</v>
      </c>
      <c r="AB100" s="1049" t="s">
        <v>1194</v>
      </c>
      <c r="AC100" s="1049"/>
      <c r="AD100" s="1049"/>
      <c r="AE100" s="1049"/>
      <c r="AF100" s="1049"/>
      <c r="AG100" s="1049"/>
      <c r="AH100" s="1049"/>
      <c r="AI100" s="1050"/>
      <c r="AJ100" s="1050"/>
      <c r="AK100" s="1050"/>
    </row>
    <row r="101" spans="5:38" ht="30" customHeight="1">
      <c r="E101" s="459">
        <v>15</v>
      </c>
      <c r="T101" s="351" t="b">
        <f t="shared" si="3"/>
        <v>1</v>
      </c>
      <c r="W101" s="515"/>
      <c r="Y101" s="17" t="s">
        <v>124</v>
      </c>
      <c r="AA101" s="480" t="s">
        <v>172</v>
      </c>
      <c r="AB101" s="1049" t="s">
        <v>1195</v>
      </c>
      <c r="AC101" s="1049"/>
      <c r="AD101" s="1049"/>
      <c r="AE101" s="1049"/>
      <c r="AF101" s="1049"/>
      <c r="AG101" s="1049"/>
      <c r="AH101" s="1049"/>
      <c r="AI101" s="1050"/>
      <c r="AJ101" s="1050"/>
      <c r="AK101" s="1050"/>
    </row>
    <row r="102" spans="5:38" ht="55.35" customHeight="1">
      <c r="E102" s="459">
        <v>15</v>
      </c>
      <c r="T102" s="351" t="b">
        <f t="shared" si="3"/>
        <v>1</v>
      </c>
      <c r="W102" s="515"/>
      <c r="Y102" s="17" t="s">
        <v>124</v>
      </c>
      <c r="AA102" s="480" t="s">
        <v>172</v>
      </c>
      <c r="AB102" s="1049" t="s">
        <v>1196</v>
      </c>
      <c r="AC102" s="1049"/>
      <c r="AD102" s="1049"/>
      <c r="AE102" s="1049"/>
      <c r="AF102" s="1049"/>
      <c r="AG102" s="1049"/>
      <c r="AH102" s="1049"/>
      <c r="AI102" s="1050"/>
      <c r="AJ102" s="1050"/>
      <c r="AK102" s="1050"/>
    </row>
    <row r="103" spans="5:38" ht="14.25" customHeight="1">
      <c r="E103" s="459">
        <v>15</v>
      </c>
      <c r="T103" s="351" t="b">
        <f t="shared" si="3"/>
        <v>1</v>
      </c>
      <c r="W103" s="515"/>
      <c r="Y103" s="17" t="s">
        <v>124</v>
      </c>
      <c r="AA103" s="480" t="s">
        <v>172</v>
      </c>
      <c r="AB103" s="1049" t="s">
        <v>124</v>
      </c>
      <c r="AC103" s="1049"/>
      <c r="AD103" s="1049"/>
      <c r="AE103" s="1049"/>
      <c r="AF103" s="1049"/>
      <c r="AG103" s="1049"/>
      <c r="AH103" s="1049"/>
      <c r="AI103" s="1050"/>
      <c r="AJ103" s="1050"/>
      <c r="AK103" s="1050"/>
    </row>
    <row r="104" spans="5:38" ht="14.65" customHeight="1">
      <c r="E104" s="459">
        <v>15</v>
      </c>
      <c r="W104" s="515" t="s">
        <v>407</v>
      </c>
      <c r="AB104" s="483"/>
      <c r="AC104" s="380" t="s">
        <v>408</v>
      </c>
      <c r="AD104" s="217"/>
      <c r="AE104" s="217"/>
      <c r="AF104" s="218"/>
      <c r="AG104" s="218"/>
      <c r="AH104" s="218"/>
      <c r="AI104" s="218"/>
      <c r="AJ104" s="218"/>
      <c r="AK104" s="219"/>
    </row>
    <row r="105" spans="5:38" ht="10.7" customHeight="1">
      <c r="E105" s="459">
        <v>11</v>
      </c>
      <c r="AL105" s="22"/>
    </row>
  </sheetData>
  <sheetProtection formatColumns="0" formatRows="0" insertRows="0" deleteColumns="0" deleteRows="0" sort="0" autoFilter="0"/>
  <mergeCells count="46">
    <mergeCell ref="AB101:AK101"/>
    <mergeCell ref="AB102:AK102"/>
    <mergeCell ref="AB103:AK103"/>
    <mergeCell ref="AB96:AK96"/>
    <mergeCell ref="AB97:AK97"/>
    <mergeCell ref="AB98:AK98"/>
    <mergeCell ref="AB99:AK99"/>
    <mergeCell ref="AB100:AK100"/>
    <mergeCell ref="AA60:AA62"/>
    <mergeCell ref="Y60:Y62"/>
    <mergeCell ref="AB93:AK93"/>
    <mergeCell ref="AB94:AK94"/>
    <mergeCell ref="AB95:AK95"/>
    <mergeCell ref="X52:X88"/>
    <mergeCell ref="Z52:Z88"/>
    <mergeCell ref="AA54:AA56"/>
    <mergeCell ref="AA66:AA68"/>
    <mergeCell ref="AA75:AA77"/>
    <mergeCell ref="AA84:AA86"/>
    <mergeCell ref="Y54:Y56"/>
    <mergeCell ref="Y66:Y68"/>
    <mergeCell ref="Y75:Y77"/>
    <mergeCell ref="Y84:Y86"/>
    <mergeCell ref="AA78:AA80"/>
    <mergeCell ref="Y78:Y80"/>
    <mergeCell ref="AA69:AA71"/>
    <mergeCell ref="Y69:Y71"/>
    <mergeCell ref="AA57:AA59"/>
    <mergeCell ref="Y57:Y59"/>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92:AK92"/>
    <mergeCell ref="AB90:AK90"/>
    <mergeCell ref="AB91:AK91"/>
  </mergeCells>
  <dataValidations count="1">
    <dataValidation type="decimal" allowBlank="1" showErrorMessage="1" errorTitle="Ошибка" error="Допускается ввод только неотрицательных чисел!" sqref="AJ51 AJ54:AJ62 AJ64 AJ66:AJ71 AJ73 AJ75:AJ80 AJ82 AJ84:AJ86 AJ88 AI51 AI54:AI62 AI64 AI66:AI71 AI73 AI75:AI80 AI82 AI84:AI86 AI88 AH51 AH53 AH64:AH65 AH73:AH74 AH82:AH83 AH88 AG51 AG53 AG64:AG65 AG73:AG74 AG82:AG83 AG88 AF51 AF53 AF64:AF65 AF73:AF74 AF82:AF83 AF88 AE51 AE53 AE64:AE65 AE73:AE74 AE82:AE83 AE88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AE395-164E-99B3-B0C8-F36419EB7FB3}">
  <dimension ref="A1:AA17"/>
  <sheetViews>
    <sheetView showGridLines="0" showRowColHeaders="0" workbookViewId="0"/>
  </sheetViews>
  <sheetFormatPr defaultColWidth="10.42578125" defaultRowHeight="12.6" customHeight="1"/>
  <cols>
    <col min="1" max="1" width="5.140625" style="762" customWidth="1"/>
    <col min="2" max="2" width="8.5703125" style="333" customWidth="1"/>
    <col min="3" max="3" width="15.5703125" style="762" customWidth="1"/>
    <col min="4" max="25" width="6" style="762" customWidth="1"/>
    <col min="26" max="27" width="10.42578125" style="762"/>
  </cols>
  <sheetData>
    <row r="1" spans="1:27" ht="15.75" customHeight="1">
      <c r="A1" s="320"/>
      <c r="B1" s="332"/>
      <c r="C1" s="733"/>
      <c r="D1" s="733"/>
      <c r="E1" s="733"/>
      <c r="F1" s="733"/>
      <c r="G1" s="733"/>
      <c r="H1" s="733"/>
      <c r="I1" s="733"/>
      <c r="J1" s="733"/>
      <c r="K1" s="733"/>
      <c r="L1" s="733"/>
      <c r="M1" s="733"/>
      <c r="N1" s="733"/>
      <c r="O1" s="733"/>
      <c r="P1" s="733"/>
      <c r="Q1" s="733"/>
      <c r="R1" s="733"/>
      <c r="S1" s="733"/>
      <c r="T1" s="733"/>
      <c r="U1" s="733"/>
      <c r="V1" s="733"/>
      <c r="W1" s="733"/>
      <c r="X1" s="733"/>
      <c r="Y1" s="734"/>
      <c r="Z1" s="733"/>
      <c r="AA1" s="321" t="s">
        <v>3</v>
      </c>
    </row>
    <row r="2" spans="1:27" s="333" customFormat="1" ht="17.25" customHeight="1">
      <c r="A2" s="332"/>
      <c r="B2" s="937" t="s">
        <v>4</v>
      </c>
      <c r="C2" s="937"/>
      <c r="D2" s="937"/>
      <c r="E2" s="937"/>
      <c r="F2" s="937"/>
      <c r="G2" s="937"/>
      <c r="H2" s="937"/>
      <c r="I2" s="937"/>
      <c r="J2" s="937"/>
      <c r="K2" s="937"/>
      <c r="L2" s="937"/>
      <c r="M2" s="937"/>
      <c r="N2" s="937"/>
      <c r="O2" s="937"/>
      <c r="P2" s="937"/>
      <c r="Q2" s="735"/>
      <c r="R2" s="735"/>
      <c r="S2" s="735"/>
      <c r="T2" s="735"/>
      <c r="U2" s="735"/>
      <c r="V2" s="736"/>
      <c r="W2" s="735"/>
      <c r="X2" s="735"/>
      <c r="Y2" s="737"/>
      <c r="Z2" s="332"/>
      <c r="AA2" s="332"/>
    </row>
    <row r="3" spans="1:27" ht="15.75" customHeight="1">
      <c r="A3" s="733"/>
      <c r="B3" s="938" t="s">
        <v>5</v>
      </c>
      <c r="C3" s="938"/>
      <c r="D3" s="938"/>
      <c r="E3" s="938"/>
      <c r="F3" s="938"/>
      <c r="G3" s="938"/>
      <c r="H3" s="938"/>
      <c r="I3" s="938"/>
      <c r="J3" s="938"/>
      <c r="K3" s="938"/>
      <c r="L3" s="938"/>
      <c r="M3" s="938"/>
      <c r="N3" s="938"/>
      <c r="O3" s="938"/>
      <c r="P3" s="938"/>
      <c r="Q3" s="738"/>
      <c r="R3" s="738"/>
      <c r="S3" s="739"/>
      <c r="T3" s="739"/>
      <c r="U3" s="739"/>
      <c r="V3" s="738"/>
      <c r="W3" s="738"/>
      <c r="X3" s="738"/>
      <c r="Y3" s="738"/>
      <c r="Z3" s="733"/>
      <c r="AA3" s="321"/>
    </row>
    <row r="4" spans="1:27" ht="16.5" customHeight="1">
      <c r="A4" s="733"/>
      <c r="B4" s="334"/>
      <c r="C4" s="733"/>
      <c r="D4" s="738"/>
      <c r="E4" s="738"/>
      <c r="F4" s="738"/>
      <c r="G4" s="738"/>
      <c r="H4" s="738"/>
      <c r="I4" s="738"/>
      <c r="J4" s="738"/>
      <c r="K4" s="738"/>
      <c r="L4" s="738"/>
      <c r="M4" s="738"/>
      <c r="N4" s="738"/>
      <c r="O4" s="738"/>
      <c r="P4" s="738"/>
      <c r="Q4" s="738"/>
      <c r="R4" s="738"/>
      <c r="S4" s="738"/>
      <c r="T4" s="738"/>
      <c r="U4" s="738"/>
      <c r="V4" s="738"/>
      <c r="W4" s="738"/>
      <c r="X4" s="738"/>
      <c r="Y4" s="738"/>
      <c r="Z4" s="733"/>
      <c r="AA4" s="321"/>
    </row>
    <row r="5" spans="1:27" ht="22.5" customHeight="1">
      <c r="A5" s="740"/>
      <c r="B5" s="939"/>
      <c r="C5" s="940"/>
      <c r="D5" s="940"/>
      <c r="E5" s="940"/>
      <c r="F5" s="940"/>
      <c r="G5" s="940"/>
      <c r="H5" s="940"/>
      <c r="I5" s="940"/>
      <c r="J5" s="940"/>
      <c r="K5" s="940"/>
      <c r="L5" s="940"/>
      <c r="M5" s="940"/>
      <c r="N5" s="940"/>
      <c r="O5" s="940"/>
      <c r="P5" s="940"/>
      <c r="Q5" s="940"/>
      <c r="R5" s="940"/>
      <c r="S5" s="940"/>
      <c r="T5" s="940"/>
      <c r="U5" s="940"/>
      <c r="V5" s="940"/>
      <c r="W5" s="940"/>
      <c r="X5" s="940"/>
      <c r="Y5" s="941"/>
      <c r="Z5" s="740"/>
      <c r="AA5" s="321"/>
    </row>
    <row r="6" spans="1:27" ht="13.5" customHeight="1">
      <c r="A6" s="741"/>
      <c r="B6" s="929" t="s">
        <v>6</v>
      </c>
      <c r="C6" s="932"/>
      <c r="D6" s="742"/>
      <c r="E6" s="742"/>
      <c r="F6" s="742"/>
      <c r="G6" s="742"/>
      <c r="H6" s="742"/>
      <c r="I6" s="742"/>
      <c r="J6" s="742"/>
      <c r="K6" s="742"/>
      <c r="L6" s="742"/>
      <c r="M6" s="742"/>
      <c r="N6" s="742"/>
      <c r="O6" s="742"/>
      <c r="P6" s="742"/>
      <c r="Q6" s="742"/>
      <c r="R6" s="742"/>
      <c r="S6" s="742"/>
      <c r="T6" s="742"/>
      <c r="U6" s="742"/>
      <c r="V6" s="742"/>
      <c r="W6" s="742"/>
      <c r="X6" s="742"/>
      <c r="Y6" s="743"/>
      <c r="Z6" s="744"/>
      <c r="AA6" s="745"/>
    </row>
    <row r="7" spans="1:27" ht="13.5" customHeight="1">
      <c r="A7" s="741"/>
      <c r="B7" s="929"/>
      <c r="C7" s="932"/>
      <c r="D7" s="742"/>
      <c r="E7" s="742"/>
      <c r="F7" s="746"/>
      <c r="G7" s="746"/>
      <c r="H7" s="746"/>
      <c r="I7" s="746"/>
      <c r="J7" s="746"/>
      <c r="K7" s="746"/>
      <c r="L7" s="746"/>
      <c r="M7" s="746"/>
      <c r="N7" s="746"/>
      <c r="O7" s="742"/>
      <c r="P7" s="746"/>
      <c r="Q7" s="746"/>
      <c r="R7" s="746"/>
      <c r="S7" s="746"/>
      <c r="T7" s="746"/>
      <c r="U7" s="746"/>
      <c r="V7" s="746"/>
      <c r="W7" s="746"/>
      <c r="X7" s="746"/>
      <c r="Y7" s="743"/>
      <c r="Z7" s="744"/>
      <c r="AA7" s="745"/>
    </row>
    <row r="8" spans="1:27" ht="13.5" customHeight="1">
      <c r="A8" s="741"/>
      <c r="B8" s="929"/>
      <c r="C8" s="932"/>
      <c r="D8" s="747"/>
      <c r="E8" s="748" t="s">
        <v>7</v>
      </c>
      <c r="F8" s="942" t="s">
        <v>8</v>
      </c>
      <c r="G8" s="931"/>
      <c r="H8" s="931"/>
      <c r="I8" s="931"/>
      <c r="J8" s="931"/>
      <c r="K8" s="931"/>
      <c r="L8" s="931"/>
      <c r="M8" s="931"/>
      <c r="N8" s="747"/>
      <c r="O8" s="749" t="s">
        <v>7</v>
      </c>
      <c r="P8" s="943" t="s">
        <v>9</v>
      </c>
      <c r="Q8" s="944"/>
      <c r="R8" s="944"/>
      <c r="S8" s="944"/>
      <c r="T8" s="944"/>
      <c r="U8" s="944"/>
      <c r="V8" s="944"/>
      <c r="W8" s="944"/>
      <c r="X8" s="944"/>
      <c r="Y8" s="743"/>
      <c r="Z8" s="744"/>
      <c r="AA8" s="745"/>
    </row>
    <row r="9" spans="1:27" ht="13.5" customHeight="1">
      <c r="A9" s="741"/>
      <c r="B9" s="929"/>
      <c r="C9" s="932"/>
      <c r="D9" s="747"/>
      <c r="E9" s="750" t="s">
        <v>7</v>
      </c>
      <c r="F9" s="942" t="s">
        <v>10</v>
      </c>
      <c r="G9" s="931"/>
      <c r="H9" s="931"/>
      <c r="I9" s="931"/>
      <c r="J9" s="931"/>
      <c r="K9" s="931"/>
      <c r="L9" s="931"/>
      <c r="M9" s="931"/>
      <c r="N9" s="747"/>
      <c r="O9" s="751" t="s">
        <v>7</v>
      </c>
      <c r="P9" s="943" t="s">
        <v>11</v>
      </c>
      <c r="Q9" s="944"/>
      <c r="R9" s="944"/>
      <c r="S9" s="944"/>
      <c r="T9" s="944"/>
      <c r="U9" s="944"/>
      <c r="V9" s="944"/>
      <c r="W9" s="944"/>
      <c r="X9" s="944"/>
      <c r="Y9" s="743"/>
      <c r="Z9" s="744"/>
      <c r="AA9" s="745"/>
    </row>
    <row r="10" spans="1:27" ht="13.5" customHeight="1">
      <c r="A10" s="741"/>
      <c r="B10" s="929"/>
      <c r="C10" s="930"/>
      <c r="D10" s="747"/>
      <c r="E10" s="752" t="s">
        <v>7</v>
      </c>
      <c r="F10" s="944" t="s">
        <v>12</v>
      </c>
      <c r="G10" s="945"/>
      <c r="H10" s="945"/>
      <c r="I10" s="945"/>
      <c r="J10" s="945"/>
      <c r="K10" s="945"/>
      <c r="L10" s="945"/>
      <c r="M10" s="945"/>
      <c r="N10" s="945"/>
      <c r="O10" s="753" t="s">
        <v>7</v>
      </c>
      <c r="P10" s="944" t="s">
        <v>13</v>
      </c>
      <c r="Q10" s="945"/>
      <c r="R10" s="945"/>
      <c r="S10" s="945"/>
      <c r="T10" s="945"/>
      <c r="U10" s="945"/>
      <c r="V10" s="945"/>
      <c r="W10" s="945"/>
      <c r="X10" s="945"/>
      <c r="Y10" s="743"/>
      <c r="Z10" s="744"/>
      <c r="AA10" s="745"/>
    </row>
    <row r="11" spans="1:27" ht="30" customHeight="1">
      <c r="A11" s="741"/>
      <c r="B11" s="929"/>
      <c r="C11" s="930"/>
      <c r="D11" s="754"/>
      <c r="E11" s="755"/>
      <c r="F11" s="746"/>
      <c r="G11" s="746"/>
      <c r="H11" s="746"/>
      <c r="I11" s="746"/>
      <c r="J11" s="746"/>
      <c r="K11" s="746"/>
      <c r="L11" s="746"/>
      <c r="M11" s="746"/>
      <c r="N11" s="746"/>
      <c r="O11" s="755"/>
      <c r="P11" s="746"/>
      <c r="Q11" s="746"/>
      <c r="R11" s="746"/>
      <c r="S11" s="746"/>
      <c r="T11" s="746"/>
      <c r="U11" s="746"/>
      <c r="V11" s="746"/>
      <c r="W11" s="746"/>
      <c r="X11" s="746"/>
      <c r="Y11" s="743"/>
      <c r="Z11" s="744"/>
      <c r="AA11" s="745"/>
    </row>
    <row r="12" spans="1:27" ht="19.5" customHeight="1">
      <c r="A12" s="741"/>
      <c r="B12" s="927" t="s">
        <v>14</v>
      </c>
      <c r="C12" s="928"/>
      <c r="D12" s="747"/>
      <c r="E12" s="756"/>
      <c r="F12" s="756"/>
      <c r="G12" s="756"/>
      <c r="H12" s="756"/>
      <c r="I12" s="756"/>
      <c r="J12" s="756"/>
      <c r="K12" s="756"/>
      <c r="L12" s="756"/>
      <c r="M12" s="756"/>
      <c r="N12" s="756"/>
      <c r="O12" s="756"/>
      <c r="P12" s="756"/>
      <c r="Q12" s="756"/>
      <c r="R12" s="756"/>
      <c r="S12" s="756"/>
      <c r="T12" s="756"/>
      <c r="U12" s="756"/>
      <c r="V12" s="756"/>
      <c r="W12" s="756"/>
      <c r="X12" s="756"/>
      <c r="Y12" s="743"/>
      <c r="Z12" s="744"/>
      <c r="AA12" s="745"/>
    </row>
    <row r="13" spans="1:27" ht="68.25" customHeight="1">
      <c r="A13" s="741"/>
      <c r="B13" s="929"/>
      <c r="C13" s="930"/>
      <c r="D13" s="757"/>
      <c r="E13" s="931" t="s">
        <v>15</v>
      </c>
      <c r="F13" s="931"/>
      <c r="G13" s="931"/>
      <c r="H13" s="931"/>
      <c r="I13" s="931"/>
      <c r="J13" s="931"/>
      <c r="K13" s="931"/>
      <c r="L13" s="931"/>
      <c r="M13" s="931"/>
      <c r="N13" s="931"/>
      <c r="O13" s="931"/>
      <c r="P13" s="931"/>
      <c r="Q13" s="931"/>
      <c r="R13" s="931"/>
      <c r="S13" s="931"/>
      <c r="T13" s="931"/>
      <c r="U13" s="931"/>
      <c r="V13" s="931"/>
      <c r="W13" s="931"/>
      <c r="X13" s="931"/>
      <c r="Y13" s="743"/>
      <c r="Z13" s="744"/>
      <c r="AA13" s="745"/>
    </row>
    <row r="14" spans="1:27" ht="13.5" customHeight="1">
      <c r="A14" s="741"/>
      <c r="B14" s="927" t="s">
        <v>16</v>
      </c>
      <c r="C14" s="928"/>
      <c r="D14" s="742"/>
      <c r="E14" s="756"/>
      <c r="F14" s="756"/>
      <c r="G14" s="756"/>
      <c r="H14" s="756"/>
      <c r="I14" s="756"/>
      <c r="J14" s="756"/>
      <c r="K14" s="756"/>
      <c r="L14" s="756"/>
      <c r="M14" s="756"/>
      <c r="N14" s="756"/>
      <c r="O14" s="756"/>
      <c r="P14" s="756"/>
      <c r="Q14" s="756"/>
      <c r="R14" s="756"/>
      <c r="S14" s="756"/>
      <c r="T14" s="756"/>
      <c r="U14" s="756"/>
      <c r="V14" s="756"/>
      <c r="W14" s="756"/>
      <c r="X14" s="756"/>
      <c r="Y14" s="743"/>
      <c r="Z14" s="744"/>
      <c r="AA14" s="745"/>
    </row>
    <row r="15" spans="1:27" ht="65.25" customHeight="1">
      <c r="A15" s="741"/>
      <c r="B15" s="929"/>
      <c r="C15" s="932"/>
      <c r="D15" s="747"/>
      <c r="E15" s="935" t="s">
        <v>17</v>
      </c>
      <c r="F15" s="935"/>
      <c r="G15" s="935"/>
      <c r="H15" s="935"/>
      <c r="I15" s="935"/>
      <c r="J15" s="935"/>
      <c r="K15" s="935"/>
      <c r="L15" s="935"/>
      <c r="M15" s="935"/>
      <c r="N15" s="935"/>
      <c r="O15" s="935"/>
      <c r="P15" s="935"/>
      <c r="Q15" s="935"/>
      <c r="R15" s="935"/>
      <c r="S15" s="935"/>
      <c r="T15" s="935"/>
      <c r="U15" s="935"/>
      <c r="V15" s="935"/>
      <c r="W15" s="935"/>
      <c r="X15" s="935"/>
      <c r="Y15" s="743"/>
      <c r="Z15" s="744"/>
      <c r="AA15" s="745"/>
    </row>
    <row r="16" spans="1:27" ht="16.5" customHeight="1">
      <c r="A16" s="741"/>
      <c r="B16" s="933"/>
      <c r="C16" s="934"/>
      <c r="D16" s="758"/>
      <c r="E16" s="759"/>
      <c r="F16" s="759"/>
      <c r="G16" s="759"/>
      <c r="H16" s="759"/>
      <c r="I16" s="759"/>
      <c r="J16" s="759"/>
      <c r="K16" s="759"/>
      <c r="L16" s="759"/>
      <c r="M16" s="759"/>
      <c r="N16" s="759"/>
      <c r="O16" s="759"/>
      <c r="P16" s="759"/>
      <c r="Q16" s="759"/>
      <c r="R16" s="759"/>
      <c r="S16" s="759"/>
      <c r="T16" s="759"/>
      <c r="U16" s="759"/>
      <c r="V16" s="759"/>
      <c r="W16" s="759"/>
      <c r="X16" s="759"/>
      <c r="Y16" s="760"/>
      <c r="Z16" s="744"/>
      <c r="AA16" s="761"/>
    </row>
    <row r="17" spans="1:27" ht="95.25" customHeight="1">
      <c r="A17" s="733"/>
      <c r="B17" s="935"/>
      <c r="C17" s="936"/>
      <c r="D17" s="936"/>
      <c r="E17" s="936"/>
      <c r="F17" s="936"/>
      <c r="G17" s="936"/>
      <c r="H17" s="936"/>
      <c r="I17" s="936"/>
      <c r="J17" s="936"/>
      <c r="K17" s="936"/>
      <c r="L17" s="936"/>
      <c r="M17" s="936"/>
      <c r="N17" s="936"/>
      <c r="O17" s="936"/>
      <c r="P17" s="936"/>
      <c r="Q17" s="936"/>
      <c r="R17" s="936"/>
      <c r="S17" s="936"/>
      <c r="T17" s="936"/>
      <c r="U17" s="936"/>
      <c r="V17" s="936"/>
      <c r="W17" s="936"/>
      <c r="X17" s="936"/>
      <c r="Y17" s="936"/>
      <c r="Z17" s="733"/>
      <c r="AA17" s="321"/>
    </row>
  </sheetData>
  <sheetProtection insertRows="0" deleteColumns="0" deleteRows="0" sort="0" autoFilter="0"/>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9B8E-9E78-A1F8-0DE8-14D9B905A178}">
  <sheetPr>
    <tabColor rgb="FF002060"/>
    <outlinePr summaryBelow="0"/>
    <pageSetUpPr fitToPage="1"/>
  </sheetPr>
  <dimension ref="A1:AN83"/>
  <sheetViews>
    <sheetView showGridLines="0" zoomScale="110" workbookViewId="0">
      <pane xSplit="30" ySplit="25" topLeftCell="AE73" activePane="bottomRight" state="frozen"/>
      <selection pane="topRight" activeCell="AE1" sqref="AE1"/>
      <selection pane="bottomLeft" activeCell="A26" sqref="A26"/>
      <selection pane="bottomRight" activeCell="AJ55" sqref="AJ55"/>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2"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3.7109375" style="17" customWidth="1"/>
    <col min="30" max="30" width="12" style="17" customWidth="1"/>
    <col min="31" max="32" width="13" style="17" customWidth="1"/>
    <col min="33" max="33" width="14.28515625" style="17" customWidth="1"/>
    <col min="34" max="34" width="13.42578125" style="17" customWidth="1"/>
    <col min="35" max="36" width="13" style="17" customWidth="1"/>
    <col min="37" max="37" width="78.7109375" style="17" customWidth="1"/>
    <col min="38" max="38" width="3" style="17" customWidth="1"/>
    <col min="39" max="39" width="9.140625" style="17" hidden="1"/>
    <col min="40" max="40" width="9.140625" style="669" hidden="1"/>
  </cols>
  <sheetData>
    <row r="1" spans="1:40" ht="11.25" hidden="1" customHeight="1">
      <c r="E1" s="17"/>
      <c r="F1" s="17" t="s">
        <v>309</v>
      </c>
      <c r="H1" s="17" t="s">
        <v>320</v>
      </c>
      <c r="T1" s="351" t="s">
        <v>92</v>
      </c>
      <c r="U1" s="351" t="s">
        <v>97</v>
      </c>
      <c r="V1" s="351" t="s">
        <v>93</v>
      </c>
      <c r="W1" s="351" t="s">
        <v>94</v>
      </c>
      <c r="X1" s="351" t="s">
        <v>95</v>
      </c>
      <c r="Y1" s="353" t="s">
        <v>311</v>
      </c>
      <c r="Z1" s="351" t="s">
        <v>99</v>
      </c>
      <c r="AA1" s="352" t="s">
        <v>96</v>
      </c>
      <c r="AB1" s="4"/>
      <c r="AC1" s="352" t="s">
        <v>98</v>
      </c>
      <c r="AN1" s="669" t="s">
        <v>312</v>
      </c>
    </row>
    <row r="2" spans="1:40" s="46" customFormat="1" ht="11.25" hidden="1" customHeight="1">
      <c r="B2" s="340" t="s">
        <v>18</v>
      </c>
      <c r="AI2" s="341" t="b">
        <f>AI6&lt;=last_year_vis</f>
        <v>1</v>
      </c>
      <c r="AJ2" s="341" t="b">
        <f>AJ6&lt;=last_year_vis</f>
        <v>1</v>
      </c>
      <c r="AN2" s="670"/>
    </row>
    <row r="3" spans="1:40" ht="11.25" hidden="1" customHeight="1">
      <c r="E3" s="17"/>
    </row>
    <row r="4" spans="1:40" ht="11.25" hidden="1" customHeight="1">
      <c r="E4" s="17"/>
    </row>
    <row r="5" spans="1:40" s="459" customFormat="1" ht="11.25" hidden="1" customHeight="1">
      <c r="A5" s="17"/>
      <c r="B5" s="46"/>
      <c r="C5" s="17"/>
      <c r="D5" s="17"/>
      <c r="E5" s="459" t="s">
        <v>19</v>
      </c>
      <c r="R5" s="445"/>
      <c r="AA5" s="459">
        <v>3</v>
      </c>
      <c r="AB5" s="459">
        <v>11</v>
      </c>
      <c r="AC5" s="459">
        <v>55</v>
      </c>
      <c r="AD5" s="459">
        <v>12</v>
      </c>
      <c r="AE5" s="459">
        <v>13</v>
      </c>
      <c r="AF5" s="459">
        <v>13</v>
      </c>
      <c r="AG5" s="459">
        <v>13</v>
      </c>
      <c r="AH5" s="459">
        <v>13</v>
      </c>
      <c r="AI5" s="459">
        <v>13</v>
      </c>
      <c r="AJ5" s="459">
        <v>13</v>
      </c>
      <c r="AK5" s="459">
        <v>20</v>
      </c>
      <c r="AL5" s="459">
        <v>3</v>
      </c>
      <c r="AN5" s="669"/>
    </row>
    <row r="6" spans="1:40" ht="11.25" hidden="1" customHeight="1">
      <c r="A6" s="17" t="s">
        <v>349</v>
      </c>
      <c r="AE6" s="17">
        <f>god-2</f>
        <v>2024</v>
      </c>
      <c r="AF6" s="17">
        <f>god-2</f>
        <v>2024</v>
      </c>
      <c r="AG6" s="17">
        <f>god-2</f>
        <v>2024</v>
      </c>
      <c r="AH6" s="17">
        <f>god-1</f>
        <v>2025</v>
      </c>
      <c r="AI6" s="17" cm="1">
        <f t="array" ref="AI6">god</f>
        <v>2026</v>
      </c>
      <c r="AJ6" s="17" cm="1">
        <f t="array" ref="AJ6">god</f>
        <v>2026</v>
      </c>
    </row>
    <row r="7" spans="1:40" ht="11.25" hidden="1" customHeight="1">
      <c r="A7" s="17"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669" customFormat="1" ht="11.25" hidden="1" customHeight="1">
      <c r="A9" s="669" t="s">
        <v>354</v>
      </c>
      <c r="B9" s="670"/>
      <c r="R9" s="671"/>
      <c r="AE9" s="669" cm="1">
        <f t="array" ref="AE9">AE6</f>
        <v>2024</v>
      </c>
      <c r="AF9" s="669" cm="1">
        <f t="array" ref="AF9">AF6</f>
        <v>2024</v>
      </c>
      <c r="AG9" s="669" cm="1">
        <f t="array" ref="AG9">AG6</f>
        <v>2024</v>
      </c>
      <c r="AH9" s="669" cm="1">
        <f t="array" ref="AH9">AH6</f>
        <v>2025</v>
      </c>
      <c r="AI9" s="669" cm="1">
        <f t="array" ref="AI9">AI6</f>
        <v>2026</v>
      </c>
      <c r="AJ9" s="669" cm="1">
        <f t="array" ref="AJ9">AJ6</f>
        <v>2026</v>
      </c>
    </row>
    <row r="10" spans="1:40" s="669" customFormat="1" ht="11.25" hidden="1" customHeight="1">
      <c r="A10" s="669" t="s">
        <v>355</v>
      </c>
      <c r="B10" s="670"/>
      <c r="R10" s="671"/>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Принято органом регулирования</v>
      </c>
    </row>
    <row r="11" spans="1:40" s="669" customFormat="1" ht="11.25" hidden="1" customHeight="1">
      <c r="A11" s="669" t="s">
        <v>356</v>
      </c>
      <c r="B11" s="670"/>
      <c r="R11" s="671"/>
      <c r="AK11" s="680"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1:40" ht="11.25" hidden="1" customHeight="1">
      <c r="AK17" s="66"/>
    </row>
    <row r="18" spans="1:40" ht="11.25" hidden="1" customHeight="1"/>
    <row r="19" spans="1:40" ht="11.25" hidden="1" customHeight="1"/>
    <row r="20" spans="1:40" ht="11.25" hidden="1" customHeight="1"/>
    <row r="21" spans="1:40" ht="14.65" customHeight="1">
      <c r="E21" s="459">
        <v>15</v>
      </c>
      <c r="AA21" s="324"/>
      <c r="AC21" s="3" t="str" cm="1">
        <f t="array" ref="AC21">tpl_title</f>
        <v>Кемеровская область / 2026 / МУП "Водоканал" (ИНН:4202043124, КПП:420201001) / ДПР: 2026-2028</v>
      </c>
    </row>
    <row r="22" spans="1:40" s="59" customFormat="1" ht="19.7" customHeight="1">
      <c r="B22" s="46"/>
      <c r="E22" s="460">
        <v>20.25</v>
      </c>
      <c r="R22" s="3"/>
      <c r="AB22" s="225" t="s">
        <v>63</v>
      </c>
      <c r="AC22" s="253"/>
      <c r="AD22" s="253"/>
      <c r="AE22" s="253"/>
      <c r="AF22" s="253"/>
      <c r="AG22" s="253"/>
      <c r="AH22" s="253"/>
      <c r="AI22" s="253"/>
      <c r="AJ22" s="253"/>
      <c r="AK22" s="253"/>
      <c r="AN22" s="672"/>
    </row>
    <row r="23" spans="1:40" s="59" customFormat="1" ht="10.9" customHeight="1">
      <c r="B23" s="46"/>
      <c r="E23" s="460">
        <v>11.25</v>
      </c>
      <c r="R23" s="3"/>
      <c r="AB23" s="254"/>
      <c r="AC23" s="115"/>
      <c r="AD23" s="115"/>
      <c r="AE23" s="115"/>
      <c r="AF23" s="115"/>
      <c r="AG23" s="115"/>
      <c r="AH23" s="115"/>
      <c r="AI23" s="115"/>
      <c r="AJ23" s="115"/>
      <c r="AK23" s="115"/>
      <c r="AN23" s="672"/>
    </row>
    <row r="24" spans="1:40" s="60" customFormat="1" ht="14.65" customHeight="1">
      <c r="B24" s="325"/>
      <c r="E24" s="457">
        <v>15</v>
      </c>
      <c r="R24" s="252"/>
      <c r="AB24" s="1028" t="s">
        <v>841</v>
      </c>
      <c r="AC24" s="1074" t="s">
        <v>192</v>
      </c>
      <c r="AD24" s="1028" t="s">
        <v>359</v>
      </c>
      <c r="AE24" s="10" t="str">
        <f>god-2&amp;" год"</f>
        <v>2024 год</v>
      </c>
      <c r="AF24" s="726" t="str">
        <f>god-2&amp;" год"</f>
        <v>2024 год</v>
      </c>
      <c r="AG24" s="10" t="str">
        <f>god-2&amp;" год"</f>
        <v>2024 год</v>
      </c>
      <c r="AH24" s="10" t="str">
        <f>god-1&amp;" год"</f>
        <v>2025 год</v>
      </c>
      <c r="AI24" s="724" t="str">
        <f>god&amp;" год"</f>
        <v>2026 год</v>
      </c>
      <c r="AJ24" s="11" t="str">
        <f>god&amp;" год"</f>
        <v>2026 год</v>
      </c>
      <c r="AK24" s="1051" t="s">
        <v>580</v>
      </c>
      <c r="AN24" s="667"/>
    </row>
    <row r="25" spans="1:40" s="60" customFormat="1" ht="44.1" customHeight="1">
      <c r="B25" s="325"/>
      <c r="E25" s="457">
        <v>45.25</v>
      </c>
      <c r="R25" s="252"/>
      <c r="AB25" s="1083"/>
      <c r="AC25" s="1083"/>
      <c r="AD25" s="1083"/>
      <c r="AE25" s="10" t="s">
        <v>351</v>
      </c>
      <c r="AF25" s="726" t="s">
        <v>495</v>
      </c>
      <c r="AG25" s="10" t="s">
        <v>496</v>
      </c>
      <c r="AH25" s="10" t="s">
        <v>351</v>
      </c>
      <c r="AI25" s="728" t="s">
        <v>352</v>
      </c>
      <c r="AJ25" s="261" t="s">
        <v>351</v>
      </c>
      <c r="AK25" s="1083"/>
      <c r="AN25" s="667"/>
    </row>
    <row r="26" spans="1:40" ht="15" hidden="1" customHeight="1">
      <c r="C26"/>
      <c r="D26"/>
      <c r="E26" s="178">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c r="C27" s="62"/>
      <c r="D27" s="62"/>
      <c r="E27" s="178">
        <v>11.25</v>
      </c>
      <c r="F27" s="17" cm="1">
        <f t="array" ref="F27">X27</f>
        <v>0</v>
      </c>
      <c r="G27" s="62"/>
      <c r="H27" s="62"/>
      <c r="I27" s="62"/>
      <c r="J27" s="62"/>
      <c r="K27" s="62"/>
      <c r="L27" s="62"/>
      <c r="M27" s="62"/>
      <c r="N27" s="62"/>
      <c r="O27" s="62"/>
      <c r="P27" s="62"/>
      <c r="Q27" s="62"/>
      <c r="R27" s="62"/>
      <c r="S27" s="62"/>
      <c r="T27" s="351" t="b">
        <f>X27&gt;0</f>
        <v>0</v>
      </c>
      <c r="U27" s="62"/>
      <c r="V27" s="62" t="s">
        <v>266</v>
      </c>
      <c r="W27" s="62"/>
      <c r="X27" s="998">
        <v>0</v>
      </c>
      <c r="Y27" s="62"/>
      <c r="Z27" s="1026"/>
      <c r="AA27" s="62"/>
      <c r="AB27" s="155" t="str" cm="1">
        <f t="array" ref="AB27">INDEX('Общие сведения'!$AG$179:$AG$208,MATCH($X27,'Общие сведения'!$Z$179:$Z$208,0))</f>
        <v xml:space="preserve">Тариф 0 () - </v>
      </c>
      <c r="AC27" s="94"/>
      <c r="AD27" s="94"/>
      <c r="AE27" s="213">
        <f t="shared" ref="AE27:AJ27" ca="1" si="0">AE28+AE29+AE30+AE38+AE39+AE40+AE41+AE42</f>
        <v>0</v>
      </c>
      <c r="AF27" s="213">
        <f t="shared" ca="1" si="0"/>
        <v>0</v>
      </c>
      <c r="AG27" s="213">
        <f t="shared" ca="1" si="0"/>
        <v>0</v>
      </c>
      <c r="AH27" s="213">
        <f t="shared" ca="1" si="0"/>
        <v>0</v>
      </c>
      <c r="AI27" s="213">
        <f t="shared" ca="1" si="0"/>
        <v>0</v>
      </c>
      <c r="AJ27" s="213">
        <f t="shared" ca="1" si="0"/>
        <v>0</v>
      </c>
      <c r="AK27" s="88"/>
      <c r="AL27" s="62"/>
    </row>
    <row r="28" spans="1:40" ht="21.95" hidden="1" customHeight="1">
      <c r="C28" s="62"/>
      <c r="D28" s="62"/>
      <c r="E28" s="178">
        <v>22.5</v>
      </c>
      <c r="F28" s="3" cm="1">
        <f t="array" aca="1" ref="F28" ca="1">OFFSET(E28,-1,1)</f>
        <v>0</v>
      </c>
      <c r="G28" s="62"/>
      <c r="H28" s="42" t="s">
        <v>321</v>
      </c>
      <c r="I28" s="62"/>
      <c r="J28" s="62"/>
      <c r="K28" s="62"/>
      <c r="L28" s="62"/>
      <c r="M28" s="62"/>
      <c r="N28" s="62"/>
      <c r="O28" s="62"/>
      <c r="P28" s="62"/>
      <c r="Q28" s="62"/>
      <c r="R28" s="62"/>
      <c r="S28" s="62"/>
      <c r="T28" s="351" t="b" cm="1">
        <f t="array" ref="T28">T27</f>
        <v>0</v>
      </c>
      <c r="U28" s="62"/>
      <c r="V28" s="62"/>
      <c r="W28" s="62"/>
      <c r="X28" s="998"/>
      <c r="Y28" s="62"/>
      <c r="Z28" s="1026"/>
      <c r="AA28" s="62"/>
      <c r="AB28" s="255">
        <v>1</v>
      </c>
      <c r="AC28" s="245" t="s">
        <v>1159</v>
      </c>
      <c r="AD28" s="9" t="s">
        <v>859</v>
      </c>
      <c r="AE28" s="404">
        <f ca="1">SUMIFS(ФОТ!AE$25:AE$89,ФОТ!$F$25:$F$89,$F28,ФОТ!$AC$25:$AC$89,$AC28)</f>
        <v>0</v>
      </c>
      <c r="AF28" s="404">
        <f ca="1">SUMIFS(ФОТ!AF$25:AF$89,ФОТ!$F$25:$F$89,$F28,ФОТ!$AC$25:$AC$89,$AC28)</f>
        <v>0</v>
      </c>
      <c r="AG28" s="404">
        <f ca="1">SUMIFS(ФОТ!AG$25:AG$89,ФОТ!$F$25:$F$89,$F28,ФОТ!$AC$25:$AC$89,$AC28)</f>
        <v>0</v>
      </c>
      <c r="AH28" s="404">
        <f ca="1">SUMIFS(ФОТ!AH$25:AH$89,ФОТ!$F$25:$F$89,$F28,ФОТ!$AC$25:$AC$89,$AC28)</f>
        <v>0</v>
      </c>
      <c r="AI28" s="404">
        <f ca="1">SUMIFS(ФОТ!AI$25:AI$89,ФОТ!$F$25:$F$89,$F28,ФОТ!$AC$25:$AC$89,$AC28)</f>
        <v>0</v>
      </c>
      <c r="AJ28" s="404">
        <f ca="1">SUMIFS(ФОТ!AJ$25:AJ$89,ФОТ!$F$25:$F$89,$F28,ФОТ!$AC$25:$AC$89,$AC28)</f>
        <v>0</v>
      </c>
      <c r="AK28" s="827"/>
      <c r="AL28" s="62"/>
      <c r="AN28" s="669" t="s">
        <v>1197</v>
      </c>
    </row>
    <row r="29" spans="1:40" ht="21.95" hidden="1" customHeight="1">
      <c r="C29" s="62"/>
      <c r="D29" s="62"/>
      <c r="E29" s="178">
        <v>22.5</v>
      </c>
      <c r="F29" s="3" cm="1">
        <f t="array" aca="1" ref="F29" ca="1">OFFSET(E29,-1,1)</f>
        <v>0</v>
      </c>
      <c r="G29" s="62"/>
      <c r="H29" s="42" t="s">
        <v>322</v>
      </c>
      <c r="I29" s="62"/>
      <c r="J29" s="362"/>
      <c r="K29" s="362"/>
      <c r="L29" s="362"/>
      <c r="M29" s="62"/>
      <c r="N29" s="62"/>
      <c r="O29" s="62"/>
      <c r="P29" s="62"/>
      <c r="Q29" s="62"/>
      <c r="R29" s="62"/>
      <c r="S29" s="62"/>
      <c r="T29" s="351" t="b" cm="1">
        <f t="array" ref="T29">T28</f>
        <v>0</v>
      </c>
      <c r="U29" s="62"/>
      <c r="V29" s="62"/>
      <c r="W29" s="62"/>
      <c r="X29" s="998"/>
      <c r="Y29" s="62"/>
      <c r="Z29" s="1026"/>
      <c r="AA29" s="62"/>
      <c r="AB29" s="255" t="s">
        <v>435</v>
      </c>
      <c r="AC29" s="245" t="s">
        <v>1164</v>
      </c>
      <c r="AD29" s="9" t="s">
        <v>859</v>
      </c>
      <c r="AE29" s="404">
        <f ca="1">SUMIFS(ФОТ!AE$25:AE$89,ФОТ!$F$25:$F$89,$F29,ФОТ!$AC$25:$AC$89,$AC29)</f>
        <v>0</v>
      </c>
      <c r="AF29" s="404">
        <f ca="1">SUMIFS(ФОТ!AF$25:AF$89,ФОТ!$F$25:$F$89,$F29,ФОТ!$AC$25:$AC$89,$AC29)</f>
        <v>0</v>
      </c>
      <c r="AG29" s="404">
        <f ca="1">SUMIFS(ФОТ!AG$25:AG$89,ФОТ!$F$25:$F$89,$F29,ФОТ!$AC$25:$AC$89,$AC29)</f>
        <v>0</v>
      </c>
      <c r="AH29" s="404">
        <f ca="1">SUMIFS(ФОТ!AH$25:AH$89,ФОТ!$F$25:$F$89,$F29,ФОТ!$AC$25:$AC$89,$AC29)</f>
        <v>0</v>
      </c>
      <c r="AI29" s="404">
        <f ca="1">SUMIFS(ФОТ!AI$25:AI$89,ФОТ!$F$25:$F$89,$F29,ФОТ!$AC$25:$AC$89,$AC29)</f>
        <v>0</v>
      </c>
      <c r="AJ29" s="404">
        <f ca="1">SUMIFS(ФОТ!AJ$25:AJ$89,ФОТ!$F$25:$F$89,$F29,ФОТ!$AC$25:$AC$89,$AC29)</f>
        <v>0</v>
      </c>
      <c r="AK29" s="827"/>
      <c r="AL29" s="62"/>
      <c r="AN29" s="669" t="s">
        <v>1165</v>
      </c>
    </row>
    <row r="30" spans="1:40" ht="32.85" hidden="1" customHeight="1">
      <c r="C30" s="62"/>
      <c r="D30" s="62"/>
      <c r="E30" s="178">
        <v>33.75</v>
      </c>
      <c r="F30" s="3" cm="1">
        <f t="array" aca="1" ref="F30" ca="1">OFFSET(E30,-1,1)</f>
        <v>0</v>
      </c>
      <c r="G30" s="252" t="s">
        <v>1198</v>
      </c>
      <c r="H30" s="42" t="s">
        <v>323</v>
      </c>
      <c r="I30" s="62"/>
      <c r="J30" s="362"/>
      <c r="K30" s="362" t="str">
        <f ca="1">F30&amp;"17komm"</f>
        <v>017komm</v>
      </c>
      <c r="L30" s="605" cm="1">
        <f t="array" ref="L30">AK30</f>
        <v>0</v>
      </c>
      <c r="M30" s="62"/>
      <c r="N30" s="62"/>
      <c r="O30" s="62"/>
      <c r="P30" s="62"/>
      <c r="Q30" s="62"/>
      <c r="R30" s="62"/>
      <c r="S30" s="62"/>
      <c r="T30" s="351" t="b" cm="1">
        <f t="array" ref="T30">T29</f>
        <v>0</v>
      </c>
      <c r="U30" s="62"/>
      <c r="V30" s="62"/>
      <c r="W30" s="62"/>
      <c r="X30" s="998"/>
      <c r="Y30" s="62"/>
      <c r="Z30" s="1026"/>
      <c r="AA30" s="62"/>
      <c r="AB30" s="255" t="s">
        <v>319</v>
      </c>
      <c r="AC30" s="245" t="s">
        <v>1199</v>
      </c>
      <c r="AD30" s="9" t="s">
        <v>859</v>
      </c>
      <c r="AE30" s="151">
        <f t="shared" ref="AE30:AJ30" si="1">SUM(AE31:AE37)</f>
        <v>0</v>
      </c>
      <c r="AF30" s="151">
        <f t="shared" si="1"/>
        <v>0</v>
      </c>
      <c r="AG30" s="151">
        <f t="shared" si="1"/>
        <v>0</v>
      </c>
      <c r="AH30" s="151">
        <f t="shared" si="1"/>
        <v>0</v>
      </c>
      <c r="AI30" s="151">
        <f t="shared" si="1"/>
        <v>0</v>
      </c>
      <c r="AJ30" s="151">
        <f t="shared" si="1"/>
        <v>0</v>
      </c>
      <c r="AK30" s="827"/>
      <c r="AL30" s="62"/>
      <c r="AN30" s="669" t="s">
        <v>1200</v>
      </c>
    </row>
    <row r="31" spans="1:40" ht="14.65" hidden="1" customHeight="1">
      <c r="A31"/>
      <c r="B31" s="326"/>
      <c r="C31" s="62"/>
      <c r="D31" s="62"/>
      <c r="E31" s="178">
        <v>15</v>
      </c>
      <c r="F31" s="764" cm="1">
        <f t="array" aca="1" ref="F31" ca="1">OFFSET(E31,-1,1)</f>
        <v>0</v>
      </c>
      <c r="G31" s="72" t="s">
        <v>1201</v>
      </c>
      <c r="H31" s="42" t="s">
        <v>966</v>
      </c>
      <c r="I31" s="62"/>
      <c r="J31" s="362"/>
      <c r="K31" s="362" t="str">
        <f ca="1">F31&amp;"18komm"</f>
        <v>018komm</v>
      </c>
      <c r="L31" s="605" cm="1">
        <f t="array" ref="L31">AK31</f>
        <v>0</v>
      </c>
      <c r="M31" s="62"/>
      <c r="N31" s="62"/>
      <c r="O31" s="62"/>
      <c r="P31" s="62"/>
      <c r="Q31" s="62"/>
      <c r="R31" s="62"/>
      <c r="S31" s="62"/>
      <c r="T31" s="351" t="b" cm="1">
        <f t="array" ref="T31">T30</f>
        <v>0</v>
      </c>
      <c r="U31" s="62"/>
      <c r="V31" s="62"/>
      <c r="W31" s="62"/>
      <c r="X31" s="998"/>
      <c r="Y31" s="62"/>
      <c r="Z31" s="1026"/>
      <c r="AA31" s="62"/>
      <c r="AB31" s="255" t="s">
        <v>602</v>
      </c>
      <c r="AC31" s="127" t="s">
        <v>1202</v>
      </c>
      <c r="AD31" s="9" t="s">
        <v>859</v>
      </c>
      <c r="AE31" s="888"/>
      <c r="AF31" s="888"/>
      <c r="AG31" s="888"/>
      <c r="AH31" s="888"/>
      <c r="AI31" s="142"/>
      <c r="AJ31" s="142"/>
      <c r="AK31" s="827"/>
      <c r="AL31" s="62"/>
      <c r="AM31"/>
      <c r="AN31" s="659" t="s">
        <v>1203</v>
      </c>
    </row>
    <row r="32" spans="1:40" s="62" customFormat="1" ht="14.65" hidden="1" customHeight="1">
      <c r="B32" s="325"/>
      <c r="E32" s="178">
        <v>15</v>
      </c>
      <c r="F32" s="3" cm="1">
        <f t="array" aca="1" ref="F32" ca="1">OFFSET(E32,-1,1)</f>
        <v>0</v>
      </c>
      <c r="G32" s="72" t="s">
        <v>1204</v>
      </c>
      <c r="H32" s="42" t="s">
        <v>968</v>
      </c>
      <c r="J32" s="362"/>
      <c r="K32" s="362" t="str">
        <f ca="1">F32&amp;"11komm"</f>
        <v>011komm</v>
      </c>
      <c r="L32" s="605" cm="1">
        <f t="array" ref="L32">AK32</f>
        <v>0</v>
      </c>
      <c r="T32" s="351" t="b" cm="1">
        <f t="array" ref="T32">T31</f>
        <v>0</v>
      </c>
      <c r="X32" s="998"/>
      <c r="Z32" s="1026"/>
      <c r="AB32" s="255" t="s">
        <v>606</v>
      </c>
      <c r="AC32" s="127" t="s">
        <v>1205</v>
      </c>
      <c r="AD32" s="9" t="s">
        <v>859</v>
      </c>
      <c r="AE32" s="888"/>
      <c r="AF32" s="888"/>
      <c r="AG32" s="888"/>
      <c r="AH32" s="888"/>
      <c r="AI32" s="142"/>
      <c r="AJ32" s="142"/>
      <c r="AK32" s="827"/>
      <c r="AN32" s="676" t="s">
        <v>1206</v>
      </c>
    </row>
    <row r="33" spans="2:40" s="62" customFormat="1" ht="14.65" hidden="1" customHeight="1">
      <c r="B33" s="325"/>
      <c r="E33" s="178">
        <v>15</v>
      </c>
      <c r="F33" s="3" cm="1">
        <f t="array" aca="1" ref="F33" ca="1">OFFSET(E33,-1,1)</f>
        <v>0</v>
      </c>
      <c r="G33" s="72" t="s">
        <v>1207</v>
      </c>
      <c r="H33" s="42" t="s">
        <v>970</v>
      </c>
      <c r="J33" s="362"/>
      <c r="K33" s="362" t="str">
        <f ca="1">F33&amp;"12komm"</f>
        <v>012komm</v>
      </c>
      <c r="L33" s="605" cm="1">
        <f t="array" ref="L33">AK33</f>
        <v>0</v>
      </c>
      <c r="T33" s="351" t="b" cm="1">
        <f t="array" ref="T33">T32</f>
        <v>0</v>
      </c>
      <c r="X33" s="998"/>
      <c r="Z33" s="1026"/>
      <c r="AB33" s="255" t="s">
        <v>818</v>
      </c>
      <c r="AC33" s="127" t="s">
        <v>1208</v>
      </c>
      <c r="AD33" s="9" t="s">
        <v>859</v>
      </c>
      <c r="AE33" s="888"/>
      <c r="AF33" s="888"/>
      <c r="AG33" s="888"/>
      <c r="AH33" s="888"/>
      <c r="AI33" s="142"/>
      <c r="AJ33" s="142"/>
      <c r="AK33" s="827"/>
      <c r="AN33" s="676" t="s">
        <v>1209</v>
      </c>
    </row>
    <row r="34" spans="2:40" s="62" customFormat="1" ht="14.65" hidden="1" customHeight="1">
      <c r="B34" s="325"/>
      <c r="E34" s="178">
        <v>15</v>
      </c>
      <c r="F34" s="3" cm="1">
        <f t="array" aca="1" ref="F34" ca="1">OFFSET(E34,-1,1)</f>
        <v>0</v>
      </c>
      <c r="G34" s="72" t="s">
        <v>1210</v>
      </c>
      <c r="H34" s="42" t="s">
        <v>972</v>
      </c>
      <c r="J34" s="362"/>
      <c r="K34" s="362" t="str">
        <f ca="1">F34&amp;"13komm"</f>
        <v>013komm</v>
      </c>
      <c r="L34" s="605" cm="1">
        <f t="array" ref="L34">AK34</f>
        <v>0</v>
      </c>
      <c r="T34" s="351" t="b" cm="1">
        <f t="array" ref="T34">T33</f>
        <v>0</v>
      </c>
      <c r="X34" s="998"/>
      <c r="Z34" s="1026"/>
      <c r="AB34" s="255" t="s">
        <v>973</v>
      </c>
      <c r="AC34" s="127" t="s">
        <v>1211</v>
      </c>
      <c r="AD34" s="9" t="s">
        <v>859</v>
      </c>
      <c r="AE34" s="888"/>
      <c r="AF34" s="888"/>
      <c r="AG34" s="888"/>
      <c r="AH34" s="888"/>
      <c r="AI34" s="142"/>
      <c r="AJ34" s="142"/>
      <c r="AK34" s="827"/>
      <c r="AN34" s="676" t="s">
        <v>1212</v>
      </c>
    </row>
    <row r="35" spans="2:40" s="62" customFormat="1" ht="14.65" hidden="1" customHeight="1">
      <c r="B35" s="325"/>
      <c r="E35" s="178">
        <v>15</v>
      </c>
      <c r="F35" s="3" cm="1">
        <f t="array" aca="1" ref="F35" ca="1">OFFSET(E35,-1,1)</f>
        <v>0</v>
      </c>
      <c r="G35" s="72" t="s">
        <v>1213</v>
      </c>
      <c r="H35" s="42" t="s">
        <v>975</v>
      </c>
      <c r="J35" s="362"/>
      <c r="K35" s="362" t="str">
        <f ca="1">F35&amp;"14komm"</f>
        <v>014komm</v>
      </c>
      <c r="L35" s="605" cm="1">
        <f t="array" ref="L35">AK35</f>
        <v>0</v>
      </c>
      <c r="T35" s="351" t="b" cm="1">
        <f t="array" ref="T35">T34</f>
        <v>0</v>
      </c>
      <c r="X35" s="998"/>
      <c r="Z35" s="1026"/>
      <c r="AB35" s="255" t="s">
        <v>976</v>
      </c>
      <c r="AC35" s="127" t="s">
        <v>1214</v>
      </c>
      <c r="AD35" s="9" t="s">
        <v>859</v>
      </c>
      <c r="AE35" s="888"/>
      <c r="AF35" s="888"/>
      <c r="AG35" s="888"/>
      <c r="AH35" s="888"/>
      <c r="AI35" s="142"/>
      <c r="AJ35" s="142"/>
      <c r="AK35" s="827"/>
      <c r="AN35" s="676" t="s">
        <v>1215</v>
      </c>
    </row>
    <row r="36" spans="2:40" s="62" customFormat="1" ht="14.65" hidden="1" customHeight="1">
      <c r="B36" s="325"/>
      <c r="E36" s="178">
        <v>15</v>
      </c>
      <c r="F36" s="3" cm="1">
        <f t="array" aca="1" ref="F36" ca="1">OFFSET(E36,-1,1)</f>
        <v>0</v>
      </c>
      <c r="G36" s="72" t="s">
        <v>1216</v>
      </c>
      <c r="H36" s="42" t="s">
        <v>1217</v>
      </c>
      <c r="J36" s="362"/>
      <c r="K36" s="362" t="str">
        <f ca="1">F36&amp;"15komm"</f>
        <v>015komm</v>
      </c>
      <c r="L36" s="605" cm="1">
        <f t="array" ref="L36">AK36</f>
        <v>0</v>
      </c>
      <c r="T36" s="351" t="b" cm="1">
        <f t="array" ref="T36">T35</f>
        <v>0</v>
      </c>
      <c r="X36" s="998"/>
      <c r="Z36" s="1026"/>
      <c r="AB36" s="255" t="s">
        <v>1218</v>
      </c>
      <c r="AC36" s="127" t="s">
        <v>1219</v>
      </c>
      <c r="AD36" s="9" t="s">
        <v>859</v>
      </c>
      <c r="AE36" s="888"/>
      <c r="AF36" s="888"/>
      <c r="AG36" s="888"/>
      <c r="AH36" s="888"/>
      <c r="AI36" s="142"/>
      <c r="AJ36" s="142"/>
      <c r="AK36" s="827"/>
      <c r="AN36" s="676" t="s">
        <v>1220</v>
      </c>
    </row>
    <row r="37" spans="2:40" s="62" customFormat="1" ht="14.65" hidden="1" customHeight="1">
      <c r="B37" s="325"/>
      <c r="E37" s="178">
        <v>15</v>
      </c>
      <c r="F37" s="3" cm="1">
        <f t="array" aca="1" ref="F37" ca="1">OFFSET(E37,-1,1)</f>
        <v>0</v>
      </c>
      <c r="G37" s="72" t="s">
        <v>1221</v>
      </c>
      <c r="H37" s="42" t="s">
        <v>1222</v>
      </c>
      <c r="J37" s="362"/>
      <c r="K37" s="362" t="str">
        <f ca="1">F37&amp;"16komm"</f>
        <v>016komm</v>
      </c>
      <c r="L37" s="605" cm="1">
        <f t="array" ref="L37">AK37</f>
        <v>0</v>
      </c>
      <c r="T37" s="351" t="b" cm="1">
        <f t="array" ref="T37">T36</f>
        <v>0</v>
      </c>
      <c r="X37" s="998"/>
      <c r="Z37" s="1026"/>
      <c r="AB37" s="255" t="s">
        <v>1223</v>
      </c>
      <c r="AC37" s="127" t="s">
        <v>1224</v>
      </c>
      <c r="AD37" s="9" t="s">
        <v>859</v>
      </c>
      <c r="AE37" s="888"/>
      <c r="AF37" s="888"/>
      <c r="AG37" s="888"/>
      <c r="AH37" s="888"/>
      <c r="AI37" s="142"/>
      <c r="AJ37" s="142"/>
      <c r="AK37" s="827"/>
      <c r="AN37" s="676" t="s">
        <v>1225</v>
      </c>
    </row>
    <row r="38" spans="2:40" s="62" customFormat="1" ht="32.85" hidden="1" customHeight="1">
      <c r="B38" s="325"/>
      <c r="E38" s="178">
        <v>33.75</v>
      </c>
      <c r="F38" s="3" cm="1">
        <f t="array" aca="1" ref="F38" ca="1">OFFSET(E38,-1,1)</f>
        <v>0</v>
      </c>
      <c r="G38" s="252" t="s">
        <v>1226</v>
      </c>
      <c r="H38" s="42" t="s">
        <v>325</v>
      </c>
      <c r="J38" s="362"/>
      <c r="K38" s="362" t="str">
        <f ca="1">F38&amp;"2komm"</f>
        <v>02komm</v>
      </c>
      <c r="L38" s="605" cm="1">
        <f t="array" ref="L38">AK38</f>
        <v>0</v>
      </c>
      <c r="T38" s="351" t="b" cm="1">
        <f t="array" ref="T38">T37</f>
        <v>0</v>
      </c>
      <c r="X38" s="998"/>
      <c r="Z38" s="1026"/>
      <c r="AB38" s="255" t="s">
        <v>438</v>
      </c>
      <c r="AC38" s="245" t="s">
        <v>1227</v>
      </c>
      <c r="AD38" s="9" t="s">
        <v>859</v>
      </c>
      <c r="AE38" s="888"/>
      <c r="AF38" s="888"/>
      <c r="AG38" s="888"/>
      <c r="AH38" s="888"/>
      <c r="AI38" s="142"/>
      <c r="AJ38" s="142"/>
      <c r="AK38" s="827"/>
      <c r="AN38" s="676" t="s">
        <v>1228</v>
      </c>
    </row>
    <row r="39" spans="2:40" s="62" customFormat="1" ht="14.65" hidden="1" customHeight="1">
      <c r="B39" s="325"/>
      <c r="E39" s="178">
        <v>15</v>
      </c>
      <c r="F39" s="3" cm="1">
        <f t="array" aca="1" ref="F39" ca="1">OFFSET(E39,-1,1)</f>
        <v>0</v>
      </c>
      <c r="G39" s="252" t="s">
        <v>1229</v>
      </c>
      <c r="H39" s="42" t="s">
        <v>324</v>
      </c>
      <c r="J39" s="362"/>
      <c r="K39" s="362" t="str">
        <f ca="1">F39&amp;"3komm"</f>
        <v>03komm</v>
      </c>
      <c r="L39" s="605" cm="1">
        <f t="array" ref="L39">AK39</f>
        <v>0</v>
      </c>
      <c r="T39" s="351" t="b" cm="1">
        <f t="array" ref="T39">T38</f>
        <v>0</v>
      </c>
      <c r="X39" s="998"/>
      <c r="Z39" s="1026"/>
      <c r="AB39" s="255" t="s">
        <v>440</v>
      </c>
      <c r="AC39" s="245" t="s">
        <v>1230</v>
      </c>
      <c r="AD39" s="9" t="s">
        <v>859</v>
      </c>
      <c r="AE39" s="888"/>
      <c r="AF39" s="888"/>
      <c r="AG39" s="888"/>
      <c r="AH39" s="888"/>
      <c r="AI39" s="142"/>
      <c r="AJ39" s="142"/>
      <c r="AK39" s="827"/>
      <c r="AN39" s="676" t="s">
        <v>1231</v>
      </c>
    </row>
    <row r="40" spans="2:40" s="62" customFormat="1" ht="14.65" hidden="1" customHeight="1">
      <c r="B40" s="325"/>
      <c r="E40" s="178">
        <v>15</v>
      </c>
      <c r="F40" s="3" cm="1">
        <f t="array" aca="1" ref="F40" ca="1">OFFSET(E40,-1,1)</f>
        <v>0</v>
      </c>
      <c r="G40" s="252" t="s">
        <v>1232</v>
      </c>
      <c r="H40" s="42" t="s">
        <v>557</v>
      </c>
      <c r="K40" s="362" t="str">
        <f ca="1">F40&amp;"4komm"</f>
        <v>04komm</v>
      </c>
      <c r="L40" s="605" cm="1">
        <f t="array" ref="L40">AK40</f>
        <v>0</v>
      </c>
      <c r="T40" s="351" t="b" cm="1">
        <f t="array" ref="T40">T39</f>
        <v>0</v>
      </c>
      <c r="X40" s="998"/>
      <c r="Z40" s="1026"/>
      <c r="AB40" s="255" t="s">
        <v>442</v>
      </c>
      <c r="AC40" s="245" t="s">
        <v>1233</v>
      </c>
      <c r="AD40" s="9" t="s">
        <v>859</v>
      </c>
      <c r="AE40" s="888"/>
      <c r="AF40" s="888"/>
      <c r="AG40" s="888"/>
      <c r="AH40" s="888"/>
      <c r="AI40" s="142"/>
      <c r="AJ40" s="142"/>
      <c r="AK40" s="827"/>
      <c r="AN40" s="676" t="s">
        <v>1234</v>
      </c>
    </row>
    <row r="41" spans="2:40" s="62" customFormat="1" ht="14.65" hidden="1" customHeight="1">
      <c r="B41" s="325"/>
      <c r="E41" s="178">
        <v>15</v>
      </c>
      <c r="F41" s="3" cm="1">
        <f t="array" aca="1" ref="F41" ca="1">OFFSET(E41,-1,1)</f>
        <v>0</v>
      </c>
      <c r="G41" s="252" t="s">
        <v>1235</v>
      </c>
      <c r="H41" s="42" t="s">
        <v>560</v>
      </c>
      <c r="K41" s="362" t="str">
        <f ca="1">F41&amp;"5komm"</f>
        <v>05komm</v>
      </c>
      <c r="L41" s="605" cm="1">
        <f t="array" ref="L41">AK41</f>
        <v>0</v>
      </c>
      <c r="T41" s="351" t="b" cm="1">
        <f t="array" ref="T41">T40</f>
        <v>0</v>
      </c>
      <c r="X41" s="998"/>
      <c r="Z41" s="1026"/>
      <c r="AB41" s="255" t="s">
        <v>444</v>
      </c>
      <c r="AC41" s="245" t="s">
        <v>1236</v>
      </c>
      <c r="AD41" s="9" t="s">
        <v>859</v>
      </c>
      <c r="AE41" s="888"/>
      <c r="AF41" s="888"/>
      <c r="AG41" s="888"/>
      <c r="AH41" s="888"/>
      <c r="AI41" s="142"/>
      <c r="AJ41" s="142"/>
      <c r="AK41" s="827"/>
      <c r="AN41" s="676" t="s">
        <v>1237</v>
      </c>
    </row>
    <row r="42" spans="2:40" s="62" customFormat="1" ht="14.65" hidden="1" customHeight="1">
      <c r="B42" s="325"/>
      <c r="E42" s="178">
        <v>15</v>
      </c>
      <c r="F42" s="3" cm="1">
        <f t="array" aca="1" ref="F42" ca="1">OFFSET(E42,-1,1)</f>
        <v>0</v>
      </c>
      <c r="G42" s="252" t="s">
        <v>1238</v>
      </c>
      <c r="H42" s="42" t="s">
        <v>613</v>
      </c>
      <c r="K42" s="362" t="str">
        <f ca="1">F42&amp;"6komm"</f>
        <v>06komm</v>
      </c>
      <c r="L42" s="605" cm="1">
        <f t="array" ref="L42">AK42</f>
        <v>0</v>
      </c>
      <c r="T42" s="351" t="b" cm="1">
        <f t="array" ref="T42">T41</f>
        <v>0</v>
      </c>
      <c r="X42" s="998"/>
      <c r="Z42" s="1026"/>
      <c r="AB42" s="255" t="s">
        <v>446</v>
      </c>
      <c r="AC42" s="245" t="s">
        <v>1239</v>
      </c>
      <c r="AD42" s="9" t="s">
        <v>859</v>
      </c>
      <c r="AE42" s="170">
        <f t="shared" ref="AE42:AJ42" si="2">SUM(AE43:AE45)</f>
        <v>0</v>
      </c>
      <c r="AF42" s="170">
        <f t="shared" si="2"/>
        <v>0</v>
      </c>
      <c r="AG42" s="170">
        <f t="shared" si="2"/>
        <v>0</v>
      </c>
      <c r="AH42" s="170">
        <f t="shared" si="2"/>
        <v>0</v>
      </c>
      <c r="AI42" s="170">
        <f t="shared" si="2"/>
        <v>0</v>
      </c>
      <c r="AJ42" s="170">
        <f t="shared" si="2"/>
        <v>0</v>
      </c>
      <c r="AK42" s="827"/>
      <c r="AN42" s="676" t="s">
        <v>385</v>
      </c>
    </row>
    <row r="43" spans="2:40" s="62" customFormat="1" ht="14.65" hidden="1" customHeight="1">
      <c r="B43" s="325"/>
      <c r="E43" s="178">
        <v>15</v>
      </c>
      <c r="F43" s="3" cm="1">
        <f t="array" aca="1" ref="F43" ca="1">OFFSET(E43,-1,1)</f>
        <v>0</v>
      </c>
      <c r="G43" s="252" t="s">
        <v>1240</v>
      </c>
      <c r="H43" s="42" t="s">
        <v>616</v>
      </c>
      <c r="K43" s="362" t="str">
        <f ca="1">F43&amp;"7komm"</f>
        <v>07komm</v>
      </c>
      <c r="L43" s="605" cm="1">
        <f t="array" ref="L43">AK43</f>
        <v>0</v>
      </c>
      <c r="T43" s="351" t="b" cm="1">
        <f t="array" ref="T43">T42</f>
        <v>0</v>
      </c>
      <c r="X43" s="998"/>
      <c r="Z43" s="1026"/>
      <c r="AB43" s="255" t="s">
        <v>639</v>
      </c>
      <c r="AC43" s="127" t="s">
        <v>1241</v>
      </c>
      <c r="AD43" s="9" t="s">
        <v>859</v>
      </c>
      <c r="AE43" s="888"/>
      <c r="AF43" s="888"/>
      <c r="AG43" s="888"/>
      <c r="AH43" s="888"/>
      <c r="AI43" s="142"/>
      <c r="AJ43" s="142"/>
      <c r="AK43" s="827"/>
      <c r="AN43" s="676" t="s">
        <v>1242</v>
      </c>
    </row>
    <row r="44" spans="2:40" s="62" customFormat="1" ht="43.9" hidden="1" customHeight="1">
      <c r="B44" s="325"/>
      <c r="E44" s="178">
        <v>45</v>
      </c>
      <c r="F44" s="3" cm="1">
        <f t="array" aca="1" ref="F44" ca="1">OFFSET(E44,-1,1)</f>
        <v>0</v>
      </c>
      <c r="G44" s="252" t="s">
        <v>1243</v>
      </c>
      <c r="H44" s="42" t="s">
        <v>620</v>
      </c>
      <c r="K44" s="362" t="str">
        <f ca="1">F44&amp;"8komm"</f>
        <v>08komm</v>
      </c>
      <c r="L44" s="605" cm="1">
        <f t="array" ref="L44">AK44</f>
        <v>0</v>
      </c>
      <c r="T44" s="351" t="b" cm="1">
        <f t="array" ref="T44">T43</f>
        <v>0</v>
      </c>
      <c r="X44" s="998"/>
      <c r="Z44" s="1026"/>
      <c r="AB44" s="255" t="s">
        <v>656</v>
      </c>
      <c r="AC44" s="127" t="s">
        <v>1244</v>
      </c>
      <c r="AD44" s="9" t="s">
        <v>859</v>
      </c>
      <c r="AE44" s="888"/>
      <c r="AF44" s="888"/>
      <c r="AG44" s="888"/>
      <c r="AH44" s="888"/>
      <c r="AI44" s="142"/>
      <c r="AJ44" s="142"/>
      <c r="AK44" s="827"/>
      <c r="AN44" s="676" t="s">
        <v>1245</v>
      </c>
    </row>
    <row r="45" spans="2:40" s="62" customFormat="1" ht="14.65" hidden="1" customHeight="1">
      <c r="B45" s="325"/>
      <c r="E45" s="178">
        <v>15</v>
      </c>
      <c r="F45" s="3" cm="1">
        <f t="array" aca="1" ref="F45" ca="1">OFFSET(E45,-1,1)</f>
        <v>0</v>
      </c>
      <c r="G45" s="72" t="s">
        <v>1246</v>
      </c>
      <c r="H45" s="42" t="s">
        <v>624</v>
      </c>
      <c r="K45" s="362" t="str">
        <f ca="1">F45&amp;"9komm"</f>
        <v>09komm</v>
      </c>
      <c r="L45" s="605" cm="1">
        <f t="array" ref="L45">AK45</f>
        <v>0</v>
      </c>
      <c r="T45" s="351" t="b" cm="1">
        <f t="array" ref="T45">T44</f>
        <v>0</v>
      </c>
      <c r="X45" s="998"/>
      <c r="Z45" s="1026"/>
      <c r="AB45" s="255" t="s">
        <v>668</v>
      </c>
      <c r="AC45" s="127" t="s">
        <v>1247</v>
      </c>
      <c r="AD45" s="9" t="s">
        <v>859</v>
      </c>
      <c r="AE45" s="888"/>
      <c r="AF45" s="888"/>
      <c r="AG45" s="888"/>
      <c r="AH45" s="888"/>
      <c r="AI45" s="142"/>
      <c r="AJ45" s="142"/>
      <c r="AK45" s="827"/>
      <c r="AN45" s="676" t="s">
        <v>1248</v>
      </c>
    </row>
    <row r="46" spans="2:40" ht="27.2" customHeight="1">
      <c r="C46" s="62"/>
      <c r="D46" s="62"/>
      <c r="E46" s="178">
        <v>11.25</v>
      </c>
      <c r="F46" s="17" t="str" cm="1">
        <f t="array" ref="F46">X46</f>
        <v>1</v>
      </c>
      <c r="G46" s="62"/>
      <c r="H46" s="62"/>
      <c r="I46" s="62"/>
      <c r="J46" s="62"/>
      <c r="K46" s="62"/>
      <c r="L46" s="62"/>
      <c r="M46" s="62"/>
      <c r="N46" s="62"/>
      <c r="O46" s="62"/>
      <c r="P46" s="62"/>
      <c r="Q46" s="62"/>
      <c r="R46" s="62"/>
      <c r="S46" s="62"/>
      <c r="T46" s="351" t="b">
        <f>X46&gt;0</f>
        <v>1</v>
      </c>
      <c r="U46" s="62"/>
      <c r="V46" s="62" t="str" cm="1">
        <f t="array" ref="V46">ФОТ!$AB$52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46" s="62"/>
      <c r="X46" s="998" t="s">
        <v>277</v>
      </c>
      <c r="Y46" s="62"/>
      <c r="Z46" s="1026"/>
      <c r="AA46" s="62"/>
      <c r="AB46" s="155" t="str" cm="1">
        <f t="array" ref="AB46">ФОТ!$AB$52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46" s="94"/>
      <c r="AD46" s="94"/>
      <c r="AE46" s="213">
        <f t="shared" ref="AE46:AJ46" ca="1" si="3">AE47+AE48+AE49+AE57+AE58+AE59+AE60+AE61</f>
        <v>1011.4300000000002</v>
      </c>
      <c r="AF46" s="213">
        <f t="shared" ca="1" si="3"/>
        <v>3297.9900000000002</v>
      </c>
      <c r="AG46" s="213">
        <f t="shared" ca="1" si="3"/>
        <v>3297.9900000000002</v>
      </c>
      <c r="AH46" s="213">
        <f t="shared" ca="1" si="3"/>
        <v>22249.383739263005</v>
      </c>
      <c r="AI46" s="213">
        <f t="shared" ca="1" si="3"/>
        <v>27390.918297600001</v>
      </c>
      <c r="AJ46" s="213">
        <f t="shared" ca="1" si="3"/>
        <v>24400.432877920004</v>
      </c>
      <c r="AK46" s="88"/>
      <c r="AL46" s="62"/>
    </row>
    <row r="47" spans="2:40" ht="33.200000000000003" customHeight="1">
      <c r="C47" s="62"/>
      <c r="D47" s="62"/>
      <c r="E47" s="178">
        <v>22.5</v>
      </c>
      <c r="F47" s="3" t="str" cm="1">
        <f t="array" aca="1" ref="F47" ca="1">OFFSET(E47,-1,1)</f>
        <v>1</v>
      </c>
      <c r="G47" s="62"/>
      <c r="H47" s="42" t="s">
        <v>321</v>
      </c>
      <c r="I47" s="62"/>
      <c r="J47" s="62"/>
      <c r="K47" s="62"/>
      <c r="L47" s="62"/>
      <c r="M47" s="62"/>
      <c r="N47" s="62"/>
      <c r="O47" s="62"/>
      <c r="P47" s="62"/>
      <c r="Q47" s="62"/>
      <c r="R47" s="62"/>
      <c r="S47" s="62"/>
      <c r="T47" s="351" t="b" cm="1">
        <f t="array" ref="T47">T46</f>
        <v>1</v>
      </c>
      <c r="U47" s="62"/>
      <c r="V47" s="62"/>
      <c r="W47" s="62"/>
      <c r="X47" s="998"/>
      <c r="Y47" s="62"/>
      <c r="Z47" s="1026"/>
      <c r="AA47" s="62"/>
      <c r="AB47" s="255">
        <v>1</v>
      </c>
      <c r="AC47" s="245" t="s">
        <v>1159</v>
      </c>
      <c r="AD47" s="9" t="s">
        <v>859</v>
      </c>
      <c r="AE47" s="404">
        <f ca="1">SUMIFS(ФОТ!AE$25:AE$89,ФОТ!$F$25:$F$89,$F47,ФОТ!$AC$25:$AC$89,$AC47)</f>
        <v>404.55</v>
      </c>
      <c r="AF47" s="404">
        <f ca="1">SUMIFS(ФОТ!AF$25:AF$89,ФОТ!$F$25:$F$89,$F47,ФОТ!$AC$25:$AC$89,$AC47)</f>
        <v>1667.16</v>
      </c>
      <c r="AG47" s="404">
        <f ca="1">SUMIFS(ФОТ!AG$25:AG$89,ФОТ!$F$25:$F$89,$F47,ФОТ!$AC$25:$AC$89,$AC47)</f>
        <v>1667.16</v>
      </c>
      <c r="AH47" s="404">
        <f ca="1">SUMIFS(ФОТ!AH$25:AH$89,ФОТ!$F$25:$F$89,$F47,ФОТ!$AC$25:$AC$89,$AC47)</f>
        <v>12451.076352</v>
      </c>
      <c r="AI47" s="404">
        <f ca="1">SUMIFS(ФОТ!AI$25:AI$89,ФОТ!$F$25:$F$89,$F47,ФОТ!$AC$25:$AC$89,$AC47)</f>
        <v>15215.428800000002</v>
      </c>
      <c r="AJ47" s="404">
        <f ca="1">SUMIFS(ФОТ!AJ$25:AJ$89,ФОТ!$F$25:$F$89,$F47,ФОТ!$AC$25:$AC$89,$AC47)</f>
        <v>13186.714960000001</v>
      </c>
      <c r="AK47" s="216" t="s">
        <v>1249</v>
      </c>
      <c r="AL47" s="62"/>
      <c r="AN47" s="669" t="s">
        <v>1197</v>
      </c>
    </row>
    <row r="48" spans="2:40" ht="30.95" customHeight="1">
      <c r="C48" s="62"/>
      <c r="D48" s="62"/>
      <c r="E48" s="178">
        <v>22.5</v>
      </c>
      <c r="F48" s="3" t="str" cm="1">
        <f t="array" aca="1" ref="F48" ca="1">OFFSET(E48,-1,1)</f>
        <v>1</v>
      </c>
      <c r="G48" s="62"/>
      <c r="H48" s="42" t="s">
        <v>322</v>
      </c>
      <c r="I48" s="62"/>
      <c r="J48" s="362"/>
      <c r="K48" s="362"/>
      <c r="L48" s="362"/>
      <c r="M48" s="62"/>
      <c r="N48" s="62"/>
      <c r="O48" s="62"/>
      <c r="P48" s="62"/>
      <c r="Q48" s="62"/>
      <c r="R48" s="62"/>
      <c r="S48" s="62"/>
      <c r="T48" s="351" t="b" cm="1">
        <f t="array" ref="T48">T47</f>
        <v>1</v>
      </c>
      <c r="U48" s="62"/>
      <c r="V48" s="62"/>
      <c r="W48" s="62"/>
      <c r="X48" s="998"/>
      <c r="Y48" s="62"/>
      <c r="Z48" s="1026"/>
      <c r="AA48" s="62"/>
      <c r="AB48" s="255" t="s">
        <v>435</v>
      </c>
      <c r="AC48" s="245" t="s">
        <v>1164</v>
      </c>
      <c r="AD48" s="9" t="s">
        <v>859</v>
      </c>
      <c r="AE48" s="404">
        <f ca="1">SUMIFS(ФОТ!AE$25:AE$89,ФОТ!$F$25:$F$89,$F48,ФОТ!$AC$25:$AC$89,$AC48)</f>
        <v>122.17</v>
      </c>
      <c r="AF48" s="404">
        <f ca="1">SUMIFS(ФОТ!AF$25:AF$89,ФОТ!$F$25:$F$89,$F48,ФОТ!$AC$25:$AC$89,$AC48)</f>
        <v>502.29</v>
      </c>
      <c r="AG48" s="404">
        <f ca="1">SUMIFS(ФОТ!AG$25:AG$89,ФОТ!$F$25:$F$89,$F48,ФОТ!$AC$25:$AC$89,$AC48)</f>
        <v>502.29</v>
      </c>
      <c r="AH48" s="404">
        <f ca="1">SUMIFS(ФОТ!AH$25:AH$89,ФОТ!$F$25:$F$89,$F48,ФОТ!$AC$25:$AC$89,$AC48)</f>
        <v>3760.225058304</v>
      </c>
      <c r="AI48" s="404">
        <f ca="1">SUMIFS(ФОТ!AI$25:AI$89,ФОТ!$F$25:$F$89,$F48,ФОТ!$AC$25:$AC$89,$AC48)</f>
        <v>4595.0594976000002</v>
      </c>
      <c r="AJ48" s="404">
        <f ca="1">SUMIFS(ФОТ!AJ$25:AJ$89,ФОТ!$F$25:$F$89,$F48,ФОТ!$AC$25:$AC$89,$AC48)</f>
        <v>3982.3879179199998</v>
      </c>
      <c r="AK48" s="216" t="s">
        <v>1249</v>
      </c>
      <c r="AL48" s="62"/>
      <c r="AN48" s="669" t="s">
        <v>1165</v>
      </c>
    </row>
    <row r="49" spans="1:40" ht="43.7" customHeight="1">
      <c r="C49" s="62"/>
      <c r="D49" s="62"/>
      <c r="E49" s="178">
        <v>33.75</v>
      </c>
      <c r="F49" s="3" t="str" cm="1">
        <f t="array" aca="1" ref="F49" ca="1">OFFSET(E49,-1,1)</f>
        <v>1</v>
      </c>
      <c r="G49" s="252" t="s">
        <v>1198</v>
      </c>
      <c r="H49" s="42" t="s">
        <v>323</v>
      </c>
      <c r="I49" s="62"/>
      <c r="J49" s="362"/>
      <c r="K49" s="362" t="str">
        <f ca="1">F49&amp;"17komm"</f>
        <v>117komm</v>
      </c>
      <c r="L49" s="605" t="str" cm="1">
        <f t="array" ref="L49">AK49</f>
        <v>П 25 (1) Методических указаний № 1746-э.</v>
      </c>
      <c r="M49" s="62"/>
      <c r="N49" s="62"/>
      <c r="O49" s="62"/>
      <c r="P49" s="62"/>
      <c r="Q49" s="62"/>
      <c r="R49" s="62"/>
      <c r="S49" s="62"/>
      <c r="T49" s="351" t="b" cm="1">
        <f t="array" ref="T49">T48</f>
        <v>1</v>
      </c>
      <c r="U49" s="62"/>
      <c r="V49" s="62"/>
      <c r="W49" s="62"/>
      <c r="X49" s="998"/>
      <c r="Y49" s="62"/>
      <c r="Z49" s="1026"/>
      <c r="AA49" s="62"/>
      <c r="AB49" s="255" t="s">
        <v>319</v>
      </c>
      <c r="AC49" s="245" t="s">
        <v>1199</v>
      </c>
      <c r="AD49" s="9" t="s">
        <v>859</v>
      </c>
      <c r="AE49" s="151">
        <f t="shared" ref="AE49:AJ49" si="4">SUM(AE50:AE56)</f>
        <v>340.67</v>
      </c>
      <c r="AF49" s="151">
        <f t="shared" si="4"/>
        <v>847.25</v>
      </c>
      <c r="AG49" s="151">
        <f t="shared" si="4"/>
        <v>847.25</v>
      </c>
      <c r="AH49" s="151">
        <f t="shared" si="4"/>
        <v>4853.2084289590002</v>
      </c>
      <c r="AI49" s="151">
        <f t="shared" si="4"/>
        <v>3835.6200000000003</v>
      </c>
      <c r="AJ49" s="151">
        <f t="shared" si="4"/>
        <v>4061.67</v>
      </c>
      <c r="AK49" s="216" t="s">
        <v>1250</v>
      </c>
      <c r="AL49" s="62"/>
      <c r="AN49" s="669" t="s">
        <v>1200</v>
      </c>
    </row>
    <row r="50" spans="1:40" ht="21.95" customHeight="1">
      <c r="A50"/>
      <c r="B50" s="326"/>
      <c r="C50" s="62"/>
      <c r="D50" s="62"/>
      <c r="E50" s="178">
        <v>15</v>
      </c>
      <c r="F50" s="764" t="str" cm="1">
        <f t="array" aca="1" ref="F50" ca="1">OFFSET(E50,-1,1)</f>
        <v>1</v>
      </c>
      <c r="G50" s="72" t="s">
        <v>1201</v>
      </c>
      <c r="H50" s="42" t="s">
        <v>966</v>
      </c>
      <c r="I50" s="62"/>
      <c r="J50" s="362"/>
      <c r="K50" s="362" t="str">
        <f ca="1">F50&amp;"18komm"</f>
        <v>118komm</v>
      </c>
      <c r="L50" s="605" cm="1">
        <f t="array" ref="L50">AK50</f>
        <v>0</v>
      </c>
      <c r="M50" s="62"/>
      <c r="N50" s="62"/>
      <c r="O50" s="62"/>
      <c r="P50" s="62"/>
      <c r="Q50" s="62"/>
      <c r="R50" s="62"/>
      <c r="S50" s="62"/>
      <c r="T50" s="351" t="b" cm="1">
        <f t="array" ref="T50">T49</f>
        <v>1</v>
      </c>
      <c r="U50" s="62"/>
      <c r="V50" s="62"/>
      <c r="W50" s="62"/>
      <c r="X50" s="998"/>
      <c r="Y50" s="62"/>
      <c r="Z50" s="1026"/>
      <c r="AA50" s="62"/>
      <c r="AB50" s="255" t="s">
        <v>602</v>
      </c>
      <c r="AC50" s="127" t="s">
        <v>1202</v>
      </c>
      <c r="AD50" s="9" t="s">
        <v>859</v>
      </c>
      <c r="AE50" s="142"/>
      <c r="AF50" s="142">
        <v>103.55</v>
      </c>
      <c r="AG50" s="142">
        <v>103.55</v>
      </c>
      <c r="AH50" s="142"/>
      <c r="AI50" s="142">
        <v>352.32</v>
      </c>
      <c r="AJ50" s="142">
        <v>352.32</v>
      </c>
      <c r="AK50" s="216"/>
      <c r="AL50" s="62"/>
      <c r="AM50"/>
      <c r="AN50" s="659" t="s">
        <v>1203</v>
      </c>
    </row>
    <row r="51" spans="1:40" s="325" customFormat="1" ht="14.25" customHeight="1">
      <c r="A51" s="62"/>
      <c r="C51" s="62"/>
      <c r="D51" s="62"/>
      <c r="E51" s="178">
        <v>15</v>
      </c>
      <c r="F51" s="3" t="str" cm="1">
        <f t="array" aca="1" ref="F51" ca="1">OFFSET(E51,-1,1)</f>
        <v>1</v>
      </c>
      <c r="G51" s="72" t="s">
        <v>1204</v>
      </c>
      <c r="H51" s="42" t="s">
        <v>968</v>
      </c>
      <c r="I51" s="62"/>
      <c r="J51" s="362"/>
      <c r="K51" s="362" t="str">
        <f ca="1">F51&amp;"11komm"</f>
        <v>111komm</v>
      </c>
      <c r="L51" s="605" cm="1">
        <f t="array" ref="L51">AK51</f>
        <v>0</v>
      </c>
      <c r="M51" s="62"/>
      <c r="N51" s="62"/>
      <c r="O51" s="62"/>
      <c r="P51" s="62"/>
      <c r="Q51" s="62"/>
      <c r="R51" s="62"/>
      <c r="S51" s="62"/>
      <c r="T51" s="351" t="b" cm="1">
        <f t="array" ref="T51">T50</f>
        <v>1</v>
      </c>
      <c r="U51" s="62"/>
      <c r="V51" s="62"/>
      <c r="W51" s="62"/>
      <c r="X51" s="998"/>
      <c r="Y51" s="62"/>
      <c r="Z51" s="1026"/>
      <c r="AA51" s="62"/>
      <c r="AB51" s="255" t="s">
        <v>606</v>
      </c>
      <c r="AC51" s="127" t="s">
        <v>1205</v>
      </c>
      <c r="AD51" s="9" t="s">
        <v>859</v>
      </c>
      <c r="AE51" s="142"/>
      <c r="AF51" s="142"/>
      <c r="AG51" s="142"/>
      <c r="AH51" s="142"/>
      <c r="AI51" s="142"/>
      <c r="AJ51" s="142"/>
      <c r="AK51" s="216"/>
      <c r="AL51" s="62"/>
      <c r="AM51" s="62"/>
      <c r="AN51" s="676" t="s">
        <v>1206</v>
      </c>
    </row>
    <row r="52" spans="1:40" s="325" customFormat="1" ht="14.25" customHeight="1">
      <c r="A52" s="62"/>
      <c r="C52" s="62"/>
      <c r="D52" s="62"/>
      <c r="E52" s="178">
        <v>15</v>
      </c>
      <c r="F52" s="3" t="str" cm="1">
        <f t="array" aca="1" ref="F52" ca="1">OFFSET(E52,-1,1)</f>
        <v>1</v>
      </c>
      <c r="G52" s="72" t="s">
        <v>1207</v>
      </c>
      <c r="H52" s="42" t="s">
        <v>970</v>
      </c>
      <c r="I52" s="62"/>
      <c r="J52" s="362"/>
      <c r="K52" s="362" t="str">
        <f ca="1">F52&amp;"12komm"</f>
        <v>112komm</v>
      </c>
      <c r="L52" s="605" cm="1">
        <f t="array" ref="L52">AK52</f>
        <v>0</v>
      </c>
      <c r="M52" s="62"/>
      <c r="N52" s="62"/>
      <c r="O52" s="62"/>
      <c r="P52" s="62"/>
      <c r="Q52" s="62"/>
      <c r="R52" s="62"/>
      <c r="S52" s="62"/>
      <c r="T52" s="351" t="b" cm="1">
        <f t="array" ref="T52">T51</f>
        <v>1</v>
      </c>
      <c r="U52" s="62"/>
      <c r="V52" s="62"/>
      <c r="W52" s="62"/>
      <c r="X52" s="998"/>
      <c r="Y52" s="62"/>
      <c r="Z52" s="1026"/>
      <c r="AA52" s="62"/>
      <c r="AB52" s="255" t="s">
        <v>818</v>
      </c>
      <c r="AC52" s="127" t="s">
        <v>1208</v>
      </c>
      <c r="AD52" s="9" t="s">
        <v>859</v>
      </c>
      <c r="AE52" s="142"/>
      <c r="AF52" s="142"/>
      <c r="AG52" s="142"/>
      <c r="AH52" s="142"/>
      <c r="AI52" s="142"/>
      <c r="AJ52" s="142"/>
      <c r="AK52" s="216"/>
      <c r="AL52" s="62"/>
      <c r="AM52" s="62"/>
      <c r="AN52" s="676" t="s">
        <v>1209</v>
      </c>
    </row>
    <row r="53" spans="1:40" s="325" customFormat="1" ht="14.25" customHeight="1">
      <c r="A53" s="62"/>
      <c r="C53" s="62"/>
      <c r="D53" s="62"/>
      <c r="E53" s="178">
        <v>15</v>
      </c>
      <c r="F53" s="3" t="str" cm="1">
        <f t="array" aca="1" ref="F53" ca="1">OFFSET(E53,-1,1)</f>
        <v>1</v>
      </c>
      <c r="G53" s="72" t="s">
        <v>1210</v>
      </c>
      <c r="H53" s="42" t="s">
        <v>972</v>
      </c>
      <c r="I53" s="62"/>
      <c r="J53" s="362"/>
      <c r="K53" s="362" t="str">
        <f ca="1">F53&amp;"13komm"</f>
        <v>113komm</v>
      </c>
      <c r="L53" s="605" cm="1">
        <f t="array" ref="L53">AK53</f>
        <v>0</v>
      </c>
      <c r="M53" s="62"/>
      <c r="N53" s="62"/>
      <c r="O53" s="62"/>
      <c r="P53" s="62"/>
      <c r="Q53" s="62"/>
      <c r="R53" s="62"/>
      <c r="S53" s="62"/>
      <c r="T53" s="351" t="b" cm="1">
        <f t="array" ref="T53">T52</f>
        <v>1</v>
      </c>
      <c r="U53" s="62"/>
      <c r="V53" s="62"/>
      <c r="W53" s="62"/>
      <c r="X53" s="998"/>
      <c r="Y53" s="62"/>
      <c r="Z53" s="1026"/>
      <c r="AA53" s="62"/>
      <c r="AB53" s="255" t="s">
        <v>973</v>
      </c>
      <c r="AC53" s="127" t="s">
        <v>1211</v>
      </c>
      <c r="AD53" s="9" t="s">
        <v>859</v>
      </c>
      <c r="AE53" s="142"/>
      <c r="AF53" s="142"/>
      <c r="AG53" s="142"/>
      <c r="AH53" s="142"/>
      <c r="AI53" s="142"/>
      <c r="AJ53" s="142"/>
      <c r="AK53" s="216"/>
      <c r="AL53" s="62"/>
      <c r="AM53" s="62"/>
      <c r="AN53" s="676" t="s">
        <v>1212</v>
      </c>
    </row>
    <row r="54" spans="1:40" s="325" customFormat="1" ht="24.95" customHeight="1">
      <c r="A54" s="62"/>
      <c r="C54" s="62"/>
      <c r="D54" s="62"/>
      <c r="E54" s="178">
        <v>15</v>
      </c>
      <c r="F54" s="3" t="str" cm="1">
        <f t="array" aca="1" ref="F54" ca="1">OFFSET(E54,-1,1)</f>
        <v>1</v>
      </c>
      <c r="G54" s="72" t="s">
        <v>1213</v>
      </c>
      <c r="H54" s="42" t="s">
        <v>975</v>
      </c>
      <c r="I54" s="62"/>
      <c r="J54" s="362"/>
      <c r="K54" s="362" t="str">
        <f ca="1">F54&amp;"14komm"</f>
        <v>114komm</v>
      </c>
      <c r="L54" s="605" cm="1">
        <f t="array" ref="L54">AK54</f>
        <v>0</v>
      </c>
      <c r="M54" s="62"/>
      <c r="N54" s="62"/>
      <c r="O54" s="62"/>
      <c r="P54" s="62"/>
      <c r="Q54" s="62"/>
      <c r="R54" s="62"/>
      <c r="S54" s="62"/>
      <c r="T54" s="351" t="b" cm="1">
        <f t="array" ref="T54">T53</f>
        <v>1</v>
      </c>
      <c r="U54" s="62"/>
      <c r="V54" s="62"/>
      <c r="W54" s="62"/>
      <c r="X54" s="998"/>
      <c r="Y54" s="62"/>
      <c r="Z54" s="1026"/>
      <c r="AA54" s="62"/>
      <c r="AB54" s="255" t="s">
        <v>976</v>
      </c>
      <c r="AC54" s="127" t="s">
        <v>1214</v>
      </c>
      <c r="AD54" s="9" t="s">
        <v>859</v>
      </c>
      <c r="AE54" s="142"/>
      <c r="AF54" s="142">
        <v>38.17</v>
      </c>
      <c r="AG54" s="142">
        <v>38.17</v>
      </c>
      <c r="AH54" s="142"/>
      <c r="AI54" s="142">
        <v>244.11</v>
      </c>
      <c r="AJ54" s="142">
        <v>244.11</v>
      </c>
      <c r="AK54" s="216"/>
      <c r="AL54" s="62"/>
      <c r="AM54" s="62"/>
      <c r="AN54" s="676" t="s">
        <v>1215</v>
      </c>
    </row>
    <row r="55" spans="1:40" s="325" customFormat="1" ht="24.95" customHeight="1">
      <c r="A55" s="62"/>
      <c r="C55" s="62"/>
      <c r="D55" s="62"/>
      <c r="E55" s="178">
        <v>15</v>
      </c>
      <c r="F55" s="3" t="str" cm="1">
        <f t="array" aca="1" ref="F55" ca="1">OFFSET(E55,-1,1)</f>
        <v>1</v>
      </c>
      <c r="G55" s="72" t="s">
        <v>1216</v>
      </c>
      <c r="H55" s="42" t="s">
        <v>1217</v>
      </c>
      <c r="I55" s="62"/>
      <c r="J55" s="362"/>
      <c r="K55" s="362" t="str">
        <f ca="1">F55&amp;"15komm"</f>
        <v>115komm</v>
      </c>
      <c r="L55" s="605" cm="1">
        <f t="array" ref="L55">AK55</f>
        <v>0</v>
      </c>
      <c r="M55" s="62"/>
      <c r="N55" s="62"/>
      <c r="O55" s="62"/>
      <c r="P55" s="62"/>
      <c r="Q55" s="62"/>
      <c r="R55" s="62"/>
      <c r="S55" s="62"/>
      <c r="T55" s="351" t="b" cm="1">
        <f t="array" ref="T55">T54</f>
        <v>1</v>
      </c>
      <c r="U55" s="62"/>
      <c r="V55" s="62"/>
      <c r="W55" s="62"/>
      <c r="X55" s="998"/>
      <c r="Y55" s="62"/>
      <c r="Z55" s="1026"/>
      <c r="AA55" s="62"/>
      <c r="AB55" s="255" t="s">
        <v>1218</v>
      </c>
      <c r="AC55" s="127" t="s">
        <v>1219</v>
      </c>
      <c r="AD55" s="9" t="s">
        <v>859</v>
      </c>
      <c r="AE55" s="142"/>
      <c r="AF55" s="142"/>
      <c r="AG55" s="142"/>
      <c r="AH55" s="142"/>
      <c r="AI55" s="142">
        <v>306.16000000000003</v>
      </c>
      <c r="AJ55" s="142">
        <v>306.16000000000003</v>
      </c>
      <c r="AK55" s="216"/>
      <c r="AL55" s="62"/>
      <c r="AM55" s="62"/>
      <c r="AN55" s="676" t="s">
        <v>1220</v>
      </c>
    </row>
    <row r="56" spans="1:40" s="325" customFormat="1" ht="40.700000000000003" customHeight="1">
      <c r="A56" s="62"/>
      <c r="C56" s="62"/>
      <c r="D56" s="62"/>
      <c r="E56" s="178">
        <v>15</v>
      </c>
      <c r="F56" s="3" t="str" cm="1">
        <f t="array" aca="1" ref="F56" ca="1">OFFSET(E56,-1,1)</f>
        <v>1</v>
      </c>
      <c r="G56" s="72" t="s">
        <v>1221</v>
      </c>
      <c r="H56" s="42" t="s">
        <v>1222</v>
      </c>
      <c r="I56" s="62"/>
      <c r="J56" s="362"/>
      <c r="K56" s="362" t="str">
        <f ca="1">F56&amp;"16komm"</f>
        <v>116komm</v>
      </c>
      <c r="L56" s="605" t="str" cm="1">
        <f t="array" ref="L56">AK56</f>
        <v>Учтены расходы на ПОКУПНУЮ ЭЛЕКТРОЭНЕРГИЮ ДЛЯ ОБЩЕХОЗЯЙСТВЕННЫХ НУЖД. П. 22, 23 "Основ ценообразования в сфере водоснабжения и водоотведения".</v>
      </c>
      <c r="M56" s="62"/>
      <c r="N56" s="62"/>
      <c r="O56" s="62"/>
      <c r="P56" s="62"/>
      <c r="Q56" s="62"/>
      <c r="R56" s="62"/>
      <c r="S56" s="62"/>
      <c r="T56" s="351" t="b" cm="1">
        <f t="array" ref="T56">T55</f>
        <v>1</v>
      </c>
      <c r="U56" s="62"/>
      <c r="V56" s="62"/>
      <c r="W56" s="62"/>
      <c r="X56" s="998"/>
      <c r="Y56" s="62"/>
      <c r="Z56" s="1026"/>
      <c r="AA56" s="62"/>
      <c r="AB56" s="255" t="s">
        <v>1223</v>
      </c>
      <c r="AC56" s="127" t="s">
        <v>1224</v>
      </c>
      <c r="AD56" s="9" t="s">
        <v>859</v>
      </c>
      <c r="AE56" s="142">
        <v>340.67</v>
      </c>
      <c r="AF56" s="142">
        <v>705.53</v>
      </c>
      <c r="AG56" s="142">
        <v>705.53</v>
      </c>
      <c r="AH56" s="142">
        <v>4853.2084289590002</v>
      </c>
      <c r="AI56" s="142">
        <v>2933.03</v>
      </c>
      <c r="AJ56" s="142">
        <v>3159.08</v>
      </c>
      <c r="AK56" s="216" t="s">
        <v>1251</v>
      </c>
      <c r="AL56" s="62"/>
      <c r="AM56" s="62"/>
      <c r="AN56" s="676" t="s">
        <v>1225</v>
      </c>
    </row>
    <row r="57" spans="1:40" s="325" customFormat="1" ht="60.2" customHeight="1">
      <c r="A57" s="62"/>
      <c r="C57" s="62"/>
      <c r="D57" s="62"/>
      <c r="E57" s="178">
        <v>33.75</v>
      </c>
      <c r="F57" s="3" t="str" cm="1">
        <f t="array" aca="1" ref="F57" ca="1">OFFSET(E57,-1,1)</f>
        <v>1</v>
      </c>
      <c r="G57" s="252" t="s">
        <v>1226</v>
      </c>
      <c r="H57" s="42" t="s">
        <v>325</v>
      </c>
      <c r="I57" s="62"/>
      <c r="J57" s="362"/>
      <c r="K57" s="362" t="str">
        <f ca="1">F57&amp;"2komm"</f>
        <v>12komm</v>
      </c>
      <c r="L57" s="605" t="str" cm="1">
        <f t="array" ref="L57">AK57</f>
        <v>1) П 25 (3), п. 28, п. 29 Методических указаний № 1746-э. 2) "Классификация основных средств, включаемых в амортизационные группы"  (утверждена постановлением Правительства Российской Федерации от 1 января 2002 г. N 1).</v>
      </c>
      <c r="M57" s="62"/>
      <c r="N57" s="62"/>
      <c r="O57" s="62"/>
      <c r="P57" s="62"/>
      <c r="Q57" s="62"/>
      <c r="R57" s="62"/>
      <c r="S57" s="62"/>
      <c r="T57" s="351" t="b" cm="1">
        <f t="array" ref="T57">T56</f>
        <v>1</v>
      </c>
      <c r="U57" s="62"/>
      <c r="V57" s="62"/>
      <c r="W57" s="62"/>
      <c r="X57" s="998"/>
      <c r="Y57" s="62"/>
      <c r="Z57" s="1026"/>
      <c r="AA57" s="62"/>
      <c r="AB57" s="255" t="s">
        <v>438</v>
      </c>
      <c r="AC57" s="245" t="s">
        <v>1227</v>
      </c>
      <c r="AD57" s="9" t="s">
        <v>859</v>
      </c>
      <c r="AE57" s="142">
        <v>18.59</v>
      </c>
      <c r="AF57" s="142"/>
      <c r="AG57" s="142"/>
      <c r="AH57" s="142">
        <v>512.65390000000002</v>
      </c>
      <c r="AI57" s="142">
        <f>975.26+495.85</f>
        <v>1471.1100000000001</v>
      </c>
      <c r="AJ57" s="142">
        <f>975.26+495.85</f>
        <v>1471.1100000000001</v>
      </c>
      <c r="AK57" s="216" t="s">
        <v>1252</v>
      </c>
      <c r="AL57" s="62"/>
      <c r="AM57" s="62"/>
      <c r="AN57" s="676" t="s">
        <v>1228</v>
      </c>
    </row>
    <row r="58" spans="1:40" s="325" customFormat="1" ht="14.25" customHeight="1">
      <c r="A58" s="62"/>
      <c r="C58" s="62"/>
      <c r="D58" s="62"/>
      <c r="E58" s="178">
        <v>15</v>
      </c>
      <c r="F58" s="3" t="str" cm="1">
        <f t="array" aca="1" ref="F58" ca="1">OFFSET(E58,-1,1)</f>
        <v>1</v>
      </c>
      <c r="G58" s="252" t="s">
        <v>1229</v>
      </c>
      <c r="H58" s="42" t="s">
        <v>324</v>
      </c>
      <c r="I58" s="62"/>
      <c r="J58" s="362"/>
      <c r="K58" s="362" t="str">
        <f ca="1">F58&amp;"3komm"</f>
        <v>13komm</v>
      </c>
      <c r="L58" s="605" cm="1">
        <f t="array" ref="L58">AK58</f>
        <v>0</v>
      </c>
      <c r="M58" s="62"/>
      <c r="N58" s="62"/>
      <c r="O58" s="62"/>
      <c r="P58" s="62"/>
      <c r="Q58" s="62"/>
      <c r="R58" s="62"/>
      <c r="S58" s="62"/>
      <c r="T58" s="351" t="b" cm="1">
        <f t="array" ref="T58">T57</f>
        <v>1</v>
      </c>
      <c r="U58" s="62"/>
      <c r="V58" s="62"/>
      <c r="W58" s="62"/>
      <c r="X58" s="998"/>
      <c r="Y58" s="62"/>
      <c r="Z58" s="1026"/>
      <c r="AA58" s="62"/>
      <c r="AB58" s="255" t="s">
        <v>440</v>
      </c>
      <c r="AC58" s="245" t="s">
        <v>1230</v>
      </c>
      <c r="AD58" s="9" t="s">
        <v>859</v>
      </c>
      <c r="AE58" s="142"/>
      <c r="AF58" s="142"/>
      <c r="AG58" s="142"/>
      <c r="AH58" s="142"/>
      <c r="AI58" s="142"/>
      <c r="AJ58" s="142"/>
      <c r="AK58" s="216"/>
      <c r="AL58" s="62"/>
      <c r="AM58" s="62"/>
      <c r="AN58" s="676" t="s">
        <v>1231</v>
      </c>
    </row>
    <row r="59" spans="1:40" s="325" customFormat="1" ht="14.25" customHeight="1">
      <c r="A59" s="62"/>
      <c r="C59" s="62"/>
      <c r="D59" s="62"/>
      <c r="E59" s="178">
        <v>15</v>
      </c>
      <c r="F59" s="3" t="str" cm="1">
        <f t="array" aca="1" ref="F59" ca="1">OFFSET(E59,-1,1)</f>
        <v>1</v>
      </c>
      <c r="G59" s="252" t="s">
        <v>1232</v>
      </c>
      <c r="H59" s="42" t="s">
        <v>557</v>
      </c>
      <c r="I59" s="62"/>
      <c r="J59" s="62"/>
      <c r="K59" s="362" t="str">
        <f ca="1">F59&amp;"4komm"</f>
        <v>14komm</v>
      </c>
      <c r="L59" s="605" cm="1">
        <f t="array" ref="L59">AK59</f>
        <v>0</v>
      </c>
      <c r="M59" s="62"/>
      <c r="N59" s="62"/>
      <c r="O59" s="62"/>
      <c r="P59" s="62"/>
      <c r="Q59" s="62"/>
      <c r="R59" s="62"/>
      <c r="S59" s="62"/>
      <c r="T59" s="351" t="b" cm="1">
        <f t="array" ref="T59">T58</f>
        <v>1</v>
      </c>
      <c r="U59" s="62"/>
      <c r="V59" s="62"/>
      <c r="W59" s="62"/>
      <c r="X59" s="998"/>
      <c r="Y59" s="62"/>
      <c r="Z59" s="1026"/>
      <c r="AA59" s="62"/>
      <c r="AB59" s="255" t="s">
        <v>442</v>
      </c>
      <c r="AC59" s="245" t="s">
        <v>1233</v>
      </c>
      <c r="AD59" s="9" t="s">
        <v>859</v>
      </c>
      <c r="AE59" s="142"/>
      <c r="AF59" s="142"/>
      <c r="AG59" s="142"/>
      <c r="AH59" s="142"/>
      <c r="AI59" s="142"/>
      <c r="AJ59" s="142"/>
      <c r="AK59" s="216"/>
      <c r="AL59" s="62"/>
      <c r="AM59" s="62"/>
      <c r="AN59" s="676" t="s">
        <v>1234</v>
      </c>
    </row>
    <row r="60" spans="1:40" s="325" customFormat="1" ht="14.25" customHeight="1">
      <c r="A60" s="62"/>
      <c r="C60" s="62"/>
      <c r="D60" s="62"/>
      <c r="E60" s="178">
        <v>15</v>
      </c>
      <c r="F60" s="3" t="str" cm="1">
        <f t="array" aca="1" ref="F60" ca="1">OFFSET(E60,-1,1)</f>
        <v>1</v>
      </c>
      <c r="G60" s="252" t="s">
        <v>1235</v>
      </c>
      <c r="H60" s="42" t="s">
        <v>560</v>
      </c>
      <c r="I60" s="62"/>
      <c r="J60" s="62"/>
      <c r="K60" s="362" t="str">
        <f ca="1">F60&amp;"5komm"</f>
        <v>15komm</v>
      </c>
      <c r="L60" s="605" cm="1">
        <f t="array" ref="L60">AK60</f>
        <v>0</v>
      </c>
      <c r="M60" s="62"/>
      <c r="N60" s="62"/>
      <c r="O60" s="62"/>
      <c r="P60" s="62"/>
      <c r="Q60" s="62"/>
      <c r="R60" s="62"/>
      <c r="S60" s="62"/>
      <c r="T60" s="351" t="b" cm="1">
        <f t="array" ref="T60">T59</f>
        <v>1</v>
      </c>
      <c r="U60" s="62"/>
      <c r="V60" s="62"/>
      <c r="W60" s="62"/>
      <c r="X60" s="998"/>
      <c r="Y60" s="62"/>
      <c r="Z60" s="1026"/>
      <c r="AA60" s="62"/>
      <c r="AB60" s="255" t="s">
        <v>444</v>
      </c>
      <c r="AC60" s="245" t="s">
        <v>1236</v>
      </c>
      <c r="AD60" s="9" t="s">
        <v>859</v>
      </c>
      <c r="AE60" s="142"/>
      <c r="AF60" s="142"/>
      <c r="AG60" s="142"/>
      <c r="AH60" s="142"/>
      <c r="AI60" s="142"/>
      <c r="AJ60" s="142"/>
      <c r="AK60" s="216"/>
      <c r="AL60" s="62"/>
      <c r="AM60" s="62"/>
      <c r="AN60" s="676" t="s">
        <v>1237</v>
      </c>
    </row>
    <row r="61" spans="1:40" s="325" customFormat="1" ht="30.95" customHeight="1">
      <c r="A61" s="62"/>
      <c r="C61" s="62"/>
      <c r="D61" s="62"/>
      <c r="E61" s="178">
        <v>15</v>
      </c>
      <c r="F61" s="3" t="str" cm="1">
        <f t="array" aca="1" ref="F61" ca="1">OFFSET(E61,-1,1)</f>
        <v>1</v>
      </c>
      <c r="G61" s="252" t="s">
        <v>1238</v>
      </c>
      <c r="H61" s="42" t="s">
        <v>613</v>
      </c>
      <c r="I61" s="62"/>
      <c r="J61" s="62"/>
      <c r="K61" s="362" t="str">
        <f ca="1">F61&amp;"6komm"</f>
        <v>16komm</v>
      </c>
      <c r="L61" s="605" cm="1">
        <f t="array" ref="L61">AK61</f>
        <v>0</v>
      </c>
      <c r="M61" s="62"/>
      <c r="N61" s="62"/>
      <c r="O61" s="62"/>
      <c r="P61" s="62"/>
      <c r="Q61" s="62"/>
      <c r="R61" s="62"/>
      <c r="S61" s="62"/>
      <c r="T61" s="351" t="b" cm="1">
        <f t="array" ref="T61">T60</f>
        <v>1</v>
      </c>
      <c r="U61" s="62"/>
      <c r="V61" s="62"/>
      <c r="W61" s="62"/>
      <c r="X61" s="998"/>
      <c r="Y61" s="62"/>
      <c r="Z61" s="1026"/>
      <c r="AA61" s="62"/>
      <c r="AB61" s="255" t="s">
        <v>446</v>
      </c>
      <c r="AC61" s="245" t="s">
        <v>1239</v>
      </c>
      <c r="AD61" s="9" t="s">
        <v>859</v>
      </c>
      <c r="AE61" s="170">
        <f t="shared" ref="AE61:AJ61" si="5">SUM(AE62:AE64)</f>
        <v>125.45</v>
      </c>
      <c r="AF61" s="170">
        <f t="shared" si="5"/>
        <v>281.29000000000002</v>
      </c>
      <c r="AG61" s="170">
        <f t="shared" si="5"/>
        <v>281.29000000000002</v>
      </c>
      <c r="AH61" s="170">
        <f t="shared" si="5"/>
        <v>672.22</v>
      </c>
      <c r="AI61" s="170">
        <f t="shared" si="5"/>
        <v>2273.7000000000003</v>
      </c>
      <c r="AJ61" s="170">
        <f t="shared" si="5"/>
        <v>1698.55</v>
      </c>
      <c r="AK61" s="216"/>
      <c r="AL61" s="62"/>
      <c r="AM61" s="62"/>
      <c r="AN61" s="676" t="s">
        <v>385</v>
      </c>
    </row>
    <row r="62" spans="1:40" s="325" customFormat="1" ht="20.45" customHeight="1">
      <c r="A62" s="62"/>
      <c r="C62" s="62"/>
      <c r="D62" s="62"/>
      <c r="E62" s="178">
        <v>15</v>
      </c>
      <c r="F62" s="3" t="str" cm="1">
        <f t="array" aca="1" ref="F62" ca="1">OFFSET(E62,-1,1)</f>
        <v>1</v>
      </c>
      <c r="G62" s="252" t="s">
        <v>1240</v>
      </c>
      <c r="H62" s="42" t="s">
        <v>616</v>
      </c>
      <c r="I62" s="62"/>
      <c r="J62" s="62"/>
      <c r="K62" s="362" t="str">
        <f ca="1">F62&amp;"7komm"</f>
        <v>17komm</v>
      </c>
      <c r="L62" s="605" cm="1">
        <f t="array" ref="L62">AK62</f>
        <v>0</v>
      </c>
      <c r="M62" s="62"/>
      <c r="N62" s="62"/>
      <c r="O62" s="62"/>
      <c r="P62" s="62"/>
      <c r="Q62" s="62"/>
      <c r="R62" s="62"/>
      <c r="S62" s="62"/>
      <c r="T62" s="351" t="b" cm="1">
        <f t="array" ref="T62">T61</f>
        <v>1</v>
      </c>
      <c r="U62" s="62"/>
      <c r="V62" s="62"/>
      <c r="W62" s="62"/>
      <c r="X62" s="998"/>
      <c r="Y62" s="62"/>
      <c r="Z62" s="1026"/>
      <c r="AA62" s="62"/>
      <c r="AB62" s="255" t="s">
        <v>639</v>
      </c>
      <c r="AC62" s="127" t="s">
        <v>1241</v>
      </c>
      <c r="AD62" s="9" t="s">
        <v>859</v>
      </c>
      <c r="AE62" s="142"/>
      <c r="AF62" s="142"/>
      <c r="AG62" s="142"/>
      <c r="AH62" s="142"/>
      <c r="AI62" s="142"/>
      <c r="AJ62" s="142"/>
      <c r="AK62" s="216"/>
      <c r="AL62" s="62"/>
      <c r="AM62" s="62"/>
      <c r="AN62" s="676" t="s">
        <v>1242</v>
      </c>
    </row>
    <row r="63" spans="1:40" s="325" customFormat="1" ht="19.7" customHeight="1">
      <c r="A63" s="62"/>
      <c r="C63" s="62"/>
      <c r="D63" s="62"/>
      <c r="E63" s="178">
        <v>45</v>
      </c>
      <c r="F63" s="3" t="str" cm="1">
        <f t="array" aca="1" ref="F63" ca="1">OFFSET(E63,-1,1)</f>
        <v>1</v>
      </c>
      <c r="G63" s="252" t="s">
        <v>1243</v>
      </c>
      <c r="H63" s="42" t="s">
        <v>620</v>
      </c>
      <c r="I63" s="62"/>
      <c r="J63" s="62"/>
      <c r="K63" s="362" t="str">
        <f ca="1">F63&amp;"8komm"</f>
        <v>18komm</v>
      </c>
      <c r="L63" s="605" cm="1">
        <f t="array" ref="L63">AK63</f>
        <v>0</v>
      </c>
      <c r="M63" s="62"/>
      <c r="N63" s="62"/>
      <c r="O63" s="62"/>
      <c r="P63" s="62"/>
      <c r="Q63" s="62"/>
      <c r="R63" s="62"/>
      <c r="S63" s="62"/>
      <c r="T63" s="351" t="b" cm="1">
        <f t="array" ref="T63">T62</f>
        <v>1</v>
      </c>
      <c r="U63" s="62"/>
      <c r="V63" s="62"/>
      <c r="W63" s="62"/>
      <c r="X63" s="998"/>
      <c r="Y63" s="62"/>
      <c r="Z63" s="1026"/>
      <c r="AA63" s="62"/>
      <c r="AB63" s="255" t="s">
        <v>656</v>
      </c>
      <c r="AC63" s="127" t="s">
        <v>1244</v>
      </c>
      <c r="AD63" s="9" t="s">
        <v>859</v>
      </c>
      <c r="AE63" s="142"/>
      <c r="AF63" s="142"/>
      <c r="AG63" s="142"/>
      <c r="AH63" s="142"/>
      <c r="AI63" s="142"/>
      <c r="AJ63" s="142"/>
      <c r="AK63" s="216"/>
      <c r="AL63" s="62"/>
      <c r="AM63" s="62"/>
      <c r="AN63" s="676" t="s">
        <v>1245</v>
      </c>
    </row>
    <row r="64" spans="1:40" s="325" customFormat="1" ht="40.700000000000003" customHeight="1">
      <c r="A64" s="62"/>
      <c r="C64" s="62"/>
      <c r="D64" s="62"/>
      <c r="E64" s="178">
        <v>15</v>
      </c>
      <c r="F64" s="3" t="str" cm="1">
        <f t="array" aca="1" ref="F64" ca="1">OFFSET(E64,-1,1)</f>
        <v>1</v>
      </c>
      <c r="G64" s="72" t="s">
        <v>1246</v>
      </c>
      <c r="H64" s="42" t="s">
        <v>624</v>
      </c>
      <c r="I64" s="62"/>
      <c r="J64" s="62"/>
      <c r="K64" s="362" t="str">
        <f ca="1">F64&amp;"9komm"</f>
        <v>19komm</v>
      </c>
      <c r="L64" s="605" t="str" cm="1">
        <f t="array" ref="L64">AK64</f>
        <v>П. 25 (1) , п. 25 (4) - 25 (7) Методических указаний  № 1746-э.</v>
      </c>
      <c r="M64" s="62"/>
      <c r="N64" s="62"/>
      <c r="O64" s="62"/>
      <c r="P64" s="62"/>
      <c r="Q64" s="62"/>
      <c r="R64" s="62"/>
      <c r="S64" s="62"/>
      <c r="T64" s="351" t="b" cm="1">
        <f t="array" ref="T64">T63</f>
        <v>1</v>
      </c>
      <c r="U64" s="62"/>
      <c r="V64" s="62"/>
      <c r="W64" s="62"/>
      <c r="X64" s="998"/>
      <c r="Y64" s="62"/>
      <c r="Z64" s="1026"/>
      <c r="AA64" s="62"/>
      <c r="AB64" s="255" t="s">
        <v>668</v>
      </c>
      <c r="AC64" s="127" t="s">
        <v>1247</v>
      </c>
      <c r="AD64" s="9" t="s">
        <v>859</v>
      </c>
      <c r="AE64" s="142">
        <f>125.45</f>
        <v>125.45</v>
      </c>
      <c r="AF64" s="142">
        <f>259.18+22.11</f>
        <v>281.29000000000002</v>
      </c>
      <c r="AG64" s="142">
        <v>281.29000000000002</v>
      </c>
      <c r="AH64" s="142">
        <v>672.22</v>
      </c>
      <c r="AI64" s="142">
        <f>643.93+1517.24+112.53</f>
        <v>2273.7000000000003</v>
      </c>
      <c r="AJ64" s="142">
        <f>643.93+942.09+112.53</f>
        <v>1698.55</v>
      </c>
      <c r="AK64" s="216" t="s">
        <v>1253</v>
      </c>
      <c r="AL64" s="62"/>
      <c r="AM64" s="62"/>
      <c r="AN64" s="676" t="s">
        <v>1248</v>
      </c>
    </row>
    <row r="65" spans="1:40" s="62" customFormat="1" ht="10.9" customHeight="1">
      <c r="B65" s="325"/>
      <c r="C65"/>
      <c r="D65"/>
      <c r="E65" s="178">
        <v>11.25</v>
      </c>
      <c r="F65" s="4"/>
      <c r="G65"/>
      <c r="H65"/>
      <c r="I65"/>
      <c r="J65"/>
      <c r="K65"/>
      <c r="L65"/>
      <c r="M65"/>
      <c r="N65"/>
      <c r="O65"/>
      <c r="P65"/>
      <c r="Q65"/>
      <c r="R65"/>
      <c r="S65"/>
      <c r="T65"/>
      <c r="U65" t="s">
        <v>175</v>
      </c>
      <c r="V65" s="56" t="s">
        <v>1254</v>
      </c>
      <c r="W65"/>
      <c r="X65"/>
      <c r="Y65"/>
      <c r="Z65"/>
      <c r="AA65"/>
      <c r="AB65"/>
      <c r="AC65" s="18"/>
      <c r="AD65" s="18"/>
      <c r="AE65" s="256"/>
      <c r="AF65" s="256"/>
      <c r="AG65" s="257"/>
      <c r="AH65" s="257"/>
      <c r="AI65" s="257"/>
      <c r="AJ65"/>
      <c r="AK65"/>
      <c r="AL65"/>
      <c r="AN65" s="676"/>
    </row>
    <row r="66" spans="1:40" s="62" customFormat="1" ht="14.65" customHeight="1">
      <c r="B66" s="325"/>
      <c r="C66" s="17"/>
      <c r="D66" s="17"/>
      <c r="E66" s="459">
        <v>15</v>
      </c>
      <c r="F66" s="17"/>
      <c r="G66" s="17"/>
      <c r="H66" s="17"/>
      <c r="I66" s="17"/>
      <c r="J66" s="17"/>
      <c r="K66" s="17"/>
      <c r="L66" s="17"/>
      <c r="M66" s="17"/>
      <c r="N66" s="17"/>
      <c r="O66" s="17"/>
      <c r="P66" s="17"/>
      <c r="Q66" s="17"/>
      <c r="R66" s="252"/>
      <c r="S66" s="17"/>
      <c r="T66" s="17"/>
      <c r="U66" s="17"/>
      <c r="V66" s="17"/>
      <c r="W66" s="17"/>
      <c r="X66" s="17"/>
      <c r="Y66" s="17"/>
      <c r="Z66" s="17"/>
      <c r="AA66" s="17"/>
      <c r="AB66" s="1028" t="s">
        <v>396</v>
      </c>
      <c r="AC66" s="1028"/>
      <c r="AD66" s="1028"/>
      <c r="AE66" s="1028"/>
      <c r="AF66" s="1028"/>
      <c r="AG66" s="1028"/>
      <c r="AH66" s="1028"/>
      <c r="AI66" s="1048"/>
      <c r="AJ66" s="1048"/>
      <c r="AK66" s="1048"/>
      <c r="AL66" s="17"/>
      <c r="AN66" s="676"/>
    </row>
    <row r="67" spans="1:40" s="62" customFormat="1" ht="35.450000000000003" customHeight="1">
      <c r="B67" s="325"/>
      <c r="C67" s="17"/>
      <c r="D67" s="17"/>
      <c r="E67" s="459">
        <v>15</v>
      </c>
      <c r="F67" s="17"/>
      <c r="G67" s="17"/>
      <c r="H67" s="17"/>
      <c r="I67" s="17"/>
      <c r="J67" s="17"/>
      <c r="K67" s="17"/>
      <c r="L67" s="17"/>
      <c r="M67" s="17"/>
      <c r="N67" s="17"/>
      <c r="O67" s="17"/>
      <c r="P67" s="17"/>
      <c r="Q67" s="17"/>
      <c r="R67" s="252"/>
      <c r="S67" s="17"/>
      <c r="U67" s="17"/>
      <c r="V67" s="17"/>
      <c r="W67" s="17"/>
      <c r="X67" s="17"/>
      <c r="Y67" s="17"/>
      <c r="Z67" s="17"/>
      <c r="AA67" s="87"/>
      <c r="AB67" s="1049" t="s">
        <v>1255</v>
      </c>
      <c r="AC67" s="1049"/>
      <c r="AD67" s="1049"/>
      <c r="AE67" s="1049"/>
      <c r="AF67" s="1049"/>
      <c r="AG67" s="1049"/>
      <c r="AH67" s="1049"/>
      <c r="AI67" s="1050"/>
      <c r="AJ67" s="1050"/>
      <c r="AK67" s="1050"/>
      <c r="AL67" s="17"/>
      <c r="AN67" s="676"/>
    </row>
    <row r="68" spans="1:40" s="62" customFormat="1" ht="14.65" hidden="1" customHeight="1">
      <c r="B68" s="325"/>
      <c r="C68" s="17"/>
      <c r="D68" s="17"/>
      <c r="E68" s="459">
        <v>15</v>
      </c>
      <c r="F68" s="17"/>
      <c r="G68" s="17"/>
      <c r="H68" s="17"/>
      <c r="I68" s="17"/>
      <c r="J68" s="17"/>
      <c r="K68" s="17"/>
      <c r="L68" s="17"/>
      <c r="M68" s="17"/>
      <c r="N68" s="17"/>
      <c r="O68" s="17"/>
      <c r="P68" s="17"/>
      <c r="Q68" s="17"/>
      <c r="R68" s="252"/>
      <c r="S68" s="17"/>
      <c r="T68" s="351" t="b">
        <f t="shared" ref="T68:T81" si="6">ROW(W68)&gt;ROW(W$68)</f>
        <v>0</v>
      </c>
      <c r="U68" s="17"/>
      <c r="V68" s="17"/>
      <c r="W68" s="515" t="s">
        <v>171</v>
      </c>
      <c r="X68" s="17"/>
      <c r="Y68" s="17"/>
      <c r="Z68" s="17"/>
      <c r="AA68" s="319" t="s">
        <v>172</v>
      </c>
      <c r="AB68" s="1077" t="s">
        <v>124</v>
      </c>
      <c r="AC68" s="1077"/>
      <c r="AD68" s="1077"/>
      <c r="AE68" s="1077"/>
      <c r="AF68" s="1077"/>
      <c r="AG68" s="1077"/>
      <c r="AH68" s="1077"/>
      <c r="AI68" s="1050"/>
      <c r="AJ68" s="1050"/>
      <c r="AK68" s="1078"/>
      <c r="AL68" s="17"/>
      <c r="AN68" s="676"/>
    </row>
    <row r="69" spans="1:40" s="325" customFormat="1" ht="26.45" customHeight="1">
      <c r="A69" s="62"/>
      <c r="C69" s="17"/>
      <c r="D69" s="17"/>
      <c r="E69" s="459">
        <v>15</v>
      </c>
      <c r="F69" s="17"/>
      <c r="G69" s="17"/>
      <c r="H69" s="17"/>
      <c r="I69" s="17"/>
      <c r="J69" s="17"/>
      <c r="K69" s="17"/>
      <c r="L69" s="17"/>
      <c r="M69" s="17"/>
      <c r="N69" s="17"/>
      <c r="O69" s="17"/>
      <c r="P69" s="17"/>
      <c r="Q69" s="17"/>
      <c r="R69" s="252"/>
      <c r="S69" s="17"/>
      <c r="T69" s="351" t="b">
        <f t="shared" si="6"/>
        <v>1</v>
      </c>
      <c r="U69" s="17"/>
      <c r="V69" s="17"/>
      <c r="W69" s="515"/>
      <c r="X69" s="17"/>
      <c r="Y69" s="17" t="s">
        <v>124</v>
      </c>
      <c r="Z69" s="17"/>
      <c r="AA69" s="319" t="s">
        <v>172</v>
      </c>
      <c r="AB69" s="1049" t="s">
        <v>1256</v>
      </c>
      <c r="AC69" s="1049"/>
      <c r="AD69" s="1049"/>
      <c r="AE69" s="1049"/>
      <c r="AF69" s="1049"/>
      <c r="AG69" s="1049"/>
      <c r="AH69" s="1049"/>
      <c r="AI69" s="1050"/>
      <c r="AJ69" s="1050"/>
      <c r="AK69" s="1050"/>
      <c r="AL69" s="17"/>
      <c r="AM69" s="62"/>
      <c r="AN69" s="676"/>
    </row>
    <row r="70" spans="1:40" s="325" customFormat="1" ht="31.7" customHeight="1">
      <c r="A70" s="62"/>
      <c r="C70" s="17"/>
      <c r="D70" s="17"/>
      <c r="E70" s="459">
        <v>15</v>
      </c>
      <c r="F70" s="17"/>
      <c r="G70" s="17"/>
      <c r="H70" s="17"/>
      <c r="I70" s="17"/>
      <c r="J70" s="17"/>
      <c r="K70" s="17"/>
      <c r="L70" s="17"/>
      <c r="M70" s="17"/>
      <c r="N70" s="17"/>
      <c r="O70" s="17"/>
      <c r="P70" s="17"/>
      <c r="Q70" s="17"/>
      <c r="R70" s="252"/>
      <c r="S70" s="17"/>
      <c r="T70" s="351" t="b">
        <f t="shared" si="6"/>
        <v>1</v>
      </c>
      <c r="U70" s="17"/>
      <c r="V70" s="17"/>
      <c r="W70" s="515"/>
      <c r="X70" s="17"/>
      <c r="Y70" s="17" t="s">
        <v>124</v>
      </c>
      <c r="Z70" s="17"/>
      <c r="AA70" s="319" t="s">
        <v>172</v>
      </c>
      <c r="AB70" s="1049" t="s">
        <v>1257</v>
      </c>
      <c r="AC70" s="1049"/>
      <c r="AD70" s="1049"/>
      <c r="AE70" s="1049"/>
      <c r="AF70" s="1049"/>
      <c r="AG70" s="1049"/>
      <c r="AH70" s="1049"/>
      <c r="AI70" s="1050"/>
      <c r="AJ70" s="1050"/>
      <c r="AK70" s="1050"/>
      <c r="AL70" s="17"/>
      <c r="AM70" s="62"/>
      <c r="AN70" s="676"/>
    </row>
    <row r="71" spans="1:40" s="325" customFormat="1" ht="34.700000000000003" customHeight="1">
      <c r="A71" s="62"/>
      <c r="C71" s="17"/>
      <c r="D71" s="17"/>
      <c r="E71" s="459">
        <v>15</v>
      </c>
      <c r="F71" s="17"/>
      <c r="G71" s="17"/>
      <c r="H71" s="17"/>
      <c r="I71" s="17"/>
      <c r="J71" s="17"/>
      <c r="K71" s="17"/>
      <c r="L71" s="17"/>
      <c r="M71" s="17"/>
      <c r="N71" s="17"/>
      <c r="O71" s="17"/>
      <c r="P71" s="17"/>
      <c r="Q71" s="17"/>
      <c r="R71" s="252"/>
      <c r="S71" s="17"/>
      <c r="T71" s="351" t="b">
        <f t="shared" si="6"/>
        <v>1</v>
      </c>
      <c r="U71" s="17"/>
      <c r="V71" s="17"/>
      <c r="W71" s="515"/>
      <c r="X71" s="17"/>
      <c r="Y71" s="17" t="s">
        <v>124</v>
      </c>
      <c r="Z71" s="17"/>
      <c r="AA71" s="319" t="s">
        <v>172</v>
      </c>
      <c r="AB71" s="1049" t="s">
        <v>1258</v>
      </c>
      <c r="AC71" s="1049"/>
      <c r="AD71" s="1049"/>
      <c r="AE71" s="1049"/>
      <c r="AF71" s="1049"/>
      <c r="AG71" s="1049"/>
      <c r="AH71" s="1049"/>
      <c r="AI71" s="1050"/>
      <c r="AJ71" s="1050"/>
      <c r="AK71" s="1050"/>
      <c r="AL71" s="17"/>
      <c r="AM71" s="62"/>
      <c r="AN71" s="676"/>
    </row>
    <row r="72" spans="1:40" s="325" customFormat="1" ht="36.200000000000003" customHeight="1">
      <c r="A72" s="62"/>
      <c r="C72" s="17"/>
      <c r="D72" s="17"/>
      <c r="E72" s="459">
        <v>15</v>
      </c>
      <c r="F72" s="17"/>
      <c r="G72" s="17"/>
      <c r="H72" s="17"/>
      <c r="I72" s="17"/>
      <c r="J72" s="17"/>
      <c r="K72" s="17"/>
      <c r="L72" s="17"/>
      <c r="M72" s="17"/>
      <c r="N72" s="17"/>
      <c r="O72" s="17"/>
      <c r="P72" s="17"/>
      <c r="Q72" s="17"/>
      <c r="R72" s="252"/>
      <c r="S72" s="17"/>
      <c r="T72" s="351" t="b">
        <f t="shared" si="6"/>
        <v>1</v>
      </c>
      <c r="U72" s="17"/>
      <c r="V72" s="17"/>
      <c r="W72" s="515"/>
      <c r="X72" s="17"/>
      <c r="Y72" s="17" t="s">
        <v>124</v>
      </c>
      <c r="Z72" s="17"/>
      <c r="AA72" s="319" t="s">
        <v>172</v>
      </c>
      <c r="AB72" s="1049" t="s">
        <v>1259</v>
      </c>
      <c r="AC72" s="1049"/>
      <c r="AD72" s="1049"/>
      <c r="AE72" s="1049"/>
      <c r="AF72" s="1049"/>
      <c r="AG72" s="1049"/>
      <c r="AH72" s="1049"/>
      <c r="AI72" s="1050"/>
      <c r="AJ72" s="1050"/>
      <c r="AK72" s="1050"/>
      <c r="AL72" s="17"/>
      <c r="AM72" s="62"/>
      <c r="AN72" s="676"/>
    </row>
    <row r="73" spans="1:40" s="325" customFormat="1" ht="33.200000000000003" customHeight="1">
      <c r="A73" s="62"/>
      <c r="C73" s="17"/>
      <c r="D73" s="17"/>
      <c r="E73" s="459">
        <v>15</v>
      </c>
      <c r="F73" s="17"/>
      <c r="G73" s="17"/>
      <c r="H73" s="17"/>
      <c r="I73" s="17"/>
      <c r="J73" s="17"/>
      <c r="K73" s="17"/>
      <c r="L73" s="17"/>
      <c r="M73" s="17"/>
      <c r="N73" s="17"/>
      <c r="O73" s="17"/>
      <c r="P73" s="17"/>
      <c r="Q73" s="17"/>
      <c r="R73" s="252"/>
      <c r="S73" s="17"/>
      <c r="T73" s="351" t="b">
        <f t="shared" si="6"/>
        <v>1</v>
      </c>
      <c r="U73" s="17"/>
      <c r="V73" s="17"/>
      <c r="W73" s="515"/>
      <c r="X73" s="17"/>
      <c r="Y73" s="17" t="s">
        <v>124</v>
      </c>
      <c r="Z73" s="17"/>
      <c r="AA73" s="319" t="s">
        <v>172</v>
      </c>
      <c r="AB73" s="1049" t="s">
        <v>1260</v>
      </c>
      <c r="AC73" s="1049"/>
      <c r="AD73" s="1049"/>
      <c r="AE73" s="1049"/>
      <c r="AF73" s="1049"/>
      <c r="AG73" s="1049"/>
      <c r="AH73" s="1049"/>
      <c r="AI73" s="1050"/>
      <c r="AJ73" s="1050"/>
      <c r="AK73" s="1050"/>
      <c r="AL73" s="17"/>
      <c r="AM73" s="62"/>
      <c r="AN73" s="676"/>
    </row>
    <row r="74" spans="1:40" s="325" customFormat="1" ht="42.4" customHeight="1">
      <c r="A74" s="62"/>
      <c r="C74" s="17"/>
      <c r="D74" s="17"/>
      <c r="E74" s="459">
        <v>15</v>
      </c>
      <c r="F74" s="17"/>
      <c r="G74" s="17"/>
      <c r="H74" s="17"/>
      <c r="I74" s="17"/>
      <c r="J74" s="17"/>
      <c r="K74" s="17"/>
      <c r="L74" s="17"/>
      <c r="M74" s="17"/>
      <c r="N74" s="17"/>
      <c r="O74" s="17"/>
      <c r="P74" s="17"/>
      <c r="Q74" s="17"/>
      <c r="R74" s="252"/>
      <c r="S74" s="17"/>
      <c r="T74" s="351" t="b">
        <f t="shared" si="6"/>
        <v>1</v>
      </c>
      <c r="U74" s="17"/>
      <c r="V74" s="17"/>
      <c r="W74" s="515"/>
      <c r="X74" s="17"/>
      <c r="Y74" s="17" t="s">
        <v>124</v>
      </c>
      <c r="Z74" s="17"/>
      <c r="AA74" s="319" t="s">
        <v>172</v>
      </c>
      <c r="AB74" s="1049" t="s">
        <v>1261</v>
      </c>
      <c r="AC74" s="1049"/>
      <c r="AD74" s="1049"/>
      <c r="AE74" s="1049"/>
      <c r="AF74" s="1049"/>
      <c r="AG74" s="1049"/>
      <c r="AH74" s="1049"/>
      <c r="AI74" s="1050"/>
      <c r="AJ74" s="1050"/>
      <c r="AK74" s="1050"/>
      <c r="AL74" s="17"/>
      <c r="AM74" s="62"/>
      <c r="AN74" s="676"/>
    </row>
    <row r="75" spans="1:40" s="325" customFormat="1" ht="34.15" customHeight="1">
      <c r="A75" s="62"/>
      <c r="C75" s="17"/>
      <c r="D75" s="17"/>
      <c r="E75" s="459">
        <v>15</v>
      </c>
      <c r="F75" s="17"/>
      <c r="G75" s="17"/>
      <c r="H75" s="17"/>
      <c r="I75" s="17"/>
      <c r="J75" s="17"/>
      <c r="K75" s="17"/>
      <c r="L75" s="17"/>
      <c r="M75" s="17"/>
      <c r="N75" s="17"/>
      <c r="O75" s="17"/>
      <c r="P75" s="17"/>
      <c r="Q75" s="17"/>
      <c r="R75" s="252"/>
      <c r="S75" s="17"/>
      <c r="T75" s="351" t="b">
        <f t="shared" si="6"/>
        <v>1</v>
      </c>
      <c r="U75" s="17"/>
      <c r="V75" s="17"/>
      <c r="W75" s="515"/>
      <c r="X75" s="17"/>
      <c r="Y75" s="17" t="s">
        <v>124</v>
      </c>
      <c r="Z75" s="17"/>
      <c r="AA75" s="319" t="s">
        <v>172</v>
      </c>
      <c r="AB75" s="1049" t="s">
        <v>1262</v>
      </c>
      <c r="AC75" s="1049"/>
      <c r="AD75" s="1049"/>
      <c r="AE75" s="1049"/>
      <c r="AF75" s="1049"/>
      <c r="AG75" s="1049"/>
      <c r="AH75" s="1049"/>
      <c r="AI75" s="1050"/>
      <c r="AJ75" s="1050"/>
      <c r="AK75" s="1050"/>
      <c r="AL75" s="17"/>
      <c r="AM75" s="62"/>
      <c r="AN75" s="676"/>
    </row>
    <row r="76" spans="1:40" s="325" customFormat="1" ht="29.45" customHeight="1">
      <c r="A76" s="62"/>
      <c r="C76" s="17"/>
      <c r="D76" s="17"/>
      <c r="E76" s="459">
        <v>15</v>
      </c>
      <c r="F76" s="17"/>
      <c r="G76" s="17"/>
      <c r="H76" s="17"/>
      <c r="I76" s="17"/>
      <c r="J76" s="17"/>
      <c r="K76" s="17"/>
      <c r="L76" s="17"/>
      <c r="M76" s="17"/>
      <c r="N76" s="17"/>
      <c r="O76" s="17"/>
      <c r="P76" s="17"/>
      <c r="Q76" s="17"/>
      <c r="R76" s="252"/>
      <c r="S76" s="17"/>
      <c r="T76" s="351" t="b">
        <f t="shared" si="6"/>
        <v>1</v>
      </c>
      <c r="U76" s="17"/>
      <c r="V76" s="17"/>
      <c r="W76" s="515"/>
      <c r="X76" s="17"/>
      <c r="Y76" s="17" t="s">
        <v>124</v>
      </c>
      <c r="Z76" s="17"/>
      <c r="AA76" s="319" t="s">
        <v>172</v>
      </c>
      <c r="AB76" s="1049" t="s">
        <v>1263</v>
      </c>
      <c r="AC76" s="1049"/>
      <c r="AD76" s="1049"/>
      <c r="AE76" s="1049"/>
      <c r="AF76" s="1049"/>
      <c r="AG76" s="1049"/>
      <c r="AH76" s="1049"/>
      <c r="AI76" s="1050"/>
      <c r="AJ76" s="1050"/>
      <c r="AK76" s="1050"/>
      <c r="AL76" s="17"/>
      <c r="AM76" s="62"/>
      <c r="AN76" s="676"/>
    </row>
    <row r="77" spans="1:40" s="325" customFormat="1" ht="34.15" customHeight="1">
      <c r="A77" s="62"/>
      <c r="C77" s="17"/>
      <c r="D77" s="17"/>
      <c r="E77" s="459">
        <v>15</v>
      </c>
      <c r="F77" s="17"/>
      <c r="G77" s="17"/>
      <c r="H77" s="17"/>
      <c r="I77" s="17"/>
      <c r="J77" s="17"/>
      <c r="K77" s="17"/>
      <c r="L77" s="17"/>
      <c r="M77" s="17"/>
      <c r="N77" s="17"/>
      <c r="O77" s="17"/>
      <c r="P77" s="17"/>
      <c r="Q77" s="17"/>
      <c r="R77" s="252"/>
      <c r="S77" s="17"/>
      <c r="T77" s="351" t="b">
        <f t="shared" si="6"/>
        <v>1</v>
      </c>
      <c r="U77" s="17"/>
      <c r="V77" s="17"/>
      <c r="W77" s="515"/>
      <c r="X77" s="17"/>
      <c r="Y77" s="17" t="s">
        <v>124</v>
      </c>
      <c r="Z77" s="17"/>
      <c r="AA77" s="319" t="s">
        <v>172</v>
      </c>
      <c r="AB77" s="1049" t="s">
        <v>1264</v>
      </c>
      <c r="AC77" s="1049"/>
      <c r="AD77" s="1049"/>
      <c r="AE77" s="1049"/>
      <c r="AF77" s="1049"/>
      <c r="AG77" s="1049"/>
      <c r="AH77" s="1049"/>
      <c r="AI77" s="1050"/>
      <c r="AJ77" s="1050"/>
      <c r="AK77" s="1050"/>
      <c r="AL77" s="17"/>
      <c r="AM77" s="62"/>
      <c r="AN77" s="676"/>
    </row>
    <row r="78" spans="1:40" s="325" customFormat="1" ht="31.5" customHeight="1">
      <c r="A78" s="62"/>
      <c r="C78" s="17"/>
      <c r="D78" s="17"/>
      <c r="E78" s="459">
        <v>15</v>
      </c>
      <c r="F78" s="17"/>
      <c r="G78" s="17"/>
      <c r="H78" s="17"/>
      <c r="I78" s="17"/>
      <c r="J78" s="17"/>
      <c r="K78" s="17"/>
      <c r="L78" s="17"/>
      <c r="M78" s="17"/>
      <c r="N78" s="17"/>
      <c r="O78" s="17"/>
      <c r="P78" s="17"/>
      <c r="Q78" s="17"/>
      <c r="R78" s="252"/>
      <c r="S78" s="17"/>
      <c r="T78" s="351" t="b">
        <f t="shared" si="6"/>
        <v>1</v>
      </c>
      <c r="U78" s="17"/>
      <c r="V78" s="17"/>
      <c r="W78" s="515"/>
      <c r="X78" s="17"/>
      <c r="Y78" s="17" t="s">
        <v>124</v>
      </c>
      <c r="Z78" s="17"/>
      <c r="AA78" s="319" t="s">
        <v>172</v>
      </c>
      <c r="AB78" s="1049" t="s">
        <v>1265</v>
      </c>
      <c r="AC78" s="1049"/>
      <c r="AD78" s="1049"/>
      <c r="AE78" s="1049"/>
      <c r="AF78" s="1049"/>
      <c r="AG78" s="1049"/>
      <c r="AH78" s="1049"/>
      <c r="AI78" s="1050"/>
      <c r="AJ78" s="1050"/>
      <c r="AK78" s="1050"/>
      <c r="AL78" s="17"/>
      <c r="AM78" s="62"/>
      <c r="AN78" s="676"/>
    </row>
    <row r="79" spans="1:40" s="325" customFormat="1" ht="21.95" customHeight="1">
      <c r="A79" s="62"/>
      <c r="C79" s="17"/>
      <c r="D79" s="17"/>
      <c r="E79" s="459">
        <v>15</v>
      </c>
      <c r="F79" s="17"/>
      <c r="G79" s="17"/>
      <c r="H79" s="17"/>
      <c r="I79" s="17"/>
      <c r="J79" s="17"/>
      <c r="K79" s="17"/>
      <c r="L79" s="17"/>
      <c r="M79" s="17"/>
      <c r="N79" s="17"/>
      <c r="O79" s="17"/>
      <c r="P79" s="17"/>
      <c r="Q79" s="17"/>
      <c r="R79" s="252"/>
      <c r="S79" s="17"/>
      <c r="T79" s="351" t="b">
        <f t="shared" si="6"/>
        <v>1</v>
      </c>
      <c r="U79" s="17"/>
      <c r="V79" s="17"/>
      <c r="W79" s="515"/>
      <c r="X79" s="17"/>
      <c r="Y79" s="17" t="s">
        <v>124</v>
      </c>
      <c r="Z79" s="17"/>
      <c r="AA79" s="319" t="s">
        <v>172</v>
      </c>
      <c r="AB79" s="1049" t="s">
        <v>1266</v>
      </c>
      <c r="AC79" s="1049"/>
      <c r="AD79" s="1049"/>
      <c r="AE79" s="1049"/>
      <c r="AF79" s="1049"/>
      <c r="AG79" s="1049"/>
      <c r="AH79" s="1049"/>
      <c r="AI79" s="1050"/>
      <c r="AJ79" s="1050"/>
      <c r="AK79" s="1050"/>
      <c r="AL79" s="17"/>
      <c r="AM79" s="62"/>
      <c r="AN79" s="676"/>
    </row>
    <row r="80" spans="1:40" s="325" customFormat="1" ht="37.5" customHeight="1">
      <c r="A80" s="62"/>
      <c r="C80" s="17"/>
      <c r="D80" s="17"/>
      <c r="E80" s="459">
        <v>15</v>
      </c>
      <c r="F80" s="17"/>
      <c r="G80" s="17"/>
      <c r="H80" s="17"/>
      <c r="I80" s="17"/>
      <c r="J80" s="17"/>
      <c r="K80" s="17"/>
      <c r="L80" s="17"/>
      <c r="M80" s="17"/>
      <c r="N80" s="17"/>
      <c r="O80" s="17"/>
      <c r="P80" s="17"/>
      <c r="Q80" s="17"/>
      <c r="R80" s="252"/>
      <c r="S80" s="17"/>
      <c r="T80" s="351" t="b">
        <f t="shared" si="6"/>
        <v>1</v>
      </c>
      <c r="U80" s="17"/>
      <c r="V80" s="17"/>
      <c r="W80" s="515"/>
      <c r="X80" s="17"/>
      <c r="Y80" s="17" t="s">
        <v>124</v>
      </c>
      <c r="Z80" s="17"/>
      <c r="AA80" s="319" t="s">
        <v>172</v>
      </c>
      <c r="AB80" s="1049" t="s">
        <v>1267</v>
      </c>
      <c r="AC80" s="1049"/>
      <c r="AD80" s="1049"/>
      <c r="AE80" s="1049"/>
      <c r="AF80" s="1049"/>
      <c r="AG80" s="1049"/>
      <c r="AH80" s="1049"/>
      <c r="AI80" s="1050"/>
      <c r="AJ80" s="1050"/>
      <c r="AK80" s="1050"/>
      <c r="AL80" s="17"/>
      <c r="AM80" s="62"/>
      <c r="AN80" s="676"/>
    </row>
    <row r="81" spans="1:40" s="325" customFormat="1" ht="29.45" customHeight="1">
      <c r="A81" s="62"/>
      <c r="C81" s="17"/>
      <c r="D81" s="17"/>
      <c r="E81" s="459">
        <v>15</v>
      </c>
      <c r="F81" s="17"/>
      <c r="G81" s="17"/>
      <c r="H81" s="17"/>
      <c r="I81" s="17"/>
      <c r="J81" s="17"/>
      <c r="K81" s="17"/>
      <c r="L81" s="17"/>
      <c r="M81" s="17"/>
      <c r="N81" s="17"/>
      <c r="O81" s="17"/>
      <c r="P81" s="17"/>
      <c r="Q81" s="17"/>
      <c r="R81" s="252"/>
      <c r="S81" s="17"/>
      <c r="T81" s="351" t="b">
        <f t="shared" si="6"/>
        <v>1</v>
      </c>
      <c r="U81" s="17"/>
      <c r="V81" s="17"/>
      <c r="W81" s="515"/>
      <c r="X81" s="17"/>
      <c r="Y81" s="17" t="s">
        <v>124</v>
      </c>
      <c r="Z81" s="17"/>
      <c r="AA81" s="319" t="s">
        <v>172</v>
      </c>
      <c r="AB81" s="1049" t="s">
        <v>1268</v>
      </c>
      <c r="AC81" s="1049"/>
      <c r="AD81" s="1049"/>
      <c r="AE81" s="1049"/>
      <c r="AF81" s="1049"/>
      <c r="AG81" s="1049"/>
      <c r="AH81" s="1049"/>
      <c r="AI81" s="1050"/>
      <c r="AJ81" s="1050"/>
      <c r="AK81" s="1050"/>
      <c r="AL81" s="17"/>
      <c r="AM81" s="62"/>
      <c r="AN81" s="676"/>
    </row>
    <row r="82" spans="1:40" s="62" customFormat="1" ht="14.65" customHeight="1">
      <c r="B82" s="325"/>
      <c r="C82" s="17"/>
      <c r="D82" s="17"/>
      <c r="E82" s="459">
        <v>15</v>
      </c>
      <c r="F82" s="17"/>
      <c r="G82" s="17"/>
      <c r="H82" s="17"/>
      <c r="I82" s="17"/>
      <c r="J82" s="17"/>
      <c r="K82" s="17"/>
      <c r="L82" s="17"/>
      <c r="M82" s="17"/>
      <c r="N82" s="17"/>
      <c r="O82" s="17"/>
      <c r="P82" s="17"/>
      <c r="Q82" s="17"/>
      <c r="R82" s="252"/>
      <c r="S82" s="17"/>
      <c r="T82" s="17"/>
      <c r="U82" s="17"/>
      <c r="V82" s="17"/>
      <c r="W82" s="515" t="s">
        <v>407</v>
      </c>
      <c r="X82" s="17"/>
      <c r="Y82" s="17"/>
      <c r="Z82" s="17"/>
      <c r="AA82" s="17"/>
      <c r="AB82" s="472"/>
      <c r="AC82" s="380" t="s">
        <v>1269</v>
      </c>
      <c r="AD82" s="217"/>
      <c r="AE82" s="217"/>
      <c r="AF82" s="218"/>
      <c r="AG82" s="218"/>
      <c r="AH82" s="218"/>
      <c r="AI82" s="218"/>
      <c r="AJ82" s="218"/>
      <c r="AK82" s="219"/>
      <c r="AL82" s="17"/>
      <c r="AN82" s="676"/>
    </row>
    <row r="83" spans="1:40" ht="11.25" customHeight="1">
      <c r="A83"/>
      <c r="B83" s="326"/>
      <c r="C83"/>
      <c r="D83"/>
      <c r="E83" s="452" t="s">
        <v>452</v>
      </c>
      <c r="F83" s="4"/>
      <c r="G83"/>
      <c r="H83"/>
      <c r="I83"/>
      <c r="J83"/>
      <c r="K83"/>
      <c r="L83"/>
      <c r="M83"/>
      <c r="N83"/>
      <c r="O83"/>
      <c r="P83"/>
      <c r="Q83"/>
      <c r="R83"/>
      <c r="S83"/>
      <c r="T83"/>
      <c r="U83"/>
      <c r="V83"/>
      <c r="W83"/>
      <c r="X83"/>
      <c r="Y83"/>
      <c r="Z83"/>
      <c r="AA83"/>
      <c r="AB83"/>
      <c r="AC83" s="18"/>
      <c r="AD83" s="18"/>
      <c r="AE83" s="256"/>
      <c r="AF83" s="256"/>
      <c r="AG83" s="257"/>
      <c r="AH83" s="257"/>
      <c r="AI83" s="257"/>
      <c r="AJ83"/>
      <c r="AK83"/>
      <c r="AL83"/>
      <c r="AM83"/>
      <c r="AN83" s="659"/>
    </row>
  </sheetData>
  <sheetProtection formatColumns="0" formatRows="0" insertRows="0" deleteColumns="0" deleteRows="0" sort="0" autoFilter="0"/>
  <mergeCells count="24">
    <mergeCell ref="AB79:AK79"/>
    <mergeCell ref="AB80:AK80"/>
    <mergeCell ref="AB81:AK81"/>
    <mergeCell ref="AB74:AK74"/>
    <mergeCell ref="AB75:AK75"/>
    <mergeCell ref="AB76:AK76"/>
    <mergeCell ref="AB77:AK77"/>
    <mergeCell ref="AB78:AK78"/>
    <mergeCell ref="AB69:AK69"/>
    <mergeCell ref="AB70:AK70"/>
    <mergeCell ref="AB71:AK71"/>
    <mergeCell ref="AB72:AK72"/>
    <mergeCell ref="AB73:AK73"/>
    <mergeCell ref="X27:X45"/>
    <mergeCell ref="Z27:Z45"/>
    <mergeCell ref="AB66:AK66"/>
    <mergeCell ref="AB67:AK67"/>
    <mergeCell ref="X46:X64"/>
    <mergeCell ref="Z46:Z64"/>
    <mergeCell ref="AB24:AB25"/>
    <mergeCell ref="AC24:AC25"/>
    <mergeCell ref="AD24:AD25"/>
    <mergeCell ref="AK24:AK25"/>
    <mergeCell ref="AB68:AK68"/>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44BC8-C028-5AE8-1FD8-62E84E2588D8}">
  <sheetPr>
    <tabColor rgb="FF002060"/>
    <outlinePr summaryBelow="0"/>
  </sheetPr>
  <dimension ref="A1:AR60"/>
  <sheetViews>
    <sheetView showGridLines="0" zoomScale="110" workbookViewId="0">
      <pane xSplit="30" ySplit="25" topLeftCell="AE42" activePane="bottomRight" state="frozen"/>
      <selection pane="topRight" activeCell="AE1" sqref="AE1"/>
      <selection pane="bottomLeft" activeCell="A26" sqref="A26"/>
      <selection pane="bottomRight" activeCell="AK48" sqref="AK48"/>
    </sheetView>
  </sheetViews>
  <sheetFormatPr defaultColWidth="9.140625" defaultRowHeight="14.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2" customWidth="1"/>
    <col min="28" max="28" width="11" style="342" customWidth="1"/>
    <col min="29" max="29" width="50.140625" style="342" customWidth="1"/>
    <col min="30" max="30" width="10.28515625" style="342" customWidth="1"/>
    <col min="31" max="36" width="13" style="342" customWidth="1"/>
    <col min="37" max="37" width="37.7109375" style="342" customWidth="1"/>
    <col min="38" max="38" width="3" style="342" customWidth="1"/>
    <col min="39" max="39" width="9.140625" style="342" hidden="1"/>
    <col min="40" max="42" width="9.140625" style="654" hidden="1"/>
    <col min="43" max="44" width="9.140625" style="446" hidden="1"/>
  </cols>
  <sheetData>
    <row r="1" spans="1:44" s="38" customFormat="1" ht="11.25" hidden="1" customHeight="1">
      <c r="B1" s="43"/>
      <c r="F1" s="38" t="s">
        <v>309</v>
      </c>
      <c r="G1" s="38" t="s">
        <v>320</v>
      </c>
      <c r="H1" s="38" t="s">
        <v>346</v>
      </c>
      <c r="T1" s="351" t="s">
        <v>92</v>
      </c>
      <c r="U1" s="351" t="s">
        <v>97</v>
      </c>
      <c r="V1" s="351" t="s">
        <v>93</v>
      </c>
      <c r="W1" s="351" t="s">
        <v>94</v>
      </c>
      <c r="X1" s="351" t="s">
        <v>95</v>
      </c>
      <c r="Y1" s="353" t="s">
        <v>311</v>
      </c>
      <c r="Z1" s="351" t="s">
        <v>99</v>
      </c>
      <c r="AA1" s="352" t="s">
        <v>96</v>
      </c>
      <c r="AB1" s="4"/>
      <c r="AC1" s="352" t="s">
        <v>98</v>
      </c>
      <c r="AN1" s="654" t="s">
        <v>312</v>
      </c>
      <c r="AO1" s="654" t="s">
        <v>313</v>
      </c>
      <c r="AP1" s="654" t="s">
        <v>314</v>
      </c>
      <c r="AQ1" s="446" t="s">
        <v>317</v>
      </c>
      <c r="AR1" s="446" t="s">
        <v>318</v>
      </c>
    </row>
    <row r="2" spans="1:44" s="43" customFormat="1" ht="11.25" hidden="1" customHeight="1">
      <c r="B2" s="341" t="s">
        <v>18</v>
      </c>
      <c r="AI2" s="341" t="b">
        <f>AI6&lt;=last_year_vis</f>
        <v>1</v>
      </c>
      <c r="AJ2" s="341" t="b">
        <f>AJ6&lt;=last_year_vis</f>
        <v>1</v>
      </c>
      <c r="AN2" s="663"/>
      <c r="AO2" s="663"/>
      <c r="AP2" s="663"/>
      <c r="AQ2" s="668"/>
      <c r="AR2" s="668"/>
    </row>
    <row r="3" spans="1:44" s="38" customFormat="1" ht="11.25" hidden="1" customHeight="1">
      <c r="B3" s="43"/>
      <c r="AN3" s="654"/>
      <c r="AO3" s="654"/>
      <c r="AP3" s="654"/>
      <c r="AQ3" s="446"/>
      <c r="AR3" s="446"/>
    </row>
    <row r="4" spans="1:44" s="38" customFormat="1" ht="11.25" hidden="1" customHeight="1">
      <c r="B4" s="43"/>
      <c r="AN4" s="654"/>
      <c r="AO4" s="654"/>
      <c r="AP4" s="654"/>
      <c r="AQ4" s="446"/>
      <c r="AR4" s="446"/>
    </row>
    <row r="5" spans="1:44" s="446" customFormat="1" ht="11.25" hidden="1" customHeight="1">
      <c r="A5" s="38"/>
      <c r="B5" s="43"/>
      <c r="C5" s="38"/>
      <c r="D5" s="38"/>
      <c r="E5" s="446" t="s">
        <v>19</v>
      </c>
      <c r="AA5" s="446">
        <v>3</v>
      </c>
      <c r="AB5" s="446">
        <v>11</v>
      </c>
      <c r="AC5" s="446">
        <v>50.14</v>
      </c>
      <c r="AD5" s="446">
        <v>10.29</v>
      </c>
      <c r="AE5" s="446">
        <v>13</v>
      </c>
      <c r="AF5" s="446">
        <v>13</v>
      </c>
      <c r="AG5" s="446">
        <v>13</v>
      </c>
      <c r="AH5" s="446">
        <v>13</v>
      </c>
      <c r="AI5" s="446">
        <v>13</v>
      </c>
      <c r="AJ5" s="446">
        <v>13</v>
      </c>
      <c r="AK5" s="446">
        <v>20</v>
      </c>
      <c r="AL5" s="446">
        <v>3</v>
      </c>
      <c r="AN5" s="654"/>
      <c r="AO5" s="654"/>
      <c r="AP5" s="654"/>
    </row>
    <row r="6" spans="1:44" s="38" customFormat="1" ht="11.25" hidden="1" customHeight="1">
      <c r="A6" s="38" t="s">
        <v>349</v>
      </c>
      <c r="B6" s="43"/>
      <c r="E6" s="446"/>
      <c r="AE6" s="38">
        <f>god-2</f>
        <v>2024</v>
      </c>
      <c r="AF6" s="38">
        <f>god-2</f>
        <v>2024</v>
      </c>
      <c r="AG6" s="38">
        <f>god-2</f>
        <v>2024</v>
      </c>
      <c r="AH6" s="38">
        <f>god-1</f>
        <v>2025</v>
      </c>
      <c r="AI6" s="17" cm="1">
        <f t="array" ref="AI6">god</f>
        <v>2026</v>
      </c>
      <c r="AJ6" s="17" cm="1">
        <f t="array" ref="AJ6">god</f>
        <v>2026</v>
      </c>
      <c r="AN6" s="654"/>
      <c r="AO6" s="654"/>
      <c r="AP6" s="654"/>
      <c r="AQ6" s="446"/>
      <c r="AR6" s="446"/>
    </row>
    <row r="7" spans="1:44" s="38" customFormat="1" ht="11.25" hidden="1" customHeight="1">
      <c r="A7" s="38" t="s">
        <v>350</v>
      </c>
      <c r="B7" s="43"/>
      <c r="E7" s="446"/>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54"/>
      <c r="AO7" s="654"/>
      <c r="AP7" s="654"/>
      <c r="AQ7" s="446"/>
      <c r="AR7" s="446"/>
    </row>
    <row r="8" spans="1:44" s="38" customFormat="1" ht="11.25" hidden="1" customHeight="1">
      <c r="B8" s="43"/>
      <c r="E8" s="446"/>
      <c r="AN8" s="654"/>
      <c r="AO8" s="654"/>
      <c r="AP8" s="654"/>
      <c r="AQ8" s="446"/>
      <c r="AR8" s="446"/>
    </row>
    <row r="9" spans="1:44" s="654" customFormat="1" ht="11.25" hidden="1" customHeight="1">
      <c r="A9" s="654" t="s">
        <v>354</v>
      </c>
      <c r="B9" s="663"/>
      <c r="AE9" s="654" cm="1">
        <f t="array" ref="AE9">AE6</f>
        <v>2024</v>
      </c>
      <c r="AF9" s="654" cm="1">
        <f t="array" ref="AF9">AF6</f>
        <v>2024</v>
      </c>
      <c r="AG9" s="654" cm="1">
        <f t="array" ref="AG9">AG6</f>
        <v>2024</v>
      </c>
      <c r="AH9" s="654" cm="1">
        <f t="array" ref="AH9">AH6</f>
        <v>2025</v>
      </c>
      <c r="AI9" s="654" cm="1">
        <f t="array" ref="AI9">AI6</f>
        <v>2026</v>
      </c>
      <c r="AJ9" s="654" cm="1">
        <f t="array" ref="AJ9">AJ6</f>
        <v>2026</v>
      </c>
      <c r="AQ9" s="446"/>
      <c r="AR9" s="446"/>
    </row>
    <row r="10" spans="1:44" s="654" customFormat="1" ht="11.25" hidden="1" customHeight="1">
      <c r="A10" s="654" t="s">
        <v>355</v>
      </c>
      <c r="B10" s="663"/>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H10" s="654" t="str" cm="1">
        <f t="array" ref="AH10">AH25</f>
        <v>Принято органом регулирования</v>
      </c>
      <c r="AI10" s="654" t="str" cm="1">
        <f t="array" ref="AI10">AI25</f>
        <v>Предложение организации</v>
      </c>
      <c r="AJ10" s="654" t="str" cm="1">
        <f t="array" ref="AJ10">AJ25</f>
        <v>Принято органом регулирования</v>
      </c>
      <c r="AQ10" s="446"/>
      <c r="AR10" s="446"/>
    </row>
    <row r="11" spans="1:44" s="654" customFormat="1" ht="11.25" hidden="1" customHeight="1">
      <c r="A11" s="654" t="s">
        <v>356</v>
      </c>
      <c r="B11" s="663"/>
      <c r="AK11" s="656" t="str" cm="1">
        <f t="array" ref="AK11">AK24</f>
        <v>Ссылка на правовую норму (основание для принятия показателя в расчет тарифа)</v>
      </c>
      <c r="AQ11" s="446"/>
      <c r="AR11" s="446"/>
    </row>
    <row r="12" spans="1:44" s="654" customFormat="1" ht="11.25" hidden="1" customHeight="1">
      <c r="A12" s="654" t="s">
        <v>327</v>
      </c>
      <c r="B12" s="663"/>
      <c r="AC12" s="654" t="s">
        <v>314</v>
      </c>
      <c r="AQ12" s="446"/>
      <c r="AR12" s="446"/>
    </row>
    <row r="13" spans="1:44" s="38" customFormat="1" ht="11.25" hidden="1" customHeight="1">
      <c r="B13" s="43"/>
      <c r="E13" s="446"/>
      <c r="AN13" s="654"/>
      <c r="AO13" s="654"/>
      <c r="AP13" s="654"/>
      <c r="AQ13" s="446"/>
      <c r="AR13" s="446"/>
    </row>
    <row r="14" spans="1:44" s="38" customFormat="1" ht="11.25" hidden="1" customHeight="1">
      <c r="B14" s="43"/>
      <c r="E14" s="446"/>
      <c r="AN14" s="654"/>
      <c r="AO14" s="654"/>
      <c r="AP14" s="654"/>
      <c r="AQ14" s="446"/>
      <c r="AR14" s="446"/>
    </row>
    <row r="15" spans="1:44" s="38" customFormat="1" ht="11.25" hidden="1" customHeight="1">
      <c r="B15" s="43"/>
      <c r="E15" s="446"/>
      <c r="AN15" s="654"/>
      <c r="AO15" s="654"/>
      <c r="AP15" s="654"/>
      <c r="AQ15" s="446"/>
      <c r="AR15" s="446"/>
    </row>
    <row r="16" spans="1:44" s="38" customFormat="1" ht="11.25" hidden="1" customHeight="1">
      <c r="B16" s="43"/>
      <c r="E16" s="446"/>
      <c r="AN16" s="654"/>
      <c r="AO16" s="654"/>
      <c r="AP16" s="654"/>
      <c r="AQ16" s="446"/>
      <c r="AR16" s="446"/>
    </row>
    <row r="17" spans="1:44" s="38" customFormat="1" ht="11.25" hidden="1" customHeight="1">
      <c r="B17" s="43"/>
      <c r="E17" s="446"/>
      <c r="AE17" s="17"/>
      <c r="AF17" s="17"/>
      <c r="AG17" s="17"/>
      <c r="AH17" s="17"/>
      <c r="AK17" s="22"/>
      <c r="AN17" s="654"/>
      <c r="AO17" s="654"/>
      <c r="AP17" s="654"/>
      <c r="AQ17" s="446"/>
      <c r="AR17" s="446"/>
    </row>
    <row r="18" spans="1:44" s="38" customFormat="1" ht="11.25" hidden="1" customHeight="1">
      <c r="A18" s="38" t="s">
        <v>357</v>
      </c>
      <c r="B18" s="43"/>
      <c r="E18" s="446"/>
      <c r="AC18" s="38" t="s">
        <v>358</v>
      </c>
      <c r="AN18" s="654"/>
      <c r="AO18" s="654"/>
      <c r="AP18" s="654"/>
      <c r="AQ18" s="446"/>
      <c r="AR18" s="446"/>
    </row>
    <row r="19" spans="1:44" s="38" customFormat="1" ht="11.25" hidden="1" customHeight="1">
      <c r="B19" s="43"/>
      <c r="E19" s="446"/>
      <c r="AN19" s="654"/>
      <c r="AO19" s="654"/>
      <c r="AP19" s="654"/>
      <c r="AQ19" s="446"/>
      <c r="AR19" s="446"/>
    </row>
    <row r="20" spans="1:44" s="38" customFormat="1" ht="11.25" hidden="1" customHeight="1">
      <c r="B20" s="43"/>
      <c r="E20" s="446"/>
      <c r="AN20" s="654"/>
      <c r="AO20" s="654"/>
      <c r="AP20" s="654"/>
      <c r="AQ20" s="446"/>
      <c r="AR20" s="446"/>
    </row>
    <row r="21" spans="1:44" ht="14.65" customHeight="1">
      <c r="E21" s="446">
        <v>15</v>
      </c>
      <c r="AA21" s="324"/>
      <c r="AC21" s="266" t="str" cm="1">
        <f t="array" ref="AC21">tpl_title</f>
        <v>Кемеровская область / 2026 / МУП "Водоканал" (ИНН:4202043124, КПП:420201001) / ДПР: 2026-2028</v>
      </c>
    </row>
    <row r="22" spans="1:44" ht="19.5" customHeight="1">
      <c r="E22" s="446">
        <v>20</v>
      </c>
      <c r="AB22" s="225" t="s">
        <v>65</v>
      </c>
      <c r="AC22" s="139"/>
      <c r="AD22" s="139"/>
      <c r="AE22" s="139"/>
      <c r="AF22" s="139"/>
      <c r="AG22" s="139"/>
      <c r="AH22" s="139"/>
      <c r="AI22" s="139"/>
      <c r="AJ22" s="139"/>
      <c r="AK22" s="343"/>
    </row>
    <row r="23" spans="1:44" ht="13.9" customHeight="1">
      <c r="E23" s="446">
        <v>14.25</v>
      </c>
      <c r="AB23" s="38"/>
      <c r="AC23" s="38"/>
      <c r="AD23" s="38"/>
      <c r="AE23" s="38"/>
      <c r="AF23" s="38"/>
      <c r="AG23" s="38"/>
      <c r="AH23" s="38"/>
      <c r="AI23" s="38"/>
      <c r="AJ23" s="38"/>
      <c r="AK23" s="38"/>
    </row>
    <row r="24" spans="1:44" ht="14.65" customHeight="1">
      <c r="E24" s="446">
        <v>15</v>
      </c>
      <c r="AB24" s="1028" t="s">
        <v>21</v>
      </c>
      <c r="AC24" s="1028" t="s">
        <v>358</v>
      </c>
      <c r="AD24" s="1028" t="s">
        <v>1033</v>
      </c>
      <c r="AE24" s="10" t="str">
        <f>god-2&amp;" год"</f>
        <v>2024 год</v>
      </c>
      <c r="AF24" s="726" t="str">
        <f>god-2&amp;" год"</f>
        <v>2024 год</v>
      </c>
      <c r="AG24" s="10" t="str">
        <f>god-2&amp;" год"</f>
        <v>2024 год</v>
      </c>
      <c r="AH24" s="10" t="str">
        <f>god-1&amp;" год"</f>
        <v>2025 год</v>
      </c>
      <c r="AI24" s="724" t="str">
        <f>god&amp;" год"</f>
        <v>2026 год</v>
      </c>
      <c r="AJ24" s="11" t="str">
        <f>god&amp;" год"</f>
        <v>2026 год</v>
      </c>
      <c r="AK24" s="1091" t="s">
        <v>580</v>
      </c>
    </row>
    <row r="25" spans="1:44" ht="44.1" customHeight="1">
      <c r="E25" s="446">
        <v>45.25</v>
      </c>
      <c r="AB25" s="1028"/>
      <c r="AC25" s="1028"/>
      <c r="AD25" s="1028"/>
      <c r="AE25" s="10" t="s">
        <v>351</v>
      </c>
      <c r="AF25" s="726" t="s">
        <v>495</v>
      </c>
      <c r="AG25" s="10" t="s">
        <v>496</v>
      </c>
      <c r="AH25" s="10" t="s">
        <v>351</v>
      </c>
      <c r="AI25" s="728" t="s">
        <v>352</v>
      </c>
      <c r="AJ25" s="261" t="s">
        <v>351</v>
      </c>
      <c r="AK25" s="1091"/>
    </row>
    <row r="26" spans="1:44" ht="12" hidden="1" customHeight="1">
      <c r="E26" s="446">
        <v>0</v>
      </c>
      <c r="AB26" s="521"/>
      <c r="AC26" s="521"/>
      <c r="AD26" s="521"/>
      <c r="AE26" s="526"/>
      <c r="AF26" s="526"/>
      <c r="AG26" s="526"/>
      <c r="AH26" s="526"/>
      <c r="AI26" s="62"/>
      <c r="AJ26" s="62"/>
      <c r="AK26" s="527"/>
    </row>
    <row r="27" spans="1:44" ht="14.65" hidden="1" customHeight="1">
      <c r="E27" s="446">
        <v>15</v>
      </c>
      <c r="F27" s="17" cm="1">
        <f t="array" ref="F27">X27</f>
        <v>0</v>
      </c>
      <c r="G27" s="38" t="s">
        <v>1270</v>
      </c>
      <c r="T27" s="351" t="b">
        <f>X27&gt;0</f>
        <v>0</v>
      </c>
      <c r="V27" s="38" t="s">
        <v>266</v>
      </c>
      <c r="X27" s="1024">
        <v>0</v>
      </c>
      <c r="Z27" s="1008"/>
      <c r="AB27" s="135" t="str" cm="1">
        <f t="array" ref="AB27">INDEX('Общие сведения'!$AG$179:$AG$208,MATCH($X27,'Общие сведения'!$Z$179:$Z$208,0))</f>
        <v xml:space="preserve">Тариф 0 () - </v>
      </c>
      <c r="AC27" s="94"/>
      <c r="AD27" s="94"/>
      <c r="AE27" s="213">
        <f t="shared" ref="AE27:AJ27" ca="1" si="0">SUM(AE28:AE36)</f>
        <v>0</v>
      </c>
      <c r="AF27" s="213">
        <f t="shared" ca="1" si="0"/>
        <v>0</v>
      </c>
      <c r="AG27" s="213">
        <f t="shared" ca="1" si="0"/>
        <v>0</v>
      </c>
      <c r="AH27" s="213">
        <f t="shared" ca="1" si="0"/>
        <v>0</v>
      </c>
      <c r="AI27" s="213">
        <f t="shared" ca="1" si="0"/>
        <v>0</v>
      </c>
      <c r="AJ27" s="213">
        <f t="shared" ca="1" si="0"/>
        <v>0</v>
      </c>
      <c r="AK27" s="137"/>
    </row>
    <row r="28" spans="1:44" ht="21.95" hidden="1" customHeight="1">
      <c r="E28" s="446">
        <v>22.5</v>
      </c>
      <c r="F28" s="3" cm="1">
        <f t="array" aca="1" ref="F28" ca="1">OFFSET(E28,-1,1)</f>
        <v>0</v>
      </c>
      <c r="G28" s="38" t="s">
        <v>321</v>
      </c>
      <c r="K28" s="40" t="str">
        <f ca="1">F28&amp;"komm"</f>
        <v>0komm</v>
      </c>
      <c r="L28" s="607" cm="1">
        <f t="array" ref="L28">AK28</f>
        <v>0</v>
      </c>
      <c r="T28" s="351" t="b" cm="1">
        <f t="array" ref="T28">T27</f>
        <v>0</v>
      </c>
      <c r="X28" s="1024"/>
      <c r="Z28" s="1008"/>
      <c r="AB28" s="133" t="s">
        <v>277</v>
      </c>
      <c r="AC28" s="345" t="s">
        <v>1271</v>
      </c>
      <c r="AD28" s="7" t="s">
        <v>859</v>
      </c>
      <c r="AE28" s="780"/>
      <c r="AF28" s="888"/>
      <c r="AG28" s="888"/>
      <c r="AH28" s="888"/>
      <c r="AI28" s="142"/>
      <c r="AJ28" s="142"/>
      <c r="AK28" s="823"/>
      <c r="AN28" s="654" t="s">
        <v>1272</v>
      </c>
    </row>
    <row r="29" spans="1:44" ht="21.95" hidden="1" customHeight="1">
      <c r="E29" s="446">
        <v>22.5</v>
      </c>
      <c r="F29" s="3" cm="1">
        <f t="array" aca="1" ref="F29" ca="1">OFFSET(E29,-1,1)</f>
        <v>0</v>
      </c>
      <c r="G29" s="38" t="s">
        <v>322</v>
      </c>
      <c r="T29" s="351" t="b" cm="1">
        <f t="array" ref="T29">T28</f>
        <v>0</v>
      </c>
      <c r="X29" s="1024"/>
      <c r="Z29" s="1008"/>
      <c r="AB29" s="133" t="s">
        <v>435</v>
      </c>
      <c r="AC29" s="345" t="s">
        <v>1273</v>
      </c>
      <c r="AD29" s="7" t="s">
        <v>859</v>
      </c>
      <c r="AE29" s="780"/>
      <c r="AF29" s="888"/>
      <c r="AG29" s="888"/>
      <c r="AH29" s="888"/>
      <c r="AI29" s="142"/>
      <c r="AJ29" s="142"/>
      <c r="AK29" s="823"/>
      <c r="AN29" s="654" t="s">
        <v>1274</v>
      </c>
    </row>
    <row r="30" spans="1:44" ht="21.95" hidden="1" customHeight="1">
      <c r="E30" s="446">
        <v>22.5</v>
      </c>
      <c r="F30" s="3" cm="1">
        <f t="array" aca="1" ref="F30" ca="1">OFFSET(E30,-1,1)</f>
        <v>0</v>
      </c>
      <c r="G30" s="38" t="s">
        <v>323</v>
      </c>
      <c r="T30" s="351" t="b" cm="1">
        <f t="array" ref="T30">T29</f>
        <v>0</v>
      </c>
      <c r="X30" s="1024"/>
      <c r="Z30" s="1008"/>
      <c r="AB30" s="133" t="s">
        <v>319</v>
      </c>
      <c r="AC30" s="345" t="s">
        <v>1275</v>
      </c>
      <c r="AD30" s="7" t="s">
        <v>859</v>
      </c>
      <c r="AE30" s="780"/>
      <c r="AF30" s="888"/>
      <c r="AG30" s="888"/>
      <c r="AH30" s="888"/>
      <c r="AI30" s="142"/>
      <c r="AJ30" s="142"/>
      <c r="AK30" s="823"/>
      <c r="AN30" s="654" t="s">
        <v>1276</v>
      </c>
    </row>
    <row r="31" spans="1:44" ht="32.85" hidden="1" customHeight="1">
      <c r="E31" s="446">
        <v>33.75</v>
      </c>
      <c r="F31" s="764" cm="1">
        <f t="array" aca="1" ref="F31" ca="1">OFFSET(E31,-1,1)</f>
        <v>0</v>
      </c>
      <c r="G31" s="38" t="s">
        <v>325</v>
      </c>
      <c r="T31" s="351" t="b" cm="1">
        <f t="array" ref="T31">T30</f>
        <v>0</v>
      </c>
      <c r="X31" s="1024"/>
      <c r="Z31" s="1008"/>
      <c r="AB31" s="7">
        <v>4</v>
      </c>
      <c r="AC31" s="345" t="s">
        <v>1277</v>
      </c>
      <c r="AD31" s="7" t="s">
        <v>859</v>
      </c>
      <c r="AE31" s="170">
        <f ca="1">SUMIFS(ФОТ!AE$25:AE$89,ФОТ!$F$25:$F$89,$F31,ФОТ!$G$25:$G$89,"СП")+SUMIFS(ФОТ!AE$25:AE$89,ФОТ!$F$25:$F$89,$F31,ФОТ!$G$25:$G$89,"СОЦ_СП")</f>
        <v>0</v>
      </c>
      <c r="AF31" s="170">
        <f ca="1">SUMIFS(ФОТ!AF$25:AF$89,ФОТ!$F$25:$F$89,$F31,ФОТ!$G$25:$G$89,"СП")+SUMIFS(ФОТ!AF$25:AF$89,ФОТ!$F$25:$F$89,$F31,ФОТ!$G$25:$G$89,"СОЦ_СП")</f>
        <v>0</v>
      </c>
      <c r="AG31" s="170">
        <f ca="1">SUMIFS(ФОТ!AG$25:AG$89,ФОТ!$F$25:$F$89,$F31,ФОТ!$G$25:$G$89,"СП")+SUMIFS(ФОТ!AG$25:AG$89,ФОТ!$F$25:$F$89,$F31,ФОТ!$G$25:$G$89,"СОЦ_СП")</f>
        <v>0</v>
      </c>
      <c r="AH31" s="170">
        <f ca="1">SUMIFS(ФОТ!AH$25:AH$89,ФОТ!$F$25:$F$89,$F31,ФОТ!$G$25:$G$89,"СП")+SUMIFS(ФОТ!AH$25:AH$89,ФОТ!$F$25:$F$89,$F31,ФОТ!$G$25:$G$89,"СОЦ_СП")</f>
        <v>0</v>
      </c>
      <c r="AI31" s="170">
        <f ca="1">SUMIFS(ФОТ!AI$25:AI$89,ФОТ!$F$25:$F$89,$F31,ФОТ!$G$25:$G$89,"СП")+SUMIFS(ФОТ!AI$25:AI$89,ФОТ!$F$25:$F$89,$F31,ФОТ!$G$25:$G$89,"СОЦ_СП")</f>
        <v>0</v>
      </c>
      <c r="AJ31" s="170">
        <f ca="1">SUMIFS(ФОТ!AJ$25:AJ$89,ФОТ!$F$25:$F$89,$F31,ФОТ!$G$25:$G$89,"СП")+SUMIFS(ФОТ!AJ$25:AJ$89,ФОТ!$F$25:$F$89,$F31,ФОТ!$G$25:$G$89,"СОЦ_СП")</f>
        <v>0</v>
      </c>
      <c r="AK31" s="823"/>
      <c r="AM31"/>
      <c r="AN31" s="659" t="s">
        <v>1278</v>
      </c>
      <c r="AO31" s="659"/>
      <c r="AP31" s="659"/>
      <c r="AQ31" s="452"/>
      <c r="AR31" s="452"/>
    </row>
    <row r="32" spans="1:44" ht="32.85" hidden="1" customHeight="1">
      <c r="E32" s="446">
        <v>33.75</v>
      </c>
      <c r="F32" s="3" cm="1">
        <f t="array" aca="1" ref="F32" ca="1">OFFSET(E32,-1,1)</f>
        <v>0</v>
      </c>
      <c r="G32" s="38" t="s">
        <v>324</v>
      </c>
      <c r="T32" s="351" t="b" cm="1">
        <f t="array" ref="T32">T31</f>
        <v>0</v>
      </c>
      <c r="X32" s="1024"/>
      <c r="Z32" s="1008"/>
      <c r="AB32" s="133" t="s">
        <v>440</v>
      </c>
      <c r="AC32" s="345" t="s">
        <v>1279</v>
      </c>
      <c r="AD32" s="7" t="s">
        <v>859</v>
      </c>
      <c r="AE32" s="780"/>
      <c r="AF32" s="780"/>
      <c r="AG32" s="780"/>
      <c r="AH32" s="780"/>
      <c r="AI32" s="141"/>
      <c r="AJ32" s="141"/>
      <c r="AK32" s="823"/>
      <c r="AN32" s="654" t="s">
        <v>1242</v>
      </c>
    </row>
    <row r="33" spans="1:44" ht="21.95" hidden="1" customHeight="1">
      <c r="E33" s="446">
        <v>22.5</v>
      </c>
      <c r="F33" s="3" cm="1">
        <f t="array" aca="1" ref="F33" ca="1">OFFSET(E33,-1,1)</f>
        <v>0</v>
      </c>
      <c r="G33" s="38" t="s">
        <v>557</v>
      </c>
      <c r="T33" s="351" t="b" cm="1">
        <f t="array" ref="T33">T32</f>
        <v>0</v>
      </c>
      <c r="X33" s="1024"/>
      <c r="Z33" s="1008"/>
      <c r="AB33" s="133" t="s">
        <v>442</v>
      </c>
      <c r="AC33" s="345" t="s">
        <v>1280</v>
      </c>
      <c r="AD33" s="7" t="s">
        <v>859</v>
      </c>
      <c r="AE33" s="780"/>
      <c r="AF33" s="780"/>
      <c r="AG33" s="780"/>
      <c r="AH33" s="780"/>
      <c r="AI33" s="141"/>
      <c r="AJ33" s="141"/>
      <c r="AK33" s="823"/>
      <c r="AN33" s="654" t="s">
        <v>1228</v>
      </c>
    </row>
    <row r="34" spans="1:44" ht="43.9" hidden="1" customHeight="1">
      <c r="E34" s="446">
        <v>45</v>
      </c>
      <c r="F34" s="3" cm="1">
        <f t="array" aca="1" ref="F34" ca="1">OFFSET(E34,-1,1)</f>
        <v>0</v>
      </c>
      <c r="G34" s="38" t="s">
        <v>560</v>
      </c>
      <c r="T34" s="351" t="b" cm="1">
        <f t="array" ref="T34">T33</f>
        <v>0</v>
      </c>
      <c r="X34" s="1024"/>
      <c r="Z34" s="1008"/>
      <c r="AB34" s="133" t="s">
        <v>444</v>
      </c>
      <c r="AC34" s="345" t="s">
        <v>1281</v>
      </c>
      <c r="AD34" s="7" t="s">
        <v>859</v>
      </c>
      <c r="AE34" s="780"/>
      <c r="AF34" s="780"/>
      <c r="AG34" s="780"/>
      <c r="AH34" s="780"/>
      <c r="AI34" s="141"/>
      <c r="AJ34" s="141"/>
      <c r="AK34" s="823"/>
      <c r="AN34" s="654" t="s">
        <v>1282</v>
      </c>
    </row>
    <row r="35" spans="1:44" ht="43.9" hidden="1" customHeight="1">
      <c r="E35" s="446">
        <v>45</v>
      </c>
      <c r="F35" s="3" cm="1">
        <f t="array" aca="1" ref="F35" ca="1">OFFSET(E35,-1,1)</f>
        <v>0</v>
      </c>
      <c r="G35" s="38" t="s">
        <v>613</v>
      </c>
      <c r="T35" s="351" t="b" cm="1">
        <f t="array" ref="T35">T34</f>
        <v>0</v>
      </c>
      <c r="X35" s="1024"/>
      <c r="Z35" s="1008"/>
      <c r="AB35" s="133" t="s">
        <v>446</v>
      </c>
      <c r="AC35" s="345" t="s">
        <v>1283</v>
      </c>
      <c r="AD35" s="7" t="s">
        <v>859</v>
      </c>
      <c r="AE35" s="780"/>
      <c r="AF35" s="780"/>
      <c r="AG35" s="780"/>
      <c r="AH35" s="780"/>
      <c r="AI35" s="141"/>
      <c r="AJ35" s="141"/>
      <c r="AK35" s="823"/>
      <c r="AN35" s="654" t="s">
        <v>1284</v>
      </c>
    </row>
    <row r="36" spans="1:44" ht="14.65" hidden="1" customHeight="1">
      <c r="E36" s="446">
        <v>15</v>
      </c>
      <c r="F36" s="3" cm="1">
        <f t="array" aca="1" ref="F36" ca="1">OFFSET(E36,-1,1)</f>
        <v>0</v>
      </c>
      <c r="G36" s="38" t="s">
        <v>628</v>
      </c>
      <c r="T36" s="351" t="b" cm="1">
        <f t="array" ref="T36">T35</f>
        <v>0</v>
      </c>
      <c r="X36" s="1024"/>
      <c r="Z36" s="1008"/>
      <c r="AB36" s="98">
        <v>9</v>
      </c>
      <c r="AC36" s="345" t="s">
        <v>1285</v>
      </c>
      <c r="AD36" s="7" t="s">
        <v>859</v>
      </c>
      <c r="AE36" s="148">
        <f t="shared" ref="AE36:AJ36" si="1">SUM(AE37:AE38)</f>
        <v>0</v>
      </c>
      <c r="AF36" s="148">
        <f t="shared" si="1"/>
        <v>0</v>
      </c>
      <c r="AG36" s="148">
        <f t="shared" si="1"/>
        <v>0</v>
      </c>
      <c r="AH36" s="148">
        <f t="shared" si="1"/>
        <v>0</v>
      </c>
      <c r="AI36" s="148">
        <f t="shared" si="1"/>
        <v>0</v>
      </c>
      <c r="AJ36" s="148">
        <f t="shared" si="1"/>
        <v>0</v>
      </c>
      <c r="AK36" s="823"/>
      <c r="AN36" s="654" t="s">
        <v>385</v>
      </c>
    </row>
    <row r="37" spans="1:44" ht="14.65" hidden="1" customHeight="1">
      <c r="E37" s="446">
        <v>15</v>
      </c>
      <c r="F37" s="3" cm="1">
        <f t="array" aca="1" ref="F37" ca="1">OFFSET(E37,-1,1)</f>
        <v>0</v>
      </c>
      <c r="G37" s="38" t="s">
        <v>628</v>
      </c>
      <c r="H37" s="38" cm="1">
        <f t="array" ref="H37">AC37</f>
        <v>0</v>
      </c>
      <c r="T37" s="351" t="b">
        <f ca="1">AND(F37&gt;0,Y37&gt;0)</f>
        <v>0</v>
      </c>
      <c r="W37" s="515" t="s">
        <v>171</v>
      </c>
      <c r="X37" s="1024"/>
      <c r="Y37" s="38">
        <v>0</v>
      </c>
      <c r="Z37" s="1008"/>
      <c r="AA37" s="319" t="s">
        <v>172</v>
      </c>
      <c r="AB37" s="498" t="str">
        <f>"9."&amp;Y37</f>
        <v>9.0</v>
      </c>
      <c r="AC37" s="779"/>
      <c r="AD37" s="7" t="s">
        <v>859</v>
      </c>
      <c r="AE37" s="780"/>
      <c r="AF37" s="780"/>
      <c r="AG37" s="780"/>
      <c r="AH37" s="780"/>
      <c r="AI37" s="141"/>
      <c r="AJ37" s="141"/>
      <c r="AK37" s="823"/>
      <c r="AN37" s="654" t="s">
        <v>385</v>
      </c>
      <c r="AO37" s="654" t="s">
        <v>1286</v>
      </c>
      <c r="AP37" s="654" cm="1">
        <f t="array" ref="AP37">AC37</f>
        <v>0</v>
      </c>
      <c r="AR37" s="446" t="b">
        <v>1</v>
      </c>
    </row>
    <row r="38" spans="1:44" ht="14.65" hidden="1" customHeight="1">
      <c r="A38" s="62"/>
      <c r="B38" s="325"/>
      <c r="C38" s="62"/>
      <c r="D38" s="62"/>
      <c r="E38" s="178">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1" t="b">
        <f ca="1">F38&gt;0</f>
        <v>0</v>
      </c>
      <c r="U38" s="62"/>
      <c r="V38" s="62"/>
      <c r="W38" s="515" t="s">
        <v>855</v>
      </c>
      <c r="X38" s="1024"/>
      <c r="Y38" s="62"/>
      <c r="Z38" s="1008"/>
      <c r="AA38" s="62"/>
      <c r="AB38" s="144"/>
      <c r="AC38" s="145" t="s">
        <v>175</v>
      </c>
      <c r="AD38" s="145"/>
      <c r="AE38" s="145"/>
      <c r="AF38" s="145"/>
      <c r="AG38" s="145"/>
      <c r="AH38" s="145"/>
      <c r="AI38" s="145"/>
      <c r="AJ38" s="145"/>
      <c r="AK38" s="146"/>
      <c r="AL38" s="62"/>
      <c r="AQ38" s="446" t="s">
        <v>1286</v>
      </c>
    </row>
    <row r="39" spans="1:44" ht="24.6" customHeight="1">
      <c r="E39" s="446">
        <v>15</v>
      </c>
      <c r="F39" s="17" t="str" cm="1">
        <f t="array" ref="F39">X39</f>
        <v>1</v>
      </c>
      <c r="G39" s="38" t="s">
        <v>1270</v>
      </c>
      <c r="T39" s="351" t="b">
        <f>X39&gt;0</f>
        <v>1</v>
      </c>
      <c r="V39" s="38" t="str" cm="1">
        <f t="array" ref="V39">Административные!$AB$46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39" s="1024" t="s">
        <v>277</v>
      </c>
      <c r="Z39" s="1008"/>
      <c r="AB39" s="135" t="str" cm="1">
        <f t="array" ref="AB39">Административные!$AB$46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9" s="94"/>
      <c r="AD39" s="94"/>
      <c r="AE39" s="213">
        <f t="shared" ref="AE39:AJ39" ca="1" si="2">SUM(AE40:AE48)</f>
        <v>0</v>
      </c>
      <c r="AF39" s="213">
        <f t="shared" ca="1" si="2"/>
        <v>985.8</v>
      </c>
      <c r="AG39" s="213">
        <f t="shared" ca="1" si="2"/>
        <v>985.8</v>
      </c>
      <c r="AH39" s="213">
        <f t="shared" ca="1" si="2"/>
        <v>2685</v>
      </c>
      <c r="AI39" s="213">
        <f t="shared" ca="1" si="2"/>
        <v>2418.2399999999998</v>
      </c>
      <c r="AJ39" s="213">
        <f t="shared" ca="1" si="2"/>
        <v>2418.2399999999998</v>
      </c>
      <c r="AK39" s="137"/>
    </row>
    <row r="40" spans="1:44" ht="27.95" customHeight="1">
      <c r="E40" s="446">
        <v>22.5</v>
      </c>
      <c r="F40" s="3" t="str" cm="1">
        <f t="array" aca="1" ref="F40" ca="1">OFFSET(E40,-1,1)</f>
        <v>1</v>
      </c>
      <c r="G40" s="38" t="s">
        <v>321</v>
      </c>
      <c r="K40" s="40" t="str">
        <f ca="1">F40&amp;"komm"</f>
        <v>1komm</v>
      </c>
      <c r="L40" s="607" cm="1">
        <f t="array" ref="L40">AK40</f>
        <v>0</v>
      </c>
      <c r="T40" s="351" t="b" cm="1">
        <f t="array" ref="T40">T39</f>
        <v>1</v>
      </c>
      <c r="X40" s="1024"/>
      <c r="Z40" s="1008"/>
      <c r="AB40" s="133" t="s">
        <v>277</v>
      </c>
      <c r="AC40" s="345" t="s">
        <v>1271</v>
      </c>
      <c r="AD40" s="7" t="s">
        <v>859</v>
      </c>
      <c r="AE40" s="141"/>
      <c r="AF40" s="142"/>
      <c r="AG40" s="142"/>
      <c r="AH40" s="142"/>
      <c r="AI40" s="142"/>
      <c r="AJ40" s="142"/>
      <c r="AK40" s="113"/>
      <c r="AN40" s="654" t="s">
        <v>1272</v>
      </c>
    </row>
    <row r="41" spans="1:44" ht="30.2" customHeight="1">
      <c r="E41" s="446">
        <v>22.5</v>
      </c>
      <c r="F41" s="3" t="str" cm="1">
        <f t="array" aca="1" ref="F41" ca="1">OFFSET(E41,-1,1)</f>
        <v>1</v>
      </c>
      <c r="G41" s="38" t="s">
        <v>322</v>
      </c>
      <c r="T41" s="351" t="b" cm="1">
        <f t="array" ref="T41">T40</f>
        <v>1</v>
      </c>
      <c r="X41" s="1024"/>
      <c r="Z41" s="1008"/>
      <c r="AB41" s="133" t="s">
        <v>435</v>
      </c>
      <c r="AC41" s="345" t="s">
        <v>1273</v>
      </c>
      <c r="AD41" s="7" t="s">
        <v>859</v>
      </c>
      <c r="AE41" s="141"/>
      <c r="AF41" s="142"/>
      <c r="AG41" s="142"/>
      <c r="AH41" s="142"/>
      <c r="AI41" s="142"/>
      <c r="AJ41" s="142"/>
      <c r="AK41" s="113"/>
      <c r="AN41" s="654" t="s">
        <v>1274</v>
      </c>
    </row>
    <row r="42" spans="1:44" ht="25.7" customHeight="1">
      <c r="E42" s="446">
        <v>22.5</v>
      </c>
      <c r="F42" s="3" t="str" cm="1">
        <f t="array" aca="1" ref="F42" ca="1">OFFSET(E42,-1,1)</f>
        <v>1</v>
      </c>
      <c r="G42" s="38" t="s">
        <v>323</v>
      </c>
      <c r="T42" s="351" t="b" cm="1">
        <f t="array" ref="T42">T41</f>
        <v>1</v>
      </c>
      <c r="X42" s="1024"/>
      <c r="Z42" s="1008"/>
      <c r="AB42" s="133" t="s">
        <v>319</v>
      </c>
      <c r="AC42" s="345" t="s">
        <v>1275</v>
      </c>
      <c r="AD42" s="7" t="s">
        <v>859</v>
      </c>
      <c r="AE42" s="141"/>
      <c r="AF42" s="142"/>
      <c r="AG42" s="142"/>
      <c r="AH42" s="142"/>
      <c r="AI42" s="142"/>
      <c r="AJ42" s="142"/>
      <c r="AK42" s="113"/>
      <c r="AN42" s="654" t="s">
        <v>1276</v>
      </c>
    </row>
    <row r="43" spans="1:44" ht="32.25" customHeight="1">
      <c r="E43" s="446">
        <v>33.75</v>
      </c>
      <c r="F43" s="764" t="str" cm="1">
        <f t="array" aca="1" ref="F43" ca="1">OFFSET(E43,-1,1)</f>
        <v>1</v>
      </c>
      <c r="G43" s="38" t="s">
        <v>325</v>
      </c>
      <c r="T43" s="351" t="b" cm="1">
        <f t="array" ref="T43">T42</f>
        <v>1</v>
      </c>
      <c r="X43" s="1024"/>
      <c r="Z43" s="1008"/>
      <c r="AB43" s="7">
        <v>4</v>
      </c>
      <c r="AC43" s="345" t="s">
        <v>1277</v>
      </c>
      <c r="AD43" s="7" t="s">
        <v>859</v>
      </c>
      <c r="AE43" s="170">
        <f ca="1">SUMIFS(ФОТ!AE$25:AE$89,ФОТ!$F$25:$F$89,$F43,ФОТ!$G$25:$G$89,"СП")+SUMIFS(ФОТ!AE$25:AE$89,ФОТ!$F$25:$F$89,$F43,ФОТ!$G$25:$G$89,"СОЦ_СП")</f>
        <v>0</v>
      </c>
      <c r="AF43" s="170">
        <f ca="1">SUMIFS(ФОТ!AF$25:AF$89,ФОТ!$F$25:$F$89,$F43,ФОТ!$G$25:$G$89,"СП")+SUMIFS(ФОТ!AF$25:AF$89,ФОТ!$F$25:$F$89,$F43,ФОТ!$G$25:$G$89,"СОЦ_СП")</f>
        <v>0</v>
      </c>
      <c r="AG43" s="170">
        <f ca="1">SUMIFS(ФОТ!AG$25:AG$89,ФОТ!$F$25:$F$89,$F43,ФОТ!$G$25:$G$89,"СП")+SUMIFS(ФОТ!AG$25:AG$89,ФОТ!$F$25:$F$89,$F43,ФОТ!$G$25:$G$89,"СОЦ_СП")</f>
        <v>0</v>
      </c>
      <c r="AH43" s="170">
        <f ca="1">SUMIFS(ФОТ!AH$25:AH$89,ФОТ!$F$25:$F$89,$F43,ФОТ!$G$25:$G$89,"СП")+SUMIFS(ФОТ!AH$25:AH$89,ФОТ!$F$25:$F$89,$F43,ФОТ!$G$25:$G$89,"СОЦ_СП")</f>
        <v>0</v>
      </c>
      <c r="AI43" s="170">
        <f ca="1">SUMIFS(ФОТ!AI$25:AI$89,ФОТ!$F$25:$F$89,$F43,ФОТ!$G$25:$G$89,"СП")+SUMIFS(ФОТ!AI$25:AI$89,ФОТ!$F$25:$F$89,$F43,ФОТ!$G$25:$G$89,"СОЦ_СП")</f>
        <v>0</v>
      </c>
      <c r="AJ43" s="170">
        <f ca="1">SUMIFS(ФОТ!AJ$25:AJ$89,ФОТ!$F$25:$F$89,$F43,ФОТ!$G$25:$G$89,"СП")+SUMIFS(ФОТ!AJ$25:AJ$89,ФОТ!$F$25:$F$89,$F43,ФОТ!$G$25:$G$89,"СОЦ_СП")</f>
        <v>0</v>
      </c>
      <c r="AK43" s="113"/>
      <c r="AM43"/>
      <c r="AN43" s="659" t="s">
        <v>1278</v>
      </c>
      <c r="AO43" s="659"/>
      <c r="AP43" s="659"/>
      <c r="AQ43" s="452"/>
      <c r="AR43" s="452"/>
    </row>
    <row r="44" spans="1:44" ht="32.25" customHeight="1">
      <c r="E44" s="446">
        <v>33.75</v>
      </c>
      <c r="F44" s="3" t="str" cm="1">
        <f t="array" aca="1" ref="F44" ca="1">OFFSET(E44,-1,1)</f>
        <v>1</v>
      </c>
      <c r="G44" s="38" t="s">
        <v>324</v>
      </c>
      <c r="T44" s="351" t="b" cm="1">
        <f t="array" ref="T44">T43</f>
        <v>1</v>
      </c>
      <c r="X44" s="1024"/>
      <c r="Z44" s="1008"/>
      <c r="AB44" s="133" t="s">
        <v>440</v>
      </c>
      <c r="AC44" s="345" t="s">
        <v>1279</v>
      </c>
      <c r="AD44" s="7" t="s">
        <v>859</v>
      </c>
      <c r="AE44" s="141"/>
      <c r="AF44" s="141"/>
      <c r="AG44" s="141"/>
      <c r="AH44" s="141"/>
      <c r="AI44" s="141"/>
      <c r="AJ44" s="141"/>
      <c r="AK44" s="113"/>
      <c r="AN44" s="654" t="s">
        <v>1242</v>
      </c>
    </row>
    <row r="45" spans="1:44" ht="21.75" customHeight="1">
      <c r="E45" s="446">
        <v>22.5</v>
      </c>
      <c r="F45" s="3" t="str" cm="1">
        <f t="array" aca="1" ref="F45" ca="1">OFFSET(E45,-1,1)</f>
        <v>1</v>
      </c>
      <c r="G45" s="38" t="s">
        <v>557</v>
      </c>
      <c r="T45" s="351" t="b" cm="1">
        <f t="array" ref="T45">T44</f>
        <v>1</v>
      </c>
      <c r="X45" s="1024"/>
      <c r="Z45" s="1008"/>
      <c r="AB45" s="133" t="s">
        <v>442</v>
      </c>
      <c r="AC45" s="345" t="s">
        <v>1280</v>
      </c>
      <c r="AD45" s="7" t="s">
        <v>859</v>
      </c>
      <c r="AE45" s="141"/>
      <c r="AF45" s="141"/>
      <c r="AG45" s="141"/>
      <c r="AH45" s="141"/>
      <c r="AI45" s="141"/>
      <c r="AJ45" s="141"/>
      <c r="AK45" s="113"/>
      <c r="AN45" s="654" t="s">
        <v>1228</v>
      </c>
    </row>
    <row r="46" spans="1:44" ht="50.45" customHeight="1">
      <c r="E46" s="446">
        <v>45</v>
      </c>
      <c r="F46" s="3" t="str" cm="1">
        <f t="array" aca="1" ref="F46" ca="1">OFFSET(E46,-1,1)</f>
        <v>1</v>
      </c>
      <c r="G46" s="38" t="s">
        <v>560</v>
      </c>
      <c r="T46" s="351" t="b" cm="1">
        <f t="array" ref="T46">T45</f>
        <v>1</v>
      </c>
      <c r="X46" s="1024"/>
      <c r="Z46" s="1008"/>
      <c r="AB46" s="133" t="s">
        <v>444</v>
      </c>
      <c r="AC46" s="345" t="s">
        <v>1281</v>
      </c>
      <c r="AD46" s="7" t="s">
        <v>859</v>
      </c>
      <c r="AE46" s="141"/>
      <c r="AF46" s="141"/>
      <c r="AG46" s="141"/>
      <c r="AH46" s="141"/>
      <c r="AI46" s="141"/>
      <c r="AJ46" s="141"/>
      <c r="AK46" s="113"/>
      <c r="AN46" s="654" t="s">
        <v>1282</v>
      </c>
    </row>
    <row r="47" spans="1:44" ht="48.95" customHeight="1">
      <c r="E47" s="446">
        <v>45</v>
      </c>
      <c r="F47" s="3" t="str" cm="1">
        <f t="array" aca="1" ref="F47" ca="1">OFFSET(E47,-1,1)</f>
        <v>1</v>
      </c>
      <c r="G47" s="38" t="s">
        <v>613</v>
      </c>
      <c r="T47" s="351" t="b" cm="1">
        <f t="array" ref="T47">T46</f>
        <v>1</v>
      </c>
      <c r="X47" s="1024"/>
      <c r="Z47" s="1008"/>
      <c r="AB47" s="133" t="s">
        <v>446</v>
      </c>
      <c r="AC47" s="345" t="s">
        <v>1283</v>
      </c>
      <c r="AD47" s="7" t="s">
        <v>859</v>
      </c>
      <c r="AE47" s="141"/>
      <c r="AF47" s="141">
        <v>985.8</v>
      </c>
      <c r="AG47" s="141">
        <v>985.8</v>
      </c>
      <c r="AH47" s="141">
        <v>2685</v>
      </c>
      <c r="AI47" s="141">
        <v>2418.2399999999998</v>
      </c>
      <c r="AJ47" s="141">
        <v>2418.2399999999998</v>
      </c>
      <c r="AK47" s="113" t="s">
        <v>1287</v>
      </c>
      <c r="AN47" s="654" t="s">
        <v>1284</v>
      </c>
    </row>
    <row r="48" spans="1:44" ht="23.45" customHeight="1">
      <c r="E48" s="446">
        <v>15</v>
      </c>
      <c r="F48" s="3" t="str" cm="1">
        <f t="array" aca="1" ref="F48" ca="1">OFFSET(E48,-1,1)</f>
        <v>1</v>
      </c>
      <c r="G48" s="38" t="s">
        <v>628</v>
      </c>
      <c r="T48" s="351" t="b" cm="1">
        <f t="array" ref="T48">T47</f>
        <v>1</v>
      </c>
      <c r="X48" s="1024"/>
      <c r="Z48" s="1008"/>
      <c r="AB48" s="98">
        <v>9</v>
      </c>
      <c r="AC48" s="345" t="s">
        <v>1285</v>
      </c>
      <c r="AD48" s="7" t="s">
        <v>859</v>
      </c>
      <c r="AE48" s="148">
        <f t="shared" ref="AE48:AJ48" si="3">SUM(AE49:AE50)</f>
        <v>0</v>
      </c>
      <c r="AF48" s="148">
        <f t="shared" si="3"/>
        <v>0</v>
      </c>
      <c r="AG48" s="148">
        <f t="shared" si="3"/>
        <v>0</v>
      </c>
      <c r="AH48" s="148">
        <f t="shared" si="3"/>
        <v>0</v>
      </c>
      <c r="AI48" s="148">
        <f t="shared" si="3"/>
        <v>0</v>
      </c>
      <c r="AJ48" s="148">
        <f t="shared" si="3"/>
        <v>0</v>
      </c>
      <c r="AK48" s="113"/>
      <c r="AN48" s="654" t="s">
        <v>385</v>
      </c>
    </row>
    <row r="49" spans="1:44" ht="14.25" hidden="1" customHeight="1">
      <c r="E49" s="446">
        <v>15</v>
      </c>
      <c r="F49" s="3" t="str" cm="1">
        <f t="array" aca="1" ref="F49" ca="1">OFFSET(E49,-1,1)</f>
        <v>1</v>
      </c>
      <c r="G49" s="38" t="s">
        <v>628</v>
      </c>
      <c r="H49" s="38" cm="1">
        <f t="array" ref="H49">AC49</f>
        <v>0</v>
      </c>
      <c r="T49" s="351" t="b">
        <f ca="1">AND(F49&gt;0,Y49&gt;0)</f>
        <v>0</v>
      </c>
      <c r="W49" s="515" t="s">
        <v>171</v>
      </c>
      <c r="X49" s="1024"/>
      <c r="Y49" s="38">
        <v>0</v>
      </c>
      <c r="Z49" s="1008"/>
      <c r="AA49" s="319" t="s">
        <v>172</v>
      </c>
      <c r="AB49" s="498" t="str">
        <f>"9."&amp;Y49</f>
        <v>9.0</v>
      </c>
      <c r="AC49" s="779"/>
      <c r="AD49" s="7" t="s">
        <v>859</v>
      </c>
      <c r="AE49" s="780"/>
      <c r="AF49" s="780"/>
      <c r="AG49" s="780"/>
      <c r="AH49" s="780"/>
      <c r="AI49" s="141"/>
      <c r="AJ49" s="141"/>
      <c r="AK49" s="823"/>
      <c r="AN49" s="654" t="s">
        <v>385</v>
      </c>
      <c r="AO49" s="654" t="s">
        <v>1286</v>
      </c>
      <c r="AP49" s="654" cm="1">
        <f t="array" ref="AP49">AC49</f>
        <v>0</v>
      </c>
      <c r="AR49" s="446" t="b">
        <v>1</v>
      </c>
    </row>
    <row r="50" spans="1:44" ht="14.25" customHeight="1">
      <c r="A50" s="62"/>
      <c r="B50" s="325"/>
      <c r="C50" s="62"/>
      <c r="D50" s="62"/>
      <c r="E50" s="178">
        <v>15</v>
      </c>
      <c r="F50" s="3" t="str" cm="1">
        <f t="array" aca="1" ref="F50" ca="1">OFFSET(E50,-1,1)</f>
        <v>1</v>
      </c>
      <c r="G50" s="62"/>
      <c r="H50" s="66" t="str">
        <f>"!=='не определено'"</f>
        <v>!=='не определено'</v>
      </c>
      <c r="I50" s="62"/>
      <c r="J50" s="62"/>
      <c r="K50" s="62"/>
      <c r="L50" s="62"/>
      <c r="M50" s="62"/>
      <c r="N50" s="62"/>
      <c r="O50" s="62"/>
      <c r="P50" s="62"/>
      <c r="Q50" s="62"/>
      <c r="R50" s="62"/>
      <c r="S50" s="62"/>
      <c r="T50" s="351" t="b">
        <f ca="1">F50&gt;0</f>
        <v>1</v>
      </c>
      <c r="U50" s="62"/>
      <c r="V50" s="62"/>
      <c r="W50" s="515" t="s">
        <v>855</v>
      </c>
      <c r="X50" s="1024"/>
      <c r="Y50" s="62"/>
      <c r="Z50" s="1008"/>
      <c r="AA50" s="62"/>
      <c r="AB50" s="144"/>
      <c r="AC50" s="145" t="s">
        <v>175</v>
      </c>
      <c r="AD50" s="145"/>
      <c r="AE50" s="145"/>
      <c r="AF50" s="145"/>
      <c r="AG50" s="145"/>
      <c r="AH50" s="145"/>
      <c r="AI50" s="145"/>
      <c r="AJ50" s="145"/>
      <c r="AK50" s="146"/>
      <c r="AL50" s="62"/>
      <c r="AQ50" s="446" t="s">
        <v>1286</v>
      </c>
    </row>
    <row r="51" spans="1:44" ht="10.7" customHeight="1">
      <c r="A51"/>
      <c r="B51" s="326"/>
      <c r="C51"/>
      <c r="D51"/>
      <c r="E51" s="446">
        <v>11</v>
      </c>
      <c r="F51" s="4"/>
      <c r="G51"/>
      <c r="H51"/>
      <c r="I51"/>
      <c r="J51"/>
      <c r="K51"/>
      <c r="L51"/>
      <c r="M51"/>
      <c r="N51"/>
      <c r="O51"/>
      <c r="P51"/>
      <c r="Q51"/>
      <c r="R51"/>
      <c r="S51"/>
      <c r="T51"/>
      <c r="U51" t="s">
        <v>175</v>
      </c>
      <c r="V51" s="56" t="s">
        <v>1288</v>
      </c>
      <c r="W51"/>
      <c r="X51"/>
      <c r="Y51"/>
      <c r="Z51"/>
      <c r="AA51"/>
      <c r="AB51"/>
      <c r="AC51" s="18"/>
      <c r="AD51" s="18"/>
      <c r="AE51" s="18"/>
      <c r="AF51" s="18"/>
      <c r="AG51"/>
      <c r="AH51"/>
      <c r="AI51"/>
      <c r="AJ51"/>
      <c r="AK51"/>
      <c r="AL51"/>
    </row>
    <row r="52" spans="1:44" ht="14.65" customHeight="1">
      <c r="A52" s="17"/>
      <c r="B52" s="46"/>
      <c r="C52" s="17"/>
      <c r="D52" s="17"/>
      <c r="E52" s="459">
        <v>15</v>
      </c>
      <c r="F52" s="17"/>
      <c r="G52" s="17"/>
      <c r="H52" s="17"/>
      <c r="I52" s="17"/>
      <c r="J52" s="17"/>
      <c r="K52" s="17"/>
      <c r="L52" s="17"/>
      <c r="M52" s="17"/>
      <c r="N52" s="17"/>
      <c r="O52" s="17"/>
      <c r="P52" s="17"/>
      <c r="Q52" s="17"/>
      <c r="R52" s="17"/>
      <c r="S52" s="17"/>
      <c r="T52" s="17"/>
      <c r="U52" s="17"/>
      <c r="V52" s="17"/>
      <c r="W52" s="17"/>
      <c r="X52" s="17"/>
      <c r="Y52" s="17"/>
      <c r="Z52" s="17"/>
      <c r="AA52" s="17"/>
      <c r="AB52" s="1028" t="s">
        <v>396</v>
      </c>
      <c r="AC52" s="1028"/>
      <c r="AD52" s="1028"/>
      <c r="AE52" s="1028"/>
      <c r="AF52" s="1028"/>
      <c r="AG52" s="1028"/>
      <c r="AH52" s="1028"/>
      <c r="AI52" s="1094"/>
      <c r="AJ52" s="1094"/>
      <c r="AK52" s="1094"/>
      <c r="AL52" s="17"/>
    </row>
    <row r="53" spans="1:44" ht="44.45" customHeight="1">
      <c r="A53" s="17"/>
      <c r="B53" s="46"/>
      <c r="C53" s="17"/>
      <c r="D53" s="17"/>
      <c r="E53" s="459">
        <v>15</v>
      </c>
      <c r="F53" s="17"/>
      <c r="G53" s="17"/>
      <c r="H53" s="17"/>
      <c r="I53" s="17"/>
      <c r="J53" s="17"/>
      <c r="K53" s="17"/>
      <c r="L53" s="17"/>
      <c r="M53" s="17"/>
      <c r="N53" s="17"/>
      <c r="O53" s="17"/>
      <c r="P53" s="17"/>
      <c r="Q53" s="17"/>
      <c r="R53" s="17"/>
      <c r="S53" s="17"/>
      <c r="U53" s="17"/>
      <c r="V53" s="17"/>
      <c r="W53" s="17"/>
      <c r="X53" s="17"/>
      <c r="Y53" s="17"/>
      <c r="Z53" s="17"/>
      <c r="AA53" s="344"/>
      <c r="AB53" s="1049" t="s">
        <v>1289</v>
      </c>
      <c r="AC53" s="1049"/>
      <c r="AD53" s="1049"/>
      <c r="AE53" s="1049"/>
      <c r="AF53" s="1049"/>
      <c r="AG53" s="1049"/>
      <c r="AH53" s="1049"/>
      <c r="AI53" s="1092"/>
      <c r="AJ53" s="1092"/>
      <c r="AK53" s="1092"/>
      <c r="AL53" s="17"/>
    </row>
    <row r="54" spans="1:44" ht="14.65" hidden="1" customHeight="1">
      <c r="A54" s="17"/>
      <c r="B54" s="46"/>
      <c r="C54" s="17"/>
      <c r="D54" s="17"/>
      <c r="E54" s="459">
        <v>15</v>
      </c>
      <c r="F54" s="17"/>
      <c r="G54" s="17"/>
      <c r="H54" s="17"/>
      <c r="I54" s="17"/>
      <c r="J54" s="17"/>
      <c r="K54" s="17"/>
      <c r="L54" s="17"/>
      <c r="M54" s="17"/>
      <c r="N54" s="17"/>
      <c r="O54" s="17"/>
      <c r="P54" s="17"/>
      <c r="Q54" s="17"/>
      <c r="R54" s="17"/>
      <c r="S54" s="17"/>
      <c r="T54" s="351" t="b">
        <f>ROW(W54)&gt;ROW(W$54)</f>
        <v>0</v>
      </c>
      <c r="U54" s="17"/>
      <c r="V54" s="17"/>
      <c r="W54" s="515" t="s">
        <v>171</v>
      </c>
      <c r="X54" s="17"/>
      <c r="Y54" s="17"/>
      <c r="Z54" s="17"/>
      <c r="AA54" s="319" t="s">
        <v>172</v>
      </c>
      <c r="AB54" s="1077" t="s">
        <v>124</v>
      </c>
      <c r="AC54" s="1077"/>
      <c r="AD54" s="1077"/>
      <c r="AE54" s="1077"/>
      <c r="AF54" s="1077"/>
      <c r="AG54" s="1077"/>
      <c r="AH54" s="1077"/>
      <c r="AI54" s="1092"/>
      <c r="AJ54" s="1092"/>
      <c r="AK54" s="1093"/>
      <c r="AL54" s="17"/>
    </row>
    <row r="55" spans="1:44" ht="35.450000000000003" customHeight="1">
      <c r="A55" s="17"/>
      <c r="B55" s="46"/>
      <c r="C55" s="17"/>
      <c r="D55" s="17"/>
      <c r="E55" s="459">
        <v>15</v>
      </c>
      <c r="F55" s="17"/>
      <c r="G55" s="17"/>
      <c r="H55" s="17"/>
      <c r="I55" s="17"/>
      <c r="J55" s="17"/>
      <c r="K55" s="17"/>
      <c r="L55" s="17"/>
      <c r="M55" s="17"/>
      <c r="N55" s="17"/>
      <c r="O55" s="17"/>
      <c r="P55" s="17"/>
      <c r="Q55" s="17"/>
      <c r="R55" s="17"/>
      <c r="S55" s="17"/>
      <c r="T55" s="351" t="b">
        <f>ROW(W55)&gt;ROW(W$54)</f>
        <v>1</v>
      </c>
      <c r="U55" s="17"/>
      <c r="V55" s="17"/>
      <c r="W55" s="515"/>
      <c r="X55" s="17"/>
      <c r="Y55" s="17" t="s">
        <v>124</v>
      </c>
      <c r="Z55" s="17"/>
      <c r="AA55" s="319" t="s">
        <v>172</v>
      </c>
      <c r="AB55" s="1049" t="s">
        <v>1290</v>
      </c>
      <c r="AC55" s="1049"/>
      <c r="AD55" s="1049"/>
      <c r="AE55" s="1049"/>
      <c r="AF55" s="1049"/>
      <c r="AG55" s="1049"/>
      <c r="AH55" s="1049"/>
      <c r="AI55" s="1092"/>
      <c r="AJ55" s="1092"/>
      <c r="AK55" s="1092"/>
      <c r="AL55" s="17"/>
    </row>
    <row r="56" spans="1:44" ht="25.35" customHeight="1">
      <c r="A56" s="17"/>
      <c r="B56" s="46"/>
      <c r="C56" s="17"/>
      <c r="D56" s="17"/>
      <c r="E56" s="459">
        <v>15</v>
      </c>
      <c r="F56" s="17"/>
      <c r="G56" s="17"/>
      <c r="H56" s="17"/>
      <c r="I56" s="17"/>
      <c r="J56" s="17"/>
      <c r="K56" s="17"/>
      <c r="L56" s="17"/>
      <c r="M56" s="17"/>
      <c r="N56" s="17"/>
      <c r="O56" s="17"/>
      <c r="P56" s="17"/>
      <c r="Q56" s="17"/>
      <c r="R56" s="17"/>
      <c r="S56" s="17"/>
      <c r="T56" s="351" t="b">
        <f>ROW(W56)&gt;ROW(W$54)</f>
        <v>1</v>
      </c>
      <c r="U56" s="17"/>
      <c r="V56" s="17"/>
      <c r="W56" s="515"/>
      <c r="X56" s="17"/>
      <c r="Y56" s="17" t="s">
        <v>124</v>
      </c>
      <c r="Z56" s="17"/>
      <c r="AA56" s="319" t="s">
        <v>172</v>
      </c>
      <c r="AB56" s="1049" t="s">
        <v>1291</v>
      </c>
      <c r="AC56" s="1049"/>
      <c r="AD56" s="1049"/>
      <c r="AE56" s="1049"/>
      <c r="AF56" s="1049"/>
      <c r="AG56" s="1049"/>
      <c r="AH56" s="1049"/>
      <c r="AI56" s="1092"/>
      <c r="AJ56" s="1092"/>
      <c r="AK56" s="1092"/>
      <c r="AL56" s="17"/>
    </row>
    <row r="57" spans="1:44" ht="33.6" customHeight="1">
      <c r="A57" s="17"/>
      <c r="B57" s="46"/>
      <c r="C57" s="17"/>
      <c r="D57" s="17"/>
      <c r="E57" s="459">
        <v>15</v>
      </c>
      <c r="F57" s="17"/>
      <c r="G57" s="17"/>
      <c r="H57" s="17"/>
      <c r="I57" s="17"/>
      <c r="J57" s="17"/>
      <c r="K57" s="17"/>
      <c r="L57" s="17"/>
      <c r="M57" s="17"/>
      <c r="N57" s="17"/>
      <c r="O57" s="17"/>
      <c r="P57" s="17"/>
      <c r="Q57" s="17"/>
      <c r="R57" s="17"/>
      <c r="S57" s="17"/>
      <c r="T57" s="351" t="b">
        <f>ROW(W57)&gt;ROW(W$54)</f>
        <v>1</v>
      </c>
      <c r="U57" s="17"/>
      <c r="V57" s="17"/>
      <c r="W57" s="515"/>
      <c r="X57" s="17"/>
      <c r="Y57" s="17" t="s">
        <v>124</v>
      </c>
      <c r="Z57" s="17"/>
      <c r="AA57" s="319" t="s">
        <v>172</v>
      </c>
      <c r="AB57" s="1049" t="s">
        <v>1292</v>
      </c>
      <c r="AC57" s="1049"/>
      <c r="AD57" s="1049"/>
      <c r="AE57" s="1049"/>
      <c r="AF57" s="1049"/>
      <c r="AG57" s="1049"/>
      <c r="AH57" s="1049"/>
      <c r="AI57" s="1092"/>
      <c r="AJ57" s="1092"/>
      <c r="AK57" s="1092"/>
      <c r="AL57" s="17"/>
    </row>
    <row r="58" spans="1:44" s="62" customFormat="1" ht="14.65" customHeight="1">
      <c r="A58" s="17"/>
      <c r="B58" s="46"/>
      <c r="C58" s="17"/>
      <c r="D58" s="17"/>
      <c r="E58" s="459">
        <v>15</v>
      </c>
      <c r="F58" s="17"/>
      <c r="G58" s="17"/>
      <c r="H58" s="17"/>
      <c r="I58" s="17"/>
      <c r="J58" s="17"/>
      <c r="K58" s="17"/>
      <c r="L58" s="17"/>
      <c r="M58" s="17"/>
      <c r="N58" s="17"/>
      <c r="O58" s="17"/>
      <c r="P58" s="17"/>
      <c r="Q58" s="17"/>
      <c r="R58" s="17"/>
      <c r="S58" s="17"/>
      <c r="T58" s="17"/>
      <c r="U58" s="17"/>
      <c r="V58" s="17"/>
      <c r="W58" s="515" t="s">
        <v>407</v>
      </c>
      <c r="X58" s="17"/>
      <c r="Y58" s="17"/>
      <c r="Z58" s="17"/>
      <c r="AA58" s="17"/>
      <c r="AB58" s="472"/>
      <c r="AC58" s="380" t="s">
        <v>408</v>
      </c>
      <c r="AD58" s="217"/>
      <c r="AE58" s="217"/>
      <c r="AF58" s="218"/>
      <c r="AG58" s="218"/>
      <c r="AH58" s="218"/>
      <c r="AI58" s="218"/>
      <c r="AJ58" s="218"/>
      <c r="AK58" s="219"/>
      <c r="AL58" s="17"/>
      <c r="AN58" s="676"/>
      <c r="AO58" s="676"/>
      <c r="AP58" s="676"/>
      <c r="AQ58" s="178"/>
      <c r="AR58" s="178"/>
    </row>
    <row r="59" spans="1:44" ht="10.7" customHeight="1">
      <c r="E59" s="446">
        <v>11</v>
      </c>
      <c r="AL59" s="22"/>
      <c r="AM59"/>
      <c r="AN59" s="659"/>
      <c r="AO59" s="659"/>
      <c r="AP59" s="659"/>
      <c r="AQ59" s="452"/>
      <c r="AR59" s="452"/>
    </row>
    <row r="60" spans="1:44" ht="14.25" hidden="1" customHeight="1">
      <c r="A60" s="342"/>
      <c r="B60" s="342"/>
      <c r="C60" s="342"/>
      <c r="D60" s="342"/>
      <c r="E60" s="497"/>
      <c r="F60" s="342"/>
      <c r="G60" s="342"/>
      <c r="H60" s="342"/>
      <c r="I60" s="342"/>
      <c r="J60" s="342"/>
      <c r="K60" s="342"/>
      <c r="L60" s="342"/>
      <c r="M60" s="342"/>
      <c r="N60" s="342"/>
      <c r="O60" s="342"/>
      <c r="P60" s="342"/>
      <c r="Q60" s="342"/>
      <c r="R60" s="342"/>
      <c r="S60" s="342"/>
      <c r="T60" s="342"/>
      <c r="U60" s="342"/>
      <c r="V60" s="342"/>
      <c r="W60" s="342"/>
      <c r="X60" s="342"/>
      <c r="Y60" s="342"/>
      <c r="Z60" s="342"/>
    </row>
  </sheetData>
  <sheetProtection formatColumns="0" formatRows="0" insertRows="0" deleteColumns="0" deleteRows="0" sort="0" autoFilter="0"/>
  <mergeCells count="14">
    <mergeCell ref="AB55:AK55"/>
    <mergeCell ref="AB56:AK56"/>
    <mergeCell ref="AB57:AK57"/>
    <mergeCell ref="X27:X38"/>
    <mergeCell ref="Z27:Z38"/>
    <mergeCell ref="AB52:AK52"/>
    <mergeCell ref="AB53:AK53"/>
    <mergeCell ref="X39:X50"/>
    <mergeCell ref="Z39:Z50"/>
    <mergeCell ref="AB24:AB25"/>
    <mergeCell ref="AC24:AC25"/>
    <mergeCell ref="AD24:AD25"/>
    <mergeCell ref="AK24:AK25"/>
    <mergeCell ref="AB54:AK54"/>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xr:uid="{00000000-0002-0000-1400-000000000000}">
      <formula1>0</formula1>
      <formula2>9.99999999999999E+23</formula2>
    </dataValidation>
    <dataValidation allowBlank="1" showInputMessage="1" showErrorMessage="1" sqref="AI52:AK58 AI37:AJ37 AI49 AJ49" xr:uid="{00000000-0002-0000-1400-000001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5A48-44F3-E9B8-5628-09D0DA73F568}">
  <sheetPr>
    <tabColor rgb="FF002060"/>
    <outlinePr summaryBelow="0" summaryRight="0"/>
    <pageSetUpPr fitToPage="1"/>
  </sheetPr>
  <dimension ref="A1:BJ76"/>
  <sheetViews>
    <sheetView showGridLines="0" zoomScale="110" workbookViewId="0">
      <pane xSplit="30" ySplit="25" topLeftCell="AE42" activePane="bottomRight" state="frozen"/>
      <selection pane="topRight" activeCell="AE1" sqref="AE1"/>
      <selection pane="bottomLeft" activeCell="A26" sqref="A26"/>
      <selection pane="bottomRight" activeCell="AU47" sqref="AU47"/>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5" style="38" customWidth="1"/>
    <col min="30" max="30" width="12" style="38" customWidth="1"/>
    <col min="31" max="37" width="12.5703125" style="38" customWidth="1"/>
    <col min="38" max="44" width="12.5703125" style="38" hidden="1" customWidth="1"/>
    <col min="45" max="47" width="12.5703125" style="38" customWidth="1"/>
    <col min="48" max="54" width="12.5703125" style="38" hidden="1" customWidth="1"/>
    <col min="55" max="55" width="60" style="38" customWidth="1"/>
    <col min="56" max="56" width="3" style="38" customWidth="1"/>
    <col min="57" max="57" width="9.140625" style="38" hidden="1"/>
    <col min="58" max="60" width="9.140625" style="654" hidden="1"/>
    <col min="61" max="62" width="9.140625" style="446" hidden="1"/>
  </cols>
  <sheetData>
    <row r="1" spans="1:62" ht="11.25" hidden="1" customHeight="1">
      <c r="E1" s="38"/>
      <c r="F1" s="38" t="s">
        <v>309</v>
      </c>
      <c r="G1" s="38" t="s">
        <v>320</v>
      </c>
      <c r="I1" s="38" t="s">
        <v>346</v>
      </c>
      <c r="T1" s="351" t="s">
        <v>92</v>
      </c>
      <c r="U1" s="351" t="s">
        <v>97</v>
      </c>
      <c r="V1" s="351" t="s">
        <v>93</v>
      </c>
      <c r="W1" s="351" t="s">
        <v>94</v>
      </c>
      <c r="X1" s="351" t="s">
        <v>95</v>
      </c>
      <c r="Y1" s="353" t="s">
        <v>311</v>
      </c>
      <c r="Z1" s="351" t="s">
        <v>99</v>
      </c>
      <c r="AA1" s="352" t="s">
        <v>96</v>
      </c>
      <c r="AB1" s="4"/>
      <c r="AC1" s="352" t="s">
        <v>98</v>
      </c>
      <c r="BF1" s="654" t="s">
        <v>312</v>
      </c>
      <c r="BG1" s="654" t="s">
        <v>313</v>
      </c>
      <c r="BH1" s="654" t="s">
        <v>314</v>
      </c>
      <c r="BI1" s="446" t="s">
        <v>317</v>
      </c>
      <c r="BJ1" s="446" t="s">
        <v>318</v>
      </c>
    </row>
    <row r="2" spans="1:62" s="43" customFormat="1" ht="11.25" hidden="1" customHeight="1">
      <c r="B2" s="341" t="s">
        <v>18</v>
      </c>
      <c r="AI2" s="341" t="b">
        <f t="shared" ref="AI2:BB2" si="0">AI6&lt;=last_year_vis</f>
        <v>1</v>
      </c>
      <c r="AJ2" s="341" t="b">
        <f t="shared" si="0"/>
        <v>1</v>
      </c>
      <c r="AK2" s="341" t="b">
        <f t="shared" si="0"/>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1</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F2" s="663"/>
      <c r="BG2" s="663"/>
      <c r="BH2" s="663"/>
      <c r="BI2" s="668"/>
      <c r="BJ2" s="668"/>
    </row>
    <row r="3" spans="1:62" ht="11.25" hidden="1" customHeight="1">
      <c r="E3" s="38"/>
    </row>
    <row r="4" spans="1:62" ht="11.25" hidden="1" customHeight="1">
      <c r="E4" s="38"/>
    </row>
    <row r="5" spans="1:62" s="446" customFormat="1" ht="11.25" hidden="1" customHeight="1">
      <c r="A5" s="38"/>
      <c r="B5" s="43"/>
      <c r="C5" s="38"/>
      <c r="D5" s="38"/>
      <c r="E5" s="446" t="s">
        <v>19</v>
      </c>
      <c r="AA5" s="446">
        <v>3</v>
      </c>
      <c r="AB5" s="446">
        <v>6</v>
      </c>
      <c r="AC5" s="446">
        <v>35</v>
      </c>
      <c r="AD5" s="446">
        <v>12</v>
      </c>
      <c r="AE5" s="446">
        <v>12.57</v>
      </c>
      <c r="AF5" s="446">
        <v>12.57</v>
      </c>
      <c r="AG5" s="446">
        <v>12.57</v>
      </c>
      <c r="AH5" s="446">
        <v>12.57</v>
      </c>
      <c r="AI5" s="446">
        <v>12.57</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12.57</v>
      </c>
      <c r="AZ5" s="446">
        <v>12.57</v>
      </c>
      <c r="BA5" s="446">
        <v>12.57</v>
      </c>
      <c r="BB5" s="446">
        <v>12.57</v>
      </c>
      <c r="BC5" s="446">
        <v>20</v>
      </c>
      <c r="BD5" s="446">
        <v>3</v>
      </c>
      <c r="BF5" s="654"/>
      <c r="BG5" s="654"/>
      <c r="BH5" s="654"/>
    </row>
    <row r="6" spans="1:62" ht="11.25" hidden="1" customHeight="1">
      <c r="A6" s="38" t="s">
        <v>349</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38" t="s">
        <v>350</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row r="9" spans="1:62" s="654" customFormat="1" ht="11.25" hidden="1" customHeight="1">
      <c r="A9" s="654" t="s">
        <v>354</v>
      </c>
      <c r="B9" s="663"/>
      <c r="AE9" s="654" cm="1">
        <f t="array" ref="AE9">AE6</f>
        <v>2024</v>
      </c>
      <c r="AF9" s="654" cm="1">
        <f t="array" ref="AF9">AF6</f>
        <v>2024</v>
      </c>
      <c r="AG9" s="654" cm="1">
        <f t="array" ref="AG9">AG6</f>
        <v>2024</v>
      </c>
      <c r="AH9" s="654" cm="1">
        <f t="array" ref="AH9">AH6</f>
        <v>2025</v>
      </c>
      <c r="AI9" s="654" cm="1">
        <f t="array" ref="AI9">AI6</f>
        <v>2026</v>
      </c>
      <c r="AJ9" s="654" cm="1">
        <f t="array" ref="AJ9">AJ6</f>
        <v>2027</v>
      </c>
      <c r="AK9" s="654" cm="1">
        <f t="array" ref="AK9">AK6</f>
        <v>2028</v>
      </c>
      <c r="AL9" s="654" cm="1">
        <f t="array" ref="AL9">AL6</f>
        <v>2029</v>
      </c>
      <c r="AM9" s="654" cm="1">
        <f t="array" ref="AM9">AM6</f>
        <v>2030</v>
      </c>
      <c r="AN9" s="654" cm="1">
        <f t="array" ref="AN9">AN6</f>
        <v>2031</v>
      </c>
      <c r="AO9" s="654" cm="1">
        <f t="array" ref="AO9">AO6</f>
        <v>2032</v>
      </c>
      <c r="AP9" s="654" cm="1">
        <f t="array" ref="AP9">AP6</f>
        <v>2033</v>
      </c>
      <c r="AQ9" s="654" cm="1">
        <f t="array" ref="AQ9">AQ6</f>
        <v>2034</v>
      </c>
      <c r="AR9" s="654" cm="1">
        <f t="array" ref="AR9">AR6</f>
        <v>2035</v>
      </c>
      <c r="AS9" s="654" cm="1">
        <f t="array" ref="AS9">AS6</f>
        <v>2026</v>
      </c>
      <c r="AT9" s="654" cm="1">
        <f t="array" ref="AT9">AT6</f>
        <v>2027</v>
      </c>
      <c r="AU9" s="654" cm="1">
        <f t="array" ref="AU9">AU6</f>
        <v>2028</v>
      </c>
      <c r="AV9" s="654" cm="1">
        <f t="array" ref="AV9">AV6</f>
        <v>2029</v>
      </c>
      <c r="AW9" s="654" cm="1">
        <f t="array" ref="AW9">AW6</f>
        <v>2030</v>
      </c>
      <c r="AX9" s="654" cm="1">
        <f t="array" ref="AX9">AX6</f>
        <v>2031</v>
      </c>
      <c r="AY9" s="654" cm="1">
        <f t="array" ref="AY9">AY6</f>
        <v>2032</v>
      </c>
      <c r="AZ9" s="654" cm="1">
        <f t="array" ref="AZ9">AZ6</f>
        <v>2033</v>
      </c>
      <c r="BA9" s="654" cm="1">
        <f t="array" ref="BA9">BA6</f>
        <v>2034</v>
      </c>
      <c r="BB9" s="654" cm="1">
        <f t="array" ref="BB9">BB6</f>
        <v>2035</v>
      </c>
      <c r="BI9" s="446"/>
      <c r="BJ9" s="446"/>
    </row>
    <row r="10" spans="1:62" s="654" customFormat="1" ht="11.25" hidden="1" customHeight="1">
      <c r="A10" s="654" t="s">
        <v>355</v>
      </c>
      <c r="B10" s="663"/>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H10" s="654" t="str" cm="1">
        <f t="array" ref="AH10">AH25</f>
        <v>Принято органом регулирования</v>
      </c>
      <c r="AI10" s="654" t="str" cm="1">
        <f t="array" ref="AI10">AI25</f>
        <v>Предложение организации</v>
      </c>
      <c r="AJ10" s="654" t="str" cm="1">
        <f t="array" ref="AJ10">AJ25</f>
        <v>Предложение организации</v>
      </c>
      <c r="AK10" s="654" t="str" cm="1">
        <f t="array" ref="AK10">AK25</f>
        <v>Предложение организации</v>
      </c>
      <c r="AL10" s="654" t="str" cm="1">
        <f t="array" ref="AL10">AL25</f>
        <v>Предложение организации</v>
      </c>
      <c r="AM10" s="654" t="str" cm="1">
        <f t="array" ref="AM10">AM25</f>
        <v>Предложение организации</v>
      </c>
      <c r="AN10" s="654" t="str" cm="1">
        <f t="array" ref="AN10">AN25</f>
        <v>Предложение организации</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654" t="str" cm="1">
        <f t="array" ref="AR10">AR25</f>
        <v>Предложение организации</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654" t="str" cm="1">
        <f t="array" ref="BB10">BB25</f>
        <v>Принято органом регулирования</v>
      </c>
      <c r="BI10" s="446"/>
      <c r="BJ10" s="446"/>
    </row>
    <row r="11" spans="1:62" s="654" customFormat="1" ht="11.25" hidden="1" customHeight="1">
      <c r="A11" s="654" t="s">
        <v>356</v>
      </c>
      <c r="B11" s="663"/>
      <c r="BC11" s="654" t="str" cm="1">
        <f t="array" ref="BC11">BC24</f>
        <v>Ссылка на правовую норму (основание для принятия показателя в расчет тарифа)</v>
      </c>
      <c r="BI11" s="446"/>
      <c r="BJ11" s="446"/>
    </row>
    <row r="12" spans="1:62" s="654" customFormat="1" ht="11.25" hidden="1" customHeight="1">
      <c r="A12" s="654" t="s">
        <v>327</v>
      </c>
      <c r="B12" s="663"/>
      <c r="AC12" s="654" t="s">
        <v>314</v>
      </c>
      <c r="BI12" s="446"/>
      <c r="BJ12" s="446"/>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38" t="s">
        <v>357</v>
      </c>
      <c r="AC18" s="38" t="s">
        <v>358</v>
      </c>
    </row>
    <row r="19" spans="1:62" ht="11.25" hidden="1" customHeight="1"/>
    <row r="20" spans="1:62" ht="11.25" hidden="1" customHeight="1"/>
    <row r="21" spans="1:62" ht="14.65" customHeight="1">
      <c r="E21" s="446">
        <v>15</v>
      </c>
      <c r="AA21" s="324"/>
      <c r="AC21" s="266" t="str" cm="1">
        <f t="array" ref="AC21">tpl_title</f>
        <v>Кемеровская область / 2026 / МУП "Водоканал" (ИНН:4202043124, КПП:420201001) / ДПР: 2026-2028</v>
      </c>
    </row>
    <row r="22" spans="1:62" ht="19.5" customHeight="1">
      <c r="E22" s="446">
        <v>20</v>
      </c>
      <c r="AB22" s="225" t="s">
        <v>67</v>
      </c>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6"/>
    </row>
    <row r="23" spans="1:62" ht="10.9" customHeight="1">
      <c r="E23" s="446">
        <v>11.25</v>
      </c>
    </row>
    <row r="24" spans="1:62" s="38" customFormat="1" ht="14.65" customHeight="1">
      <c r="B24" s="43"/>
      <c r="E24" s="446">
        <v>15</v>
      </c>
      <c r="AB24" s="1028" t="s">
        <v>21</v>
      </c>
      <c r="AC24" s="1028" t="s">
        <v>358</v>
      </c>
      <c r="AD24" s="1028" t="s">
        <v>1033</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91" t="s">
        <v>580</v>
      </c>
      <c r="BF24" s="654"/>
      <c r="BG24" s="654"/>
      <c r="BH24" s="654"/>
      <c r="BI24" s="446"/>
      <c r="BJ24" s="446"/>
    </row>
    <row r="25" spans="1:62" s="38" customFormat="1" ht="48.75" customHeight="1">
      <c r="B25" s="43"/>
      <c r="E25" s="446">
        <v>50</v>
      </c>
      <c r="AB25" s="1028"/>
      <c r="AC25" s="1028"/>
      <c r="AD25" s="1028"/>
      <c r="AE25" s="11" t="s">
        <v>351</v>
      </c>
      <c r="AF25" s="724" t="s">
        <v>495</v>
      </c>
      <c r="AG25" s="11" t="s">
        <v>496</v>
      </c>
      <c r="AH25" s="11" t="s">
        <v>351</v>
      </c>
      <c r="AI25" s="728" t="s">
        <v>352</v>
      </c>
      <c r="AJ25" s="728" t="s">
        <v>352</v>
      </c>
      <c r="AK25" s="728" t="s">
        <v>352</v>
      </c>
      <c r="AL25" s="728" t="s">
        <v>352</v>
      </c>
      <c r="AM25" s="728" t="s">
        <v>352</v>
      </c>
      <c r="AN25" s="728" t="s">
        <v>352</v>
      </c>
      <c r="AO25" s="728" t="s">
        <v>352</v>
      </c>
      <c r="AP25" s="728" t="s">
        <v>352</v>
      </c>
      <c r="AQ25" s="728" t="s">
        <v>352</v>
      </c>
      <c r="AR25" s="728" t="s">
        <v>352</v>
      </c>
      <c r="AS25" s="261" t="s">
        <v>351</v>
      </c>
      <c r="AT25" s="261" t="s">
        <v>351</v>
      </c>
      <c r="AU25" s="261" t="s">
        <v>351</v>
      </c>
      <c r="AV25" s="261" t="s">
        <v>351</v>
      </c>
      <c r="AW25" s="261" t="s">
        <v>351</v>
      </c>
      <c r="AX25" s="261" t="s">
        <v>351</v>
      </c>
      <c r="AY25" s="261" t="s">
        <v>351</v>
      </c>
      <c r="AZ25" s="261" t="s">
        <v>351</v>
      </c>
      <c r="BA25" s="261" t="s">
        <v>351</v>
      </c>
      <c r="BB25" s="261" t="s">
        <v>351</v>
      </c>
      <c r="BC25" s="1091"/>
      <c r="BF25" s="654"/>
      <c r="BG25" s="654"/>
      <c r="BH25" s="654"/>
      <c r="BI25" s="446"/>
      <c r="BJ25" s="446"/>
    </row>
    <row r="26" spans="1:62" ht="11.25" customHeight="1">
      <c r="A26"/>
      <c r="B26" s="326"/>
      <c r="C26"/>
      <c r="D26"/>
      <c r="E26" s="452" t="s">
        <v>362</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s="38" customFormat="1" ht="14.65" hidden="1" customHeight="1">
      <c r="B27" s="43"/>
      <c r="E27" s="446">
        <v>15</v>
      </c>
      <c r="F27" s="17" cm="1">
        <f t="array" ref="F27">X27</f>
        <v>0</v>
      </c>
      <c r="T27" s="351" t="b">
        <f>X27&gt;0</f>
        <v>0</v>
      </c>
      <c r="V27" s="38" t="s">
        <v>266</v>
      </c>
      <c r="X27" s="1024">
        <v>0</v>
      </c>
      <c r="Z27" s="1008"/>
      <c r="AB27" s="135" t="str" cm="1">
        <f t="array" ref="AB27">INDEX('Общие сведения'!$AG$179:$AG$208,MATCH($X27,'Общие сведения'!$Z$179:$Z$208,0))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F27" s="654"/>
      <c r="BG27" s="654"/>
      <c r="BH27" s="654"/>
      <c r="BI27" s="446"/>
      <c r="BJ27" s="446"/>
    </row>
    <row r="28" spans="1:62" s="38" customFormat="1" ht="21.95" hidden="1" customHeight="1">
      <c r="B28" s="43"/>
      <c r="E28" s="446">
        <v>22.5</v>
      </c>
      <c r="F28" s="3" cm="1">
        <f t="array" aca="1" ref="F28" ca="1">OFFSET(E28,-1,1)</f>
        <v>0</v>
      </c>
      <c r="G28" s="38" t="s">
        <v>1270</v>
      </c>
      <c r="K28" s="40" t="str">
        <f ca="1">F28&amp;"komm"</f>
        <v>0komm</v>
      </c>
      <c r="L28" s="607" cm="1">
        <f t="array" ref="L28">BC28</f>
        <v>0</v>
      </c>
      <c r="T28" s="351" t="b" cm="1">
        <f t="array" ref="T28">T27</f>
        <v>0</v>
      </c>
      <c r="X28" s="1024"/>
      <c r="Z28" s="1008"/>
      <c r="AB28" s="147">
        <v>0</v>
      </c>
      <c r="AC28" s="132" t="s">
        <v>1293</v>
      </c>
      <c r="AD28" s="124" t="s">
        <v>859</v>
      </c>
      <c r="AE28" s="140">
        <f t="shared" ref="AE28:BB28" si="1">SUM(AE29:AE38)</f>
        <v>0</v>
      </c>
      <c r="AF28" s="140">
        <f t="shared" si="1"/>
        <v>0</v>
      </c>
      <c r="AG28" s="140">
        <f t="shared" si="1"/>
        <v>0</v>
      </c>
      <c r="AH28" s="140">
        <f t="shared" si="1"/>
        <v>0</v>
      </c>
      <c r="AI28" s="140">
        <f t="shared" si="1"/>
        <v>0</v>
      </c>
      <c r="AJ28" s="140">
        <f t="shared" si="1"/>
        <v>0</v>
      </c>
      <c r="AK28" s="140">
        <f t="shared" si="1"/>
        <v>0</v>
      </c>
      <c r="AL28" s="140">
        <f t="shared" si="1"/>
        <v>0</v>
      </c>
      <c r="AM28" s="140">
        <f t="shared" si="1"/>
        <v>0</v>
      </c>
      <c r="AN28" s="140">
        <f t="shared" si="1"/>
        <v>0</v>
      </c>
      <c r="AO28" s="140">
        <f t="shared" si="1"/>
        <v>0</v>
      </c>
      <c r="AP28" s="140">
        <f t="shared" si="1"/>
        <v>0</v>
      </c>
      <c r="AQ28" s="140">
        <f t="shared" si="1"/>
        <v>0</v>
      </c>
      <c r="AR28" s="140">
        <f t="shared" si="1"/>
        <v>0</v>
      </c>
      <c r="AS28" s="140">
        <f t="shared" si="1"/>
        <v>0</v>
      </c>
      <c r="AT28" s="140">
        <f t="shared" si="1"/>
        <v>0</v>
      </c>
      <c r="AU28" s="140">
        <f t="shared" si="1"/>
        <v>0</v>
      </c>
      <c r="AV28" s="140">
        <f t="shared" si="1"/>
        <v>0</v>
      </c>
      <c r="AW28" s="140">
        <f t="shared" si="1"/>
        <v>0</v>
      </c>
      <c r="AX28" s="140">
        <f t="shared" si="1"/>
        <v>0</v>
      </c>
      <c r="AY28" s="140">
        <f t="shared" si="1"/>
        <v>0</v>
      </c>
      <c r="AZ28" s="140">
        <f t="shared" si="1"/>
        <v>0</v>
      </c>
      <c r="BA28" s="140">
        <f t="shared" si="1"/>
        <v>0</v>
      </c>
      <c r="BB28" s="140">
        <f t="shared" si="1"/>
        <v>0</v>
      </c>
      <c r="BC28" s="823"/>
      <c r="BF28" s="654" t="s">
        <v>1294</v>
      </c>
      <c r="BG28" s="654"/>
      <c r="BH28" s="654"/>
      <c r="BI28" s="446"/>
      <c r="BJ28" s="446"/>
    </row>
    <row r="29" spans="1:62" s="38" customFormat="1" ht="14.65" hidden="1" customHeight="1">
      <c r="B29" s="43"/>
      <c r="E29" s="446">
        <v>15</v>
      </c>
      <c r="F29" s="3" cm="1">
        <f t="array" aca="1" ref="F29" ca="1">OFFSET(E29,-1,1)</f>
        <v>0</v>
      </c>
      <c r="G29" s="38" t="s">
        <v>321</v>
      </c>
      <c r="K29" s="40" t="str">
        <f ca="1">F29&amp;"1komm"</f>
        <v>01komm</v>
      </c>
      <c r="L29" s="607" cm="1">
        <f t="array" ref="L29">BC29</f>
        <v>0</v>
      </c>
      <c r="T29" s="351" t="b" cm="1">
        <f t="array" ref="T29">T28</f>
        <v>0</v>
      </c>
      <c r="X29" s="1024"/>
      <c r="Z29" s="1008"/>
      <c r="AB29" s="133" t="s">
        <v>277</v>
      </c>
      <c r="AC29" s="345" t="s">
        <v>1295</v>
      </c>
      <c r="AD29" s="7" t="s">
        <v>859</v>
      </c>
      <c r="AE29" s="780"/>
      <c r="AF29" s="888"/>
      <c r="AG29" s="888"/>
      <c r="AH29" s="888"/>
      <c r="AI29" s="142"/>
      <c r="AJ29" s="142"/>
      <c r="AK29" s="142"/>
      <c r="AL29" s="888"/>
      <c r="AM29" s="888"/>
      <c r="AN29" s="888"/>
      <c r="AO29" s="888"/>
      <c r="AP29" s="888"/>
      <c r="AQ29" s="888"/>
      <c r="AR29" s="888"/>
      <c r="AS29" s="142"/>
      <c r="AT29" s="142"/>
      <c r="AU29" s="142"/>
      <c r="AV29" s="888"/>
      <c r="AW29" s="888"/>
      <c r="AX29" s="888"/>
      <c r="AY29" s="888"/>
      <c r="AZ29" s="888"/>
      <c r="BA29" s="888"/>
      <c r="BB29" s="888"/>
      <c r="BC29" s="823"/>
      <c r="BF29" s="654" t="s">
        <v>1296</v>
      </c>
      <c r="BG29" s="654"/>
      <c r="BH29" s="654"/>
      <c r="BI29" s="446"/>
      <c r="BJ29" s="446"/>
    </row>
    <row r="30" spans="1:62" s="38" customFormat="1" ht="21.95" hidden="1" customHeight="1">
      <c r="B30" s="44"/>
      <c r="C30" s="22"/>
      <c r="D30" s="22"/>
      <c r="E30" s="447">
        <v>22.5</v>
      </c>
      <c r="F30" s="3" cm="1">
        <f t="array" aca="1" ref="F30" ca="1">OFFSET(E30,-1,1)</f>
        <v>0</v>
      </c>
      <c r="G30" s="22" t="s">
        <v>322</v>
      </c>
      <c r="H30" s="22"/>
      <c r="I30" s="22"/>
      <c r="J30" s="22"/>
      <c r="K30" s="40" t="str">
        <f ca="1">F30&amp;"2komm"</f>
        <v>02komm</v>
      </c>
      <c r="L30" s="607" cm="1">
        <f t="array" ref="L30">BC30</f>
        <v>0</v>
      </c>
      <c r="M30" s="22"/>
      <c r="N30" s="22"/>
      <c r="O30" s="22"/>
      <c r="P30" s="22"/>
      <c r="Q30" s="22"/>
      <c r="R30" s="22"/>
      <c r="S30" s="22"/>
      <c r="T30" s="351" t="b" cm="1">
        <f t="array" ref="T30">T29</f>
        <v>0</v>
      </c>
      <c r="U30" s="22"/>
      <c r="V30" s="22"/>
      <c r="X30" s="1024"/>
      <c r="Z30" s="1008"/>
      <c r="AB30" s="133" t="s">
        <v>435</v>
      </c>
      <c r="AC30" s="345" t="s">
        <v>1297</v>
      </c>
      <c r="AD30" s="7" t="s">
        <v>859</v>
      </c>
      <c r="AE30" s="780"/>
      <c r="AF30" s="888"/>
      <c r="AG30" s="888"/>
      <c r="AH30" s="888"/>
      <c r="AI30" s="142"/>
      <c r="AJ30" s="142"/>
      <c r="AK30" s="142"/>
      <c r="AL30" s="888"/>
      <c r="AM30" s="888"/>
      <c r="AN30" s="888"/>
      <c r="AO30" s="888"/>
      <c r="AP30" s="888"/>
      <c r="AQ30" s="888"/>
      <c r="AR30" s="888"/>
      <c r="AS30" s="142"/>
      <c r="AT30" s="142"/>
      <c r="AU30" s="142"/>
      <c r="AV30" s="888"/>
      <c r="AW30" s="888"/>
      <c r="AX30" s="888"/>
      <c r="AY30" s="888"/>
      <c r="AZ30" s="888"/>
      <c r="BA30" s="888"/>
      <c r="BB30" s="888"/>
      <c r="BC30" s="823"/>
      <c r="BF30" s="654" t="s">
        <v>1298</v>
      </c>
      <c r="BG30" s="654"/>
      <c r="BH30" s="654"/>
      <c r="BI30" s="446"/>
      <c r="BJ30" s="446"/>
    </row>
    <row r="31" spans="1:62" s="38" customFormat="1" ht="21.95" hidden="1" customHeight="1">
      <c r="B31" s="44"/>
      <c r="C31" s="22"/>
      <c r="D31" s="22"/>
      <c r="E31" s="447">
        <v>22.5</v>
      </c>
      <c r="F31" s="3" cm="1">
        <f t="array" aca="1" ref="F31" ca="1">OFFSET(E31,-1,1)</f>
        <v>0</v>
      </c>
      <c r="G31" s="22" t="s">
        <v>323</v>
      </c>
      <c r="H31" s="22" t="s">
        <v>1299</v>
      </c>
      <c r="I31" s="22"/>
      <c r="J31" s="22"/>
      <c r="K31" s="40" t="str">
        <f ca="1">F31&amp;"3komm"</f>
        <v>03komm</v>
      </c>
      <c r="L31" s="607" cm="1">
        <f t="array" ref="L31">BC31</f>
        <v>0</v>
      </c>
      <c r="M31" s="22"/>
      <c r="N31" s="22"/>
      <c r="O31" s="22"/>
      <c r="P31" s="22"/>
      <c r="Q31" s="22"/>
      <c r="R31" s="22"/>
      <c r="S31" s="22"/>
      <c r="T31" s="351" t="b" cm="1">
        <f t="array" ref="T31">T30</f>
        <v>0</v>
      </c>
      <c r="U31" s="22"/>
      <c r="V31" s="22"/>
      <c r="X31" s="1024"/>
      <c r="Z31" s="1008"/>
      <c r="AB31" s="133" t="s">
        <v>319</v>
      </c>
      <c r="AC31" s="345" t="s">
        <v>1300</v>
      </c>
      <c r="AD31" s="7" t="s">
        <v>859</v>
      </c>
      <c r="AE31" s="780"/>
      <c r="AF31" s="888"/>
      <c r="AG31" s="888"/>
      <c r="AH31" s="888"/>
      <c r="AI31" s="142"/>
      <c r="AJ31" s="142"/>
      <c r="AK31" s="142"/>
      <c r="AL31" s="888"/>
      <c r="AM31" s="888"/>
      <c r="AN31" s="888"/>
      <c r="AO31" s="888"/>
      <c r="AP31" s="888"/>
      <c r="AQ31" s="888"/>
      <c r="AR31" s="888"/>
      <c r="AS31" s="142"/>
      <c r="AT31" s="142"/>
      <c r="AU31" s="142"/>
      <c r="AV31" s="888"/>
      <c r="AW31" s="888"/>
      <c r="AX31" s="888"/>
      <c r="AY31" s="888"/>
      <c r="AZ31" s="888"/>
      <c r="BA31" s="888"/>
      <c r="BB31" s="888"/>
      <c r="BC31" s="823"/>
      <c r="BF31" s="654" t="s">
        <v>1301</v>
      </c>
      <c r="BG31" s="654"/>
      <c r="BH31" s="654"/>
      <c r="BI31" s="446"/>
      <c r="BJ31" s="446"/>
    </row>
    <row r="32" spans="1:62" ht="14.65" hidden="1" customHeight="1">
      <c r="B32" s="44"/>
      <c r="C32" s="22"/>
      <c r="D32" s="22"/>
      <c r="E32" s="447">
        <v>15</v>
      </c>
      <c r="F32" s="3" cm="1">
        <f t="array" aca="1" ref="F32" ca="1">OFFSET(E32,-1,1)</f>
        <v>0</v>
      </c>
      <c r="G32" s="22" t="s">
        <v>325</v>
      </c>
      <c r="H32" s="22"/>
      <c r="I32" s="22"/>
      <c r="J32" s="22"/>
      <c r="K32" s="40" t="str">
        <f ca="1">F32&amp;"4komm"</f>
        <v>04komm</v>
      </c>
      <c r="L32" s="607" cm="1">
        <f t="array" ref="L32">BC32</f>
        <v>0</v>
      </c>
      <c r="M32" s="22"/>
      <c r="N32" s="22"/>
      <c r="O32" s="22"/>
      <c r="P32" s="22"/>
      <c r="Q32" s="22"/>
      <c r="R32" s="22"/>
      <c r="S32" s="22"/>
      <c r="T32" s="351" t="b" cm="1">
        <f t="array" ref="T32">T31</f>
        <v>0</v>
      </c>
      <c r="U32" s="22"/>
      <c r="V32" s="22"/>
      <c r="X32" s="1024"/>
      <c r="Z32" s="1008"/>
      <c r="AB32" s="588">
        <v>4</v>
      </c>
      <c r="AC32" s="345" t="s">
        <v>1302</v>
      </c>
      <c r="AD32" s="7" t="s">
        <v>859</v>
      </c>
      <c r="AE32" s="889"/>
      <c r="AF32" s="889"/>
      <c r="AG32" s="889"/>
      <c r="AH32" s="889"/>
      <c r="AI32" s="143"/>
      <c r="AJ32" s="143"/>
      <c r="AK32" s="143"/>
      <c r="AL32" s="889"/>
      <c r="AM32" s="889"/>
      <c r="AN32" s="889"/>
      <c r="AO32" s="889"/>
      <c r="AP32" s="889"/>
      <c r="AQ32" s="889"/>
      <c r="AR32" s="889"/>
      <c r="AS32" s="143"/>
      <c r="AT32" s="143"/>
      <c r="AU32" s="143"/>
      <c r="AV32" s="889"/>
      <c r="AW32" s="889"/>
      <c r="AX32" s="889"/>
      <c r="AY32" s="889"/>
      <c r="AZ32" s="889"/>
      <c r="BA32" s="889"/>
      <c r="BB32" s="889"/>
      <c r="BC32" s="823"/>
      <c r="BF32" s="654" t="s">
        <v>1303</v>
      </c>
    </row>
    <row r="33" spans="1:62" s="38" customFormat="1" ht="14.65" hidden="1" customHeight="1">
      <c r="B33" s="44"/>
      <c r="C33" s="22"/>
      <c r="D33" s="22"/>
      <c r="E33" s="447">
        <v>15</v>
      </c>
      <c r="F33" s="3" cm="1">
        <f t="array" aca="1" ref="F33" ca="1">OFFSET(E33,-1,1)</f>
        <v>0</v>
      </c>
      <c r="G33" s="22" t="s">
        <v>324</v>
      </c>
      <c r="H33" s="22"/>
      <c r="I33" s="22"/>
      <c r="J33" s="22"/>
      <c r="K33" s="40" t="str">
        <f ca="1">F33&amp;"5komm"</f>
        <v>05komm</v>
      </c>
      <c r="L33" s="607" cm="1">
        <f t="array" ref="L33">BC33</f>
        <v>0</v>
      </c>
      <c r="M33" s="22"/>
      <c r="N33" s="22"/>
      <c r="O33" s="22"/>
      <c r="P33" s="22"/>
      <c r="Q33" s="22"/>
      <c r="R33" s="22"/>
      <c r="S33" s="22"/>
      <c r="T33" s="351" t="b" cm="1">
        <f t="array" ref="T33">T32</f>
        <v>0</v>
      </c>
      <c r="U33" s="22"/>
      <c r="V33" s="22"/>
      <c r="X33" s="1024"/>
      <c r="Z33" s="1008"/>
      <c r="AB33" s="133" t="s">
        <v>440</v>
      </c>
      <c r="AC33" s="345" t="s">
        <v>1304</v>
      </c>
      <c r="AD33" s="7" t="s">
        <v>859</v>
      </c>
      <c r="AE33" s="780"/>
      <c r="AF33" s="780"/>
      <c r="AG33" s="780"/>
      <c r="AH33" s="780"/>
      <c r="AI33" s="141"/>
      <c r="AJ33" s="141"/>
      <c r="AK33" s="141"/>
      <c r="AL33" s="780"/>
      <c r="AM33" s="780"/>
      <c r="AN33" s="780"/>
      <c r="AO33" s="780"/>
      <c r="AP33" s="780"/>
      <c r="AQ33" s="780"/>
      <c r="AR33" s="780"/>
      <c r="AS33" s="141"/>
      <c r="AT33" s="141"/>
      <c r="AU33" s="141"/>
      <c r="AV33" s="780"/>
      <c r="AW33" s="780"/>
      <c r="AX33" s="780"/>
      <c r="AY33" s="780"/>
      <c r="AZ33" s="780"/>
      <c r="BA33" s="780"/>
      <c r="BB33" s="780"/>
      <c r="BC33" s="823"/>
      <c r="BF33" s="654" t="s">
        <v>1305</v>
      </c>
      <c r="BG33" s="654"/>
      <c r="BH33" s="654"/>
      <c r="BI33" s="446"/>
      <c r="BJ33" s="446"/>
    </row>
    <row r="34" spans="1:62" s="38" customFormat="1" ht="14.65" hidden="1" customHeight="1">
      <c r="B34" s="44"/>
      <c r="C34" s="22"/>
      <c r="D34" s="22"/>
      <c r="E34" s="447">
        <v>15</v>
      </c>
      <c r="F34" s="3" cm="1">
        <f t="array" aca="1" ref="F34" ca="1">OFFSET(E34,-1,1)</f>
        <v>0</v>
      </c>
      <c r="G34" s="22" t="s">
        <v>557</v>
      </c>
      <c r="H34" s="22"/>
      <c r="I34" s="22"/>
      <c r="J34" s="22"/>
      <c r="K34" s="40" t="str">
        <f ca="1">F34&amp;"6komm"</f>
        <v>06komm</v>
      </c>
      <c r="L34" s="607" cm="1">
        <f t="array" ref="L34">BC34</f>
        <v>0</v>
      </c>
      <c r="M34" s="22"/>
      <c r="N34" s="22"/>
      <c r="O34" s="22"/>
      <c r="P34" s="22"/>
      <c r="Q34" s="22"/>
      <c r="R34" s="22"/>
      <c r="S34" s="22"/>
      <c r="T34" s="351" t="b" cm="1">
        <f t="array" ref="T34">T33</f>
        <v>0</v>
      </c>
      <c r="U34" s="22"/>
      <c r="V34" s="22"/>
      <c r="X34" s="1024"/>
      <c r="Z34" s="1008"/>
      <c r="AB34" s="133" t="s">
        <v>442</v>
      </c>
      <c r="AC34" s="345" t="s">
        <v>1306</v>
      </c>
      <c r="AD34" s="7" t="s">
        <v>859</v>
      </c>
      <c r="AE34" s="780"/>
      <c r="AF34" s="780"/>
      <c r="AG34" s="780"/>
      <c r="AH34" s="780"/>
      <c r="AI34" s="141"/>
      <c r="AJ34" s="141"/>
      <c r="AK34" s="141"/>
      <c r="AL34" s="780"/>
      <c r="AM34" s="780"/>
      <c r="AN34" s="780"/>
      <c r="AO34" s="780"/>
      <c r="AP34" s="780"/>
      <c r="AQ34" s="780"/>
      <c r="AR34" s="780"/>
      <c r="AS34" s="141"/>
      <c r="AT34" s="141"/>
      <c r="AU34" s="141"/>
      <c r="AV34" s="780"/>
      <c r="AW34" s="780"/>
      <c r="AX34" s="780"/>
      <c r="AY34" s="780"/>
      <c r="AZ34" s="780"/>
      <c r="BA34" s="780"/>
      <c r="BB34" s="780"/>
      <c r="BC34" s="823"/>
      <c r="BF34" s="654" t="s">
        <v>1307</v>
      </c>
      <c r="BG34" s="654"/>
      <c r="BH34" s="654"/>
      <c r="BI34" s="446"/>
      <c r="BJ34" s="446"/>
    </row>
    <row r="35" spans="1:62" s="38" customFormat="1" ht="14.65" hidden="1" customHeight="1">
      <c r="B35" s="44"/>
      <c r="C35" s="22"/>
      <c r="D35" s="22"/>
      <c r="E35" s="447">
        <v>15</v>
      </c>
      <c r="F35" s="3" cm="1">
        <f t="array" aca="1" ref="F35" ca="1">OFFSET(E35,-1,1)</f>
        <v>0</v>
      </c>
      <c r="G35" s="22" t="s">
        <v>560</v>
      </c>
      <c r="H35" s="22" t="s">
        <v>1308</v>
      </c>
      <c r="I35" s="22"/>
      <c r="J35" s="22"/>
      <c r="K35" s="40" t="str">
        <f ca="1">F35&amp;"7komm"</f>
        <v>07komm</v>
      </c>
      <c r="L35" s="607" cm="1">
        <f t="array" ref="L35">BC35</f>
        <v>0</v>
      </c>
      <c r="M35" s="22"/>
      <c r="N35" s="22"/>
      <c r="O35" s="22"/>
      <c r="P35" s="22"/>
      <c r="Q35" s="22"/>
      <c r="R35" s="22"/>
      <c r="S35" s="22"/>
      <c r="T35" s="351" t="b" cm="1">
        <f t="array" ref="T35">T34</f>
        <v>0</v>
      </c>
      <c r="U35" s="22"/>
      <c r="V35" s="22"/>
      <c r="X35" s="1024"/>
      <c r="Z35" s="1008"/>
      <c r="AB35" s="133" t="s">
        <v>444</v>
      </c>
      <c r="AC35" s="345" t="s">
        <v>1309</v>
      </c>
      <c r="AD35" s="7" t="s">
        <v>859</v>
      </c>
      <c r="AE35" s="780"/>
      <c r="AF35" s="780"/>
      <c r="AG35" s="780"/>
      <c r="AH35" s="780"/>
      <c r="AI35" s="141"/>
      <c r="AJ35" s="141"/>
      <c r="AK35" s="141"/>
      <c r="AL35" s="780"/>
      <c r="AM35" s="780"/>
      <c r="AN35" s="780"/>
      <c r="AO35" s="780"/>
      <c r="AP35" s="780"/>
      <c r="AQ35" s="780"/>
      <c r="AR35" s="780"/>
      <c r="AS35" s="141"/>
      <c r="AT35" s="141"/>
      <c r="AU35" s="141"/>
      <c r="AV35" s="780"/>
      <c r="AW35" s="780"/>
      <c r="AX35" s="780"/>
      <c r="AY35" s="780"/>
      <c r="AZ35" s="780"/>
      <c r="BA35" s="780"/>
      <c r="BB35" s="780"/>
      <c r="BC35" s="823"/>
      <c r="BF35" s="654" t="s">
        <v>1310</v>
      </c>
      <c r="BG35" s="654"/>
      <c r="BH35" s="654"/>
      <c r="BI35" s="446"/>
      <c r="BJ35" s="446"/>
    </row>
    <row r="36" spans="1:62" s="38" customFormat="1" ht="21.95" hidden="1" customHeight="1">
      <c r="B36" s="44"/>
      <c r="C36" s="22"/>
      <c r="D36" s="22"/>
      <c r="E36" s="447">
        <v>22.5</v>
      </c>
      <c r="F36" s="3" cm="1">
        <f t="array" aca="1" ref="F36" ca="1">OFFSET(E36,-1,1)</f>
        <v>0</v>
      </c>
      <c r="G36" s="22" t="s">
        <v>613</v>
      </c>
      <c r="H36" s="22"/>
      <c r="I36" s="22"/>
      <c r="J36" s="22"/>
      <c r="K36" s="40" t="str">
        <f ca="1">F36&amp;"8komm"</f>
        <v>08komm</v>
      </c>
      <c r="L36" s="607" cm="1">
        <f t="array" ref="L36">BC36</f>
        <v>0</v>
      </c>
      <c r="M36" s="22"/>
      <c r="N36" s="22"/>
      <c r="O36" s="22"/>
      <c r="P36" s="22"/>
      <c r="Q36" s="22"/>
      <c r="R36" s="22"/>
      <c r="S36" s="22"/>
      <c r="T36" s="351" t="b" cm="1">
        <f t="array" ref="T36">T35</f>
        <v>0</v>
      </c>
      <c r="U36" s="22"/>
      <c r="V36" s="22"/>
      <c r="X36" s="1024"/>
      <c r="Z36" s="1008"/>
      <c r="AB36" s="133" t="s">
        <v>446</v>
      </c>
      <c r="AC36" s="345" t="s">
        <v>1311</v>
      </c>
      <c r="AD36" s="7" t="s">
        <v>859</v>
      </c>
      <c r="AE36" s="780"/>
      <c r="AF36" s="780"/>
      <c r="AG36" s="780"/>
      <c r="AH36" s="780"/>
      <c r="AI36" s="141"/>
      <c r="AJ36" s="141"/>
      <c r="AK36" s="141"/>
      <c r="AL36" s="780"/>
      <c r="AM36" s="780"/>
      <c r="AN36" s="780"/>
      <c r="AO36" s="780"/>
      <c r="AP36" s="780"/>
      <c r="AQ36" s="780"/>
      <c r="AR36" s="780"/>
      <c r="AS36" s="141"/>
      <c r="AT36" s="141"/>
      <c r="AU36" s="141"/>
      <c r="AV36" s="780"/>
      <c r="AW36" s="780"/>
      <c r="AX36" s="780"/>
      <c r="AY36" s="780"/>
      <c r="AZ36" s="780"/>
      <c r="BA36" s="780"/>
      <c r="BB36" s="780"/>
      <c r="BC36" s="823"/>
      <c r="BF36" s="654" t="s">
        <v>1312</v>
      </c>
      <c r="BG36" s="654"/>
      <c r="BH36" s="654"/>
      <c r="BI36" s="446"/>
      <c r="BJ36" s="446"/>
    </row>
    <row r="37" spans="1:62" s="40" customFormat="1" ht="21.95" hidden="1" customHeight="1">
      <c r="B37" s="44"/>
      <c r="C37" s="22"/>
      <c r="D37" s="22"/>
      <c r="E37" s="447">
        <v>22.5</v>
      </c>
      <c r="F37" s="3" cm="1">
        <f t="array" aca="1" ref="F37" ca="1">OFFSET(E37,-1,1)</f>
        <v>0</v>
      </c>
      <c r="G37" s="22"/>
      <c r="H37" s="22"/>
      <c r="I37" s="22"/>
      <c r="J37" s="22"/>
      <c r="K37" s="40" t="str">
        <f ca="1">F37&amp;"9komm"</f>
        <v>09komm</v>
      </c>
      <c r="L37" s="607" cm="1">
        <f t="array" ref="L37">BC37</f>
        <v>0</v>
      </c>
      <c r="M37" s="22"/>
      <c r="N37" s="22"/>
      <c r="O37" s="22"/>
      <c r="P37" s="22"/>
      <c r="Q37" s="22"/>
      <c r="R37" s="22"/>
      <c r="S37" s="22"/>
      <c r="T37" s="351" t="b" cm="1">
        <f t="array" ref="T37">T36</f>
        <v>0</v>
      </c>
      <c r="U37" s="22"/>
      <c r="V37" s="22"/>
      <c r="X37" s="1024"/>
      <c r="Z37" s="1008"/>
      <c r="AB37" s="133" t="s">
        <v>448</v>
      </c>
      <c r="AC37" s="345" t="s">
        <v>1313</v>
      </c>
      <c r="AD37" s="7" t="s">
        <v>859</v>
      </c>
      <c r="AE37" s="780"/>
      <c r="AF37" s="780"/>
      <c r="AG37" s="780"/>
      <c r="AH37" s="780"/>
      <c r="AI37" s="141"/>
      <c r="AJ37" s="141"/>
      <c r="AK37" s="141"/>
      <c r="AL37" s="780"/>
      <c r="AM37" s="780"/>
      <c r="AN37" s="780"/>
      <c r="AO37" s="780"/>
      <c r="AP37" s="780"/>
      <c r="AQ37" s="780"/>
      <c r="AR37" s="780"/>
      <c r="AS37" s="141"/>
      <c r="AT37" s="141"/>
      <c r="AU37" s="141"/>
      <c r="AV37" s="780"/>
      <c r="AW37" s="780"/>
      <c r="AX37" s="780"/>
      <c r="AY37" s="780"/>
      <c r="AZ37" s="780"/>
      <c r="BA37" s="780"/>
      <c r="BB37" s="780"/>
      <c r="BC37" s="774"/>
      <c r="BF37" s="660" t="s">
        <v>1314</v>
      </c>
      <c r="BG37" s="660"/>
      <c r="BH37" s="660"/>
      <c r="BI37" s="500"/>
      <c r="BJ37" s="500"/>
    </row>
    <row r="38" spans="1:62" ht="14.65" hidden="1" customHeight="1">
      <c r="B38" s="44"/>
      <c r="C38" s="22"/>
      <c r="D38" s="22"/>
      <c r="E38" s="447">
        <v>15</v>
      </c>
      <c r="F38" s="3" cm="1">
        <f t="array" aca="1" ref="F38" ca="1">OFFSET(E38,-1,1)</f>
        <v>0</v>
      </c>
      <c r="G38" s="22" t="s">
        <v>628</v>
      </c>
      <c r="H38" s="273"/>
      <c r="I38" s="22"/>
      <c r="J38" s="22"/>
      <c r="K38" s="40" t="str">
        <f ca="1">F38&amp;"10komm"</f>
        <v>010komm</v>
      </c>
      <c r="L38" s="607" cm="1">
        <f t="array" ref="L38">BC38</f>
        <v>0</v>
      </c>
      <c r="M38" s="22"/>
      <c r="N38" s="22"/>
      <c r="O38" s="22"/>
      <c r="P38" s="22"/>
      <c r="Q38" s="22"/>
      <c r="R38" s="22"/>
      <c r="S38" s="22"/>
      <c r="T38" s="351" t="b" cm="1">
        <f t="array" ref="T38">T37</f>
        <v>0</v>
      </c>
      <c r="U38" s="22"/>
      <c r="V38" s="22"/>
      <c r="X38" s="1024"/>
      <c r="Z38" s="1008"/>
      <c r="AB38" s="588">
        <v>10</v>
      </c>
      <c r="AC38" s="345" t="s">
        <v>1315</v>
      </c>
      <c r="AD38" s="7" t="s">
        <v>859</v>
      </c>
      <c r="AE38" s="148">
        <f t="shared" ref="AE38:BB38" si="2">SUM(AE39:AE40)</f>
        <v>0</v>
      </c>
      <c r="AF38" s="148">
        <f t="shared" si="2"/>
        <v>0</v>
      </c>
      <c r="AG38" s="148">
        <f t="shared" si="2"/>
        <v>0</v>
      </c>
      <c r="AH38" s="148">
        <f t="shared" si="2"/>
        <v>0</v>
      </c>
      <c r="AI38" s="148">
        <f t="shared" si="2"/>
        <v>0</v>
      </c>
      <c r="AJ38" s="148">
        <f t="shared" si="2"/>
        <v>0</v>
      </c>
      <c r="AK38" s="148">
        <f t="shared" si="2"/>
        <v>0</v>
      </c>
      <c r="AL38" s="148">
        <f t="shared" si="2"/>
        <v>0</v>
      </c>
      <c r="AM38" s="148">
        <f t="shared" si="2"/>
        <v>0</v>
      </c>
      <c r="AN38" s="148">
        <f t="shared" si="2"/>
        <v>0</v>
      </c>
      <c r="AO38" s="148">
        <f t="shared" si="2"/>
        <v>0</v>
      </c>
      <c r="AP38" s="148">
        <f t="shared" si="2"/>
        <v>0</v>
      </c>
      <c r="AQ38" s="148">
        <f t="shared" si="2"/>
        <v>0</v>
      </c>
      <c r="AR38" s="148">
        <f t="shared" si="2"/>
        <v>0</v>
      </c>
      <c r="AS38" s="148">
        <f t="shared" si="2"/>
        <v>0</v>
      </c>
      <c r="AT38" s="148">
        <f t="shared" si="2"/>
        <v>0</v>
      </c>
      <c r="AU38" s="148">
        <f t="shared" si="2"/>
        <v>0</v>
      </c>
      <c r="AV38" s="148">
        <f t="shared" si="2"/>
        <v>0</v>
      </c>
      <c r="AW38" s="148">
        <f t="shared" si="2"/>
        <v>0</v>
      </c>
      <c r="AX38" s="148">
        <f t="shared" si="2"/>
        <v>0</v>
      </c>
      <c r="AY38" s="148">
        <f t="shared" si="2"/>
        <v>0</v>
      </c>
      <c r="AZ38" s="148">
        <f t="shared" si="2"/>
        <v>0</v>
      </c>
      <c r="BA38" s="148">
        <f t="shared" si="2"/>
        <v>0</v>
      </c>
      <c r="BB38" s="148">
        <f t="shared" si="2"/>
        <v>0</v>
      </c>
      <c r="BC38" s="823"/>
      <c r="BF38" s="654" t="s">
        <v>1316</v>
      </c>
    </row>
    <row r="39" spans="1:62" ht="14.65" hidden="1" customHeight="1">
      <c r="B39" s="44"/>
      <c r="C39" s="22"/>
      <c r="D39" s="22"/>
      <c r="E39" s="447">
        <v>15</v>
      </c>
      <c r="F39" s="3" cm="1">
        <f t="array" aca="1" ref="F39" ca="1">OFFSET(E39,-1,1)</f>
        <v>0</v>
      </c>
      <c r="G39" s="22" t="s">
        <v>628</v>
      </c>
      <c r="H39" s="273"/>
      <c r="I39" s="408" cm="1">
        <f t="array" ref="I39">AC39</f>
        <v>0</v>
      </c>
      <c r="J39" s="22"/>
      <c r="K39" s="22"/>
      <c r="L39" s="22"/>
      <c r="M39" s="22"/>
      <c r="N39" s="22"/>
      <c r="O39" s="22"/>
      <c r="P39" s="22"/>
      <c r="Q39" s="22"/>
      <c r="R39" s="22"/>
      <c r="S39" s="22"/>
      <c r="T39" s="351" t="b">
        <f ca="1">AND(F39&gt;0,Y39&gt;0)</f>
        <v>0</v>
      </c>
      <c r="U39" s="22"/>
      <c r="V39" s="22"/>
      <c r="W39" s="515" t="s">
        <v>171</v>
      </c>
      <c r="X39" s="1024"/>
      <c r="Y39" s="38">
        <v>0</v>
      </c>
      <c r="Z39" s="1008"/>
      <c r="AA39" s="319" t="s">
        <v>172</v>
      </c>
      <c r="AB39" s="498" t="str">
        <f>"10."&amp;Y39</f>
        <v>10.0</v>
      </c>
      <c r="AC39" s="890"/>
      <c r="AD39" s="7" t="s">
        <v>859</v>
      </c>
      <c r="AE39" s="780"/>
      <c r="AF39" s="780"/>
      <c r="AG39" s="780"/>
      <c r="AH39" s="780"/>
      <c r="AI39" s="141"/>
      <c r="AJ39" s="141"/>
      <c r="AK39" s="141"/>
      <c r="AL39" s="780"/>
      <c r="AM39" s="780"/>
      <c r="AN39" s="780"/>
      <c r="AO39" s="780"/>
      <c r="AP39" s="780"/>
      <c r="AQ39" s="780"/>
      <c r="AR39" s="780"/>
      <c r="AS39" s="141"/>
      <c r="AT39" s="141"/>
      <c r="AU39" s="141"/>
      <c r="AV39" s="780"/>
      <c r="AW39" s="780"/>
      <c r="AX39" s="780"/>
      <c r="AY39" s="780"/>
      <c r="AZ39" s="780"/>
      <c r="BA39" s="780"/>
      <c r="BB39" s="780"/>
      <c r="BC39" s="823"/>
      <c r="BF39" s="654" t="s">
        <v>1316</v>
      </c>
      <c r="BG39" s="654" t="s">
        <v>1317</v>
      </c>
      <c r="BH39" s="685" cm="1">
        <f t="array" ref="BH39">AC39</f>
        <v>0</v>
      </c>
      <c r="BJ39" s="446" t="b">
        <v>1</v>
      </c>
    </row>
    <row r="40" spans="1:62" s="38" customFormat="1" ht="14.65" hidden="1" customHeight="1">
      <c r="B40" s="44"/>
      <c r="C40" s="22"/>
      <c r="D40" s="22"/>
      <c r="E40" s="447">
        <v>15</v>
      </c>
      <c r="F40" s="3" cm="1">
        <f t="array" aca="1" ref="F40" ca="1">OFFSET(E40,-1,1)</f>
        <v>0</v>
      </c>
      <c r="G40" s="22"/>
      <c r="I40" s="22" t="str">
        <f>"!=='не определено'"</f>
        <v>!=='не определено'</v>
      </c>
      <c r="J40" s="22"/>
      <c r="K40" s="22"/>
      <c r="L40" s="22"/>
      <c r="M40" s="22"/>
      <c r="N40" s="22"/>
      <c r="O40" s="22"/>
      <c r="P40" s="22"/>
      <c r="Q40" s="22"/>
      <c r="R40" s="22"/>
      <c r="S40" s="22"/>
      <c r="T40" s="351" t="b">
        <f ca="1">F40&gt;0</f>
        <v>0</v>
      </c>
      <c r="U40" s="22"/>
      <c r="V40" s="22"/>
      <c r="W40" s="515" t="s">
        <v>388</v>
      </c>
      <c r="X40" s="1024"/>
      <c r="Z40" s="1008"/>
      <c r="AB40" s="544"/>
      <c r="AC40" s="171" t="s">
        <v>175</v>
      </c>
      <c r="AD40" s="5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6"/>
      <c r="BF40" s="654"/>
      <c r="BG40" s="654"/>
      <c r="BH40" s="654"/>
      <c r="BI40" s="446" t="s">
        <v>1317</v>
      </c>
      <c r="BJ40" s="446"/>
    </row>
    <row r="41" spans="1:62" s="394" customFormat="1" ht="30" customHeight="1">
      <c r="A41" s="38"/>
      <c r="B41" s="43"/>
      <c r="C41" s="38"/>
      <c r="D41" s="38"/>
      <c r="E41" s="446">
        <v>15</v>
      </c>
      <c r="F41" s="17" t="str" cm="1">
        <f t="array" ref="F41">X41</f>
        <v>1</v>
      </c>
      <c r="G41" s="38"/>
      <c r="H41" s="38"/>
      <c r="I41" s="38"/>
      <c r="J41" s="38"/>
      <c r="K41" s="38"/>
      <c r="L41" s="38"/>
      <c r="M41" s="38"/>
      <c r="N41" s="38"/>
      <c r="O41" s="38"/>
      <c r="P41" s="38"/>
      <c r="Q41" s="38"/>
      <c r="R41" s="38"/>
      <c r="S41" s="38"/>
      <c r="T41" s="351" t="b">
        <f>X41&gt;0</f>
        <v>1</v>
      </c>
      <c r="U41" s="38"/>
      <c r="V41" s="38" t="str" cm="1">
        <f t="array" ref="V41">'Сбытовые расходы ГО'!$AB$39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41" s="38"/>
      <c r="X41" s="1024" t="s">
        <v>277</v>
      </c>
      <c r="Y41" s="38"/>
      <c r="Z41" s="1008"/>
      <c r="AA41" s="38"/>
      <c r="AB41" s="135" t="str" cm="1">
        <f t="array" ref="AB41">'Сбытовые расходы ГО'!$AB$39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38"/>
      <c r="BE41" s="38"/>
      <c r="BF41" s="654"/>
      <c r="BG41" s="654"/>
      <c r="BH41" s="654"/>
      <c r="BI41" s="446"/>
      <c r="BJ41" s="446"/>
    </row>
    <row r="42" spans="1:62" s="394" customFormat="1" ht="45" customHeight="1">
      <c r="A42" s="38"/>
      <c r="B42" s="43"/>
      <c r="C42" s="38"/>
      <c r="D42" s="38"/>
      <c r="E42" s="446">
        <v>22.5</v>
      </c>
      <c r="F42" s="3" t="str" cm="1">
        <f t="array" aca="1" ref="F42" ca="1">OFFSET(E42,-1,1)</f>
        <v>1</v>
      </c>
      <c r="G42" s="38" t="s">
        <v>1270</v>
      </c>
      <c r="H42" s="38"/>
      <c r="I42" s="38"/>
      <c r="J42" s="38"/>
      <c r="K42" s="40" t="str">
        <f ca="1">F42&amp;"komm"</f>
        <v>1komm</v>
      </c>
      <c r="L42" s="607" t="str" cm="1">
        <f t="array" ref="L42">BC42</f>
        <v xml:space="preserve">1) П. 49 (2) Методических указаний  ФСТ № 1746-э.  2)  "Налоговый кодекс Российской Федерации (часть вторая)" от 05.08.2000 N 117-ФЗ. </v>
      </c>
      <c r="M42" s="38"/>
      <c r="N42" s="38"/>
      <c r="O42" s="38"/>
      <c r="P42" s="38"/>
      <c r="Q42" s="38"/>
      <c r="R42" s="38"/>
      <c r="S42" s="38"/>
      <c r="T42" s="351" t="b" cm="1">
        <f t="array" ref="T42">T41</f>
        <v>1</v>
      </c>
      <c r="U42" s="38"/>
      <c r="V42" s="38"/>
      <c r="W42" s="38"/>
      <c r="X42" s="1024"/>
      <c r="Y42" s="38"/>
      <c r="Z42" s="1008"/>
      <c r="AA42" s="38"/>
      <c r="AB42" s="147">
        <v>0</v>
      </c>
      <c r="AC42" s="132" t="s">
        <v>1293</v>
      </c>
      <c r="AD42" s="124" t="s">
        <v>859</v>
      </c>
      <c r="AE42" s="140">
        <f t="shared" ref="AE42:BB42" si="3">SUM(AE43:AE52)</f>
        <v>532.67000000000007</v>
      </c>
      <c r="AF42" s="140">
        <f t="shared" si="3"/>
        <v>841.61</v>
      </c>
      <c r="AG42" s="140">
        <f t="shared" si="3"/>
        <v>841.61</v>
      </c>
      <c r="AH42" s="140">
        <f t="shared" si="3"/>
        <v>11842.76</v>
      </c>
      <c r="AI42" s="140">
        <f t="shared" si="3"/>
        <v>15826</v>
      </c>
      <c r="AJ42" s="140">
        <f t="shared" si="3"/>
        <v>15316.32</v>
      </c>
      <c r="AK42" s="140">
        <f t="shared" si="3"/>
        <v>14812.739999999998</v>
      </c>
      <c r="AL42" s="140">
        <f t="shared" si="3"/>
        <v>0</v>
      </c>
      <c r="AM42" s="140">
        <f t="shared" si="3"/>
        <v>0</v>
      </c>
      <c r="AN42" s="140">
        <f t="shared" si="3"/>
        <v>0</v>
      </c>
      <c r="AO42" s="140">
        <f t="shared" si="3"/>
        <v>0</v>
      </c>
      <c r="AP42" s="140">
        <f t="shared" si="3"/>
        <v>0</v>
      </c>
      <c r="AQ42" s="140">
        <f t="shared" si="3"/>
        <v>0</v>
      </c>
      <c r="AR42" s="140">
        <f t="shared" si="3"/>
        <v>0</v>
      </c>
      <c r="AS42" s="140">
        <f t="shared" si="3"/>
        <v>14965.41</v>
      </c>
      <c r="AT42" s="140">
        <f t="shared" si="3"/>
        <v>14443.34</v>
      </c>
      <c r="AU42" s="140">
        <f t="shared" si="3"/>
        <v>13930.439999999999</v>
      </c>
      <c r="AV42" s="140">
        <f t="shared" si="3"/>
        <v>0</v>
      </c>
      <c r="AW42" s="140">
        <f t="shared" si="3"/>
        <v>0</v>
      </c>
      <c r="AX42" s="140">
        <f t="shared" si="3"/>
        <v>0</v>
      </c>
      <c r="AY42" s="140">
        <f t="shared" si="3"/>
        <v>0</v>
      </c>
      <c r="AZ42" s="140">
        <f t="shared" si="3"/>
        <v>0</v>
      </c>
      <c r="BA42" s="140">
        <f t="shared" si="3"/>
        <v>0</v>
      </c>
      <c r="BB42" s="140">
        <f t="shared" si="3"/>
        <v>0</v>
      </c>
      <c r="BC42" s="113" t="s">
        <v>1318</v>
      </c>
      <c r="BD42" s="38"/>
      <c r="BE42" s="38"/>
      <c r="BF42" s="654" t="s">
        <v>1294</v>
      </c>
      <c r="BG42" s="654"/>
      <c r="BH42" s="654"/>
      <c r="BI42" s="446"/>
      <c r="BJ42" s="446"/>
    </row>
    <row r="43" spans="1:62" s="394" customFormat="1" ht="58.7" customHeight="1">
      <c r="A43" s="38"/>
      <c r="B43" s="43"/>
      <c r="C43" s="38"/>
      <c r="D43" s="38"/>
      <c r="E43" s="446">
        <v>15</v>
      </c>
      <c r="F43" s="3" t="str" cm="1">
        <f t="array" aca="1" ref="F43" ca="1">OFFSET(E43,-1,1)</f>
        <v>1</v>
      </c>
      <c r="G43" s="38" t="s">
        <v>321</v>
      </c>
      <c r="H43" s="38"/>
      <c r="I43" s="38"/>
      <c r="J43" s="38"/>
      <c r="K43" s="40" t="str">
        <f ca="1">F43&amp;"1komm"</f>
        <v>11komm</v>
      </c>
      <c r="L43" s="607" t="str" cm="1">
        <f t="array" ref="L43">BC43</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M43" s="38"/>
      <c r="N43" s="38"/>
      <c r="O43" s="38"/>
      <c r="P43" s="38"/>
      <c r="Q43" s="38"/>
      <c r="R43" s="38"/>
      <c r="S43" s="38"/>
      <c r="T43" s="351" t="b" cm="1">
        <f t="array" ref="T43">T42</f>
        <v>1</v>
      </c>
      <c r="U43" s="38"/>
      <c r="V43" s="38"/>
      <c r="W43" s="38"/>
      <c r="X43" s="1024"/>
      <c r="Y43" s="38"/>
      <c r="Z43" s="1008"/>
      <c r="AA43" s="38"/>
      <c r="AB43" s="133" t="s">
        <v>277</v>
      </c>
      <c r="AC43" s="345" t="s">
        <v>1295</v>
      </c>
      <c r="AD43" s="7" t="s">
        <v>859</v>
      </c>
      <c r="AE43" s="141"/>
      <c r="AF43" s="142"/>
      <c r="AG43" s="142"/>
      <c r="AH43" s="142"/>
      <c r="AI43" s="142">
        <v>24.54</v>
      </c>
      <c r="AJ43" s="142">
        <v>24.54</v>
      </c>
      <c r="AK43" s="142">
        <v>24.54</v>
      </c>
      <c r="AL43" s="142"/>
      <c r="AM43" s="142"/>
      <c r="AN43" s="142"/>
      <c r="AO43" s="142"/>
      <c r="AP43" s="142"/>
      <c r="AQ43" s="142"/>
      <c r="AR43" s="142"/>
      <c r="AS43" s="142">
        <v>24.54</v>
      </c>
      <c r="AT43" s="142">
        <v>24.54</v>
      </c>
      <c r="AU43" s="142">
        <v>24.54</v>
      </c>
      <c r="AV43" s="142"/>
      <c r="AW43" s="142"/>
      <c r="AX43" s="142"/>
      <c r="AY43" s="142"/>
      <c r="AZ43" s="142"/>
      <c r="BA43" s="142"/>
      <c r="BB43" s="142"/>
      <c r="BC43" s="113" t="s">
        <v>1319</v>
      </c>
      <c r="BD43" s="38"/>
      <c r="BE43" s="38"/>
      <c r="BF43" s="654" t="s">
        <v>1296</v>
      </c>
      <c r="BG43" s="654"/>
      <c r="BH43" s="654"/>
      <c r="BI43" s="446"/>
      <c r="BJ43" s="446"/>
    </row>
    <row r="44" spans="1:62" s="394" customFormat="1" ht="21.75" customHeight="1">
      <c r="A44" s="38"/>
      <c r="B44" s="44"/>
      <c r="C44" s="22"/>
      <c r="D44" s="22"/>
      <c r="E44" s="447">
        <v>22.5</v>
      </c>
      <c r="F44" s="3" t="str" cm="1">
        <f t="array" aca="1" ref="F44" ca="1">OFFSET(E44,-1,1)</f>
        <v>1</v>
      </c>
      <c r="G44" s="22" t="s">
        <v>322</v>
      </c>
      <c r="H44" s="22"/>
      <c r="I44" s="22"/>
      <c r="J44" s="22"/>
      <c r="K44" s="40" t="str">
        <f ca="1">F44&amp;"2komm"</f>
        <v>12komm</v>
      </c>
      <c r="L44" s="607" cm="1">
        <f t="array" ref="L44">BC44</f>
        <v>0</v>
      </c>
      <c r="M44" s="22"/>
      <c r="N44" s="22"/>
      <c r="O44" s="22"/>
      <c r="P44" s="22"/>
      <c r="Q44" s="22"/>
      <c r="R44" s="22"/>
      <c r="S44" s="22"/>
      <c r="T44" s="351" t="b" cm="1">
        <f t="array" ref="T44">T43</f>
        <v>1</v>
      </c>
      <c r="U44" s="22"/>
      <c r="V44" s="22"/>
      <c r="W44" s="38"/>
      <c r="X44" s="1024"/>
      <c r="Y44" s="38"/>
      <c r="Z44" s="1008"/>
      <c r="AA44" s="38"/>
      <c r="AB44" s="133" t="s">
        <v>435</v>
      </c>
      <c r="AC44" s="345" t="s">
        <v>1297</v>
      </c>
      <c r="AD44" s="7" t="s">
        <v>859</v>
      </c>
      <c r="AE44" s="141"/>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13"/>
      <c r="BD44" s="38"/>
      <c r="BE44" s="38"/>
      <c r="BF44" s="654" t="s">
        <v>1298</v>
      </c>
      <c r="BG44" s="654"/>
      <c r="BH44" s="654"/>
      <c r="BI44" s="446"/>
      <c r="BJ44" s="446"/>
    </row>
    <row r="45" spans="1:62" s="394" customFormat="1" ht="38.25" customHeight="1">
      <c r="A45" s="38"/>
      <c r="B45" s="44"/>
      <c r="C45" s="22"/>
      <c r="D45" s="22"/>
      <c r="E45" s="447">
        <v>22.5</v>
      </c>
      <c r="F45" s="3" t="str" cm="1">
        <f t="array" aca="1" ref="F45" ca="1">OFFSET(E45,-1,1)</f>
        <v>1</v>
      </c>
      <c r="G45" s="22" t="s">
        <v>323</v>
      </c>
      <c r="H45" s="22" t="s">
        <v>1299</v>
      </c>
      <c r="I45" s="22"/>
      <c r="J45" s="22"/>
      <c r="K45" s="40" t="str">
        <f ca="1">F45&amp;"3komm"</f>
        <v>13komm</v>
      </c>
      <c r="L45" s="607" t="str" cm="1">
        <f t="array" ref="L45">BC45</f>
        <v>Расходы на 2026-2028 гг. не заявлены.</v>
      </c>
      <c r="M45" s="22"/>
      <c r="N45" s="22"/>
      <c r="O45" s="22"/>
      <c r="P45" s="22"/>
      <c r="Q45" s="22"/>
      <c r="R45" s="22"/>
      <c r="S45" s="22"/>
      <c r="T45" s="351" t="b" cm="1">
        <f t="array" ref="T45">T44</f>
        <v>1</v>
      </c>
      <c r="U45" s="22"/>
      <c r="V45" s="22"/>
      <c r="W45" s="38"/>
      <c r="X45" s="1024"/>
      <c r="Y45" s="38"/>
      <c r="Z45" s="1008"/>
      <c r="AA45" s="38"/>
      <c r="AB45" s="133" t="s">
        <v>319</v>
      </c>
      <c r="AC45" s="345" t="s">
        <v>1300</v>
      </c>
      <c r="AD45" s="7" t="s">
        <v>859</v>
      </c>
      <c r="AE45" s="141">
        <v>0.3</v>
      </c>
      <c r="AF45" s="142">
        <v>0</v>
      </c>
      <c r="AG45" s="142">
        <v>0</v>
      </c>
      <c r="AH45" s="142">
        <v>7.85</v>
      </c>
      <c r="AI45" s="142"/>
      <c r="AJ45" s="142"/>
      <c r="AK45" s="142"/>
      <c r="AL45" s="142"/>
      <c r="AM45" s="142"/>
      <c r="AN45" s="142"/>
      <c r="AO45" s="142"/>
      <c r="AP45" s="142"/>
      <c r="AQ45" s="142"/>
      <c r="AR45" s="142"/>
      <c r="AS45" s="142"/>
      <c r="AT45" s="142"/>
      <c r="AU45" s="142"/>
      <c r="AV45" s="142"/>
      <c r="AW45" s="142"/>
      <c r="AX45" s="142"/>
      <c r="AY45" s="142"/>
      <c r="AZ45" s="142"/>
      <c r="BA45" s="142"/>
      <c r="BB45" s="142"/>
      <c r="BC45" s="113" t="s">
        <v>1320</v>
      </c>
      <c r="BD45" s="38"/>
      <c r="BE45" s="38"/>
      <c r="BF45" s="654" t="s">
        <v>1301</v>
      </c>
      <c r="BG45" s="654"/>
      <c r="BH45" s="654"/>
      <c r="BI45" s="446"/>
      <c r="BJ45" s="446"/>
    </row>
    <row r="46" spans="1:62" ht="59.45" customHeight="1">
      <c r="B46" s="44"/>
      <c r="C46" s="22"/>
      <c r="D46" s="22"/>
      <c r="E46" s="447">
        <v>15</v>
      </c>
      <c r="F46" s="3" t="str" cm="1">
        <f t="array" aca="1" ref="F46" ca="1">OFFSET(E46,-1,1)</f>
        <v>1</v>
      </c>
      <c r="G46" s="22" t="s">
        <v>325</v>
      </c>
      <c r="H46" s="22"/>
      <c r="I46" s="22"/>
      <c r="J46" s="22"/>
      <c r="K46" s="40" t="str">
        <f ca="1">F46&amp;"4komm"</f>
        <v>14komm</v>
      </c>
      <c r="L46" s="607" t="str" cm="1">
        <f t="array" ref="L46">BC46</f>
        <v xml:space="preserve">Статья 333.12 Главы 25.2 "ВОДНЫЙ НАЛОГ" Налогового кодекса РФ. </v>
      </c>
      <c r="M46" s="22"/>
      <c r="N46" s="22"/>
      <c r="O46" s="22"/>
      <c r="P46" s="22"/>
      <c r="Q46" s="22"/>
      <c r="R46" s="22"/>
      <c r="S46" s="22"/>
      <c r="T46" s="351" t="b" cm="1">
        <f t="array" ref="T46">T45</f>
        <v>1</v>
      </c>
      <c r="U46" s="22"/>
      <c r="V46" s="22"/>
      <c r="X46" s="1024"/>
      <c r="Z46" s="1008"/>
      <c r="AB46" s="588">
        <v>4</v>
      </c>
      <c r="AC46" s="345" t="s">
        <v>1302</v>
      </c>
      <c r="AD46" s="7" t="s">
        <v>859</v>
      </c>
      <c r="AE46" s="143">
        <v>161.63999999999999</v>
      </c>
      <c r="AF46" s="143">
        <v>432.11</v>
      </c>
      <c r="AG46" s="143">
        <v>432.11</v>
      </c>
      <c r="AH46" s="143">
        <v>4274.8999999999996</v>
      </c>
      <c r="AI46" s="143">
        <v>3790.47</v>
      </c>
      <c r="AJ46" s="143">
        <v>3942.05</v>
      </c>
      <c r="AK46" s="143">
        <v>4099.7299999999996</v>
      </c>
      <c r="AL46" s="143"/>
      <c r="AM46" s="143"/>
      <c r="AN46" s="143"/>
      <c r="AO46" s="143"/>
      <c r="AP46" s="143"/>
      <c r="AQ46" s="143"/>
      <c r="AR46" s="143"/>
      <c r="AS46" s="143">
        <v>3790.47</v>
      </c>
      <c r="AT46" s="143">
        <v>3942.08</v>
      </c>
      <c r="AU46" s="143">
        <v>4099.75</v>
      </c>
      <c r="AV46" s="143"/>
      <c r="AW46" s="143"/>
      <c r="AX46" s="143"/>
      <c r="AY46" s="143"/>
      <c r="AZ46" s="143"/>
      <c r="BA46" s="143"/>
      <c r="BB46" s="143"/>
      <c r="BC46" s="113" t="s">
        <v>1321</v>
      </c>
      <c r="BF46" s="654" t="s">
        <v>1303</v>
      </c>
    </row>
    <row r="47" spans="1:62" s="394" customFormat="1" ht="14.25" customHeight="1">
      <c r="A47" s="38"/>
      <c r="B47" s="44"/>
      <c r="C47" s="22"/>
      <c r="D47" s="22"/>
      <c r="E47" s="447">
        <v>15</v>
      </c>
      <c r="F47" s="3" t="str" cm="1">
        <f t="array" aca="1" ref="F47" ca="1">OFFSET(E47,-1,1)</f>
        <v>1</v>
      </c>
      <c r="G47" s="22" t="s">
        <v>324</v>
      </c>
      <c r="H47" s="22"/>
      <c r="I47" s="22"/>
      <c r="J47" s="22"/>
      <c r="K47" s="40" t="str">
        <f ca="1">F47&amp;"5komm"</f>
        <v>15komm</v>
      </c>
      <c r="L47" s="607" cm="1">
        <f t="array" ref="L47">BC47</f>
        <v>0</v>
      </c>
      <c r="M47" s="22"/>
      <c r="N47" s="22"/>
      <c r="O47" s="22"/>
      <c r="P47" s="22"/>
      <c r="Q47" s="22"/>
      <c r="R47" s="22"/>
      <c r="S47" s="22"/>
      <c r="T47" s="351" t="b" cm="1">
        <f t="array" ref="T47">T46</f>
        <v>1</v>
      </c>
      <c r="U47" s="22"/>
      <c r="V47" s="22"/>
      <c r="W47" s="38"/>
      <c r="X47" s="1024"/>
      <c r="Y47" s="38"/>
      <c r="Z47" s="1008"/>
      <c r="AA47" s="38"/>
      <c r="AB47" s="133" t="s">
        <v>440</v>
      </c>
      <c r="AC47" s="345" t="s">
        <v>1304</v>
      </c>
      <c r="AD47" s="7" t="s">
        <v>859</v>
      </c>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13"/>
      <c r="BD47" s="38"/>
      <c r="BE47" s="38"/>
      <c r="BF47" s="654" t="s">
        <v>1305</v>
      </c>
      <c r="BG47" s="654"/>
      <c r="BH47" s="654"/>
      <c r="BI47" s="446"/>
      <c r="BJ47" s="446"/>
    </row>
    <row r="48" spans="1:62" s="394" customFormat="1" ht="49.15" customHeight="1">
      <c r="A48" s="38"/>
      <c r="B48" s="44"/>
      <c r="C48" s="22"/>
      <c r="D48" s="22"/>
      <c r="E48" s="447">
        <v>15</v>
      </c>
      <c r="F48" s="3" t="str" cm="1">
        <f t="array" aca="1" ref="F48" ca="1">OFFSET(E48,-1,1)</f>
        <v>1</v>
      </c>
      <c r="G48" s="22" t="s">
        <v>557</v>
      </c>
      <c r="H48" s="22"/>
      <c r="I48" s="22"/>
      <c r="J48" s="22"/>
      <c r="K48" s="40" t="str">
        <f ca="1">F48&amp;"6komm"</f>
        <v>16komm</v>
      </c>
      <c r="L48" s="607" t="str" cm="1">
        <f t="array" ref="L48">BC48</f>
        <v>Глава 30 "НАЛОГ НА ИМУЩЕСТВО ОРГАНИЗАЦИЙ" Налогового кодекса РФ (Часть вторая);  Закон Кемеровской области - Кузбасса от 26.11.2003 N 60-ОЗ (ред. от 30.06.2025 N 79-ОЗ) "О налоге на имущество организаций".</v>
      </c>
      <c r="M48" s="22"/>
      <c r="N48" s="22"/>
      <c r="O48" s="22"/>
      <c r="P48" s="22"/>
      <c r="Q48" s="22"/>
      <c r="R48" s="22"/>
      <c r="S48" s="22"/>
      <c r="T48" s="351" t="b" cm="1">
        <f t="array" ref="T48">T47</f>
        <v>1</v>
      </c>
      <c r="U48" s="22"/>
      <c r="V48" s="22"/>
      <c r="W48" s="38"/>
      <c r="X48" s="1024"/>
      <c r="Y48" s="38"/>
      <c r="Z48" s="1008"/>
      <c r="AA48" s="38"/>
      <c r="AB48" s="133" t="s">
        <v>442</v>
      </c>
      <c r="AC48" s="345" t="s">
        <v>1306</v>
      </c>
      <c r="AD48" s="7" t="s">
        <v>859</v>
      </c>
      <c r="AE48" s="141"/>
      <c r="AF48" s="141"/>
      <c r="AG48" s="141"/>
      <c r="AH48" s="141">
        <v>7560.01</v>
      </c>
      <c r="AI48" s="141">
        <v>12010.99</v>
      </c>
      <c r="AJ48" s="141">
        <v>11349.73</v>
      </c>
      <c r="AK48" s="141">
        <v>10688.47</v>
      </c>
      <c r="AL48" s="141"/>
      <c r="AM48" s="141"/>
      <c r="AN48" s="141"/>
      <c r="AO48" s="141"/>
      <c r="AP48" s="141"/>
      <c r="AQ48" s="141"/>
      <c r="AR48" s="141"/>
      <c r="AS48" s="141">
        <v>11150.4</v>
      </c>
      <c r="AT48" s="141">
        <v>10476.719999999999</v>
      </c>
      <c r="AU48" s="141">
        <v>9806.15</v>
      </c>
      <c r="AV48" s="141"/>
      <c r="AW48" s="141"/>
      <c r="AX48" s="141"/>
      <c r="AY48" s="141"/>
      <c r="AZ48" s="141"/>
      <c r="BA48" s="141"/>
      <c r="BB48" s="141"/>
      <c r="BC48" s="113" t="s">
        <v>1322</v>
      </c>
      <c r="BD48" s="38"/>
      <c r="BE48" s="38"/>
      <c r="BF48" s="654" t="s">
        <v>1307</v>
      </c>
      <c r="BG48" s="654"/>
      <c r="BH48" s="654"/>
      <c r="BI48" s="446"/>
      <c r="BJ48" s="446"/>
    </row>
    <row r="49" spans="1:62" s="394" customFormat="1" ht="14.25" customHeight="1">
      <c r="A49" s="38"/>
      <c r="B49" s="44"/>
      <c r="C49" s="22"/>
      <c r="D49" s="22"/>
      <c r="E49" s="447">
        <v>15</v>
      </c>
      <c r="F49" s="3" t="str" cm="1">
        <f t="array" aca="1" ref="F49" ca="1">OFFSET(E49,-1,1)</f>
        <v>1</v>
      </c>
      <c r="G49" s="22" t="s">
        <v>560</v>
      </c>
      <c r="H49" s="22" t="s">
        <v>1308</v>
      </c>
      <c r="I49" s="22"/>
      <c r="J49" s="22"/>
      <c r="K49" s="40" t="str">
        <f ca="1">F49&amp;"7komm"</f>
        <v>17komm</v>
      </c>
      <c r="L49" s="607" cm="1">
        <f t="array" ref="L49">BC49</f>
        <v>0</v>
      </c>
      <c r="M49" s="22"/>
      <c r="N49" s="22"/>
      <c r="O49" s="22"/>
      <c r="P49" s="22"/>
      <c r="Q49" s="22"/>
      <c r="R49" s="22"/>
      <c r="S49" s="22"/>
      <c r="T49" s="351" t="b" cm="1">
        <f t="array" ref="T49">T48</f>
        <v>1</v>
      </c>
      <c r="U49" s="22"/>
      <c r="V49" s="22"/>
      <c r="W49" s="38"/>
      <c r="X49" s="1024"/>
      <c r="Y49" s="38"/>
      <c r="Z49" s="1008"/>
      <c r="AA49" s="38"/>
      <c r="AB49" s="133" t="s">
        <v>444</v>
      </c>
      <c r="AC49" s="345" t="s">
        <v>1309</v>
      </c>
      <c r="AD49" s="7" t="s">
        <v>859</v>
      </c>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13"/>
      <c r="BD49" s="38"/>
      <c r="BE49" s="38"/>
      <c r="BF49" s="654" t="s">
        <v>1310</v>
      </c>
      <c r="BG49" s="654"/>
      <c r="BH49" s="654"/>
      <c r="BI49" s="446"/>
      <c r="BJ49" s="446"/>
    </row>
    <row r="50" spans="1:62" s="394" customFormat="1" ht="35.450000000000003" customHeight="1">
      <c r="A50" s="38"/>
      <c r="B50" s="44"/>
      <c r="C50" s="22"/>
      <c r="D50" s="22"/>
      <c r="E50" s="447">
        <v>22.5</v>
      </c>
      <c r="F50" s="3" t="str" cm="1">
        <f t="array" aca="1" ref="F50" ca="1">OFFSET(E50,-1,1)</f>
        <v>1</v>
      </c>
      <c r="G50" s="22" t="s">
        <v>613</v>
      </c>
      <c r="H50" s="22"/>
      <c r="I50" s="22"/>
      <c r="J50" s="22"/>
      <c r="K50" s="40" t="str">
        <f ca="1">F50&amp;"8komm"</f>
        <v>18komm</v>
      </c>
      <c r="L50" s="607" cm="1">
        <f t="array" ref="L50">BC50</f>
        <v>0</v>
      </c>
      <c r="M50" s="22"/>
      <c r="N50" s="22"/>
      <c r="O50" s="22"/>
      <c r="P50" s="22"/>
      <c r="Q50" s="22"/>
      <c r="R50" s="22"/>
      <c r="S50" s="22"/>
      <c r="T50" s="351" t="b" cm="1">
        <f t="array" ref="T50">T49</f>
        <v>1</v>
      </c>
      <c r="U50" s="22"/>
      <c r="V50" s="22"/>
      <c r="W50" s="38"/>
      <c r="X50" s="1024"/>
      <c r="Y50" s="38"/>
      <c r="Z50" s="1008"/>
      <c r="AA50" s="38"/>
      <c r="AB50" s="133" t="s">
        <v>446</v>
      </c>
      <c r="AC50" s="345" t="s">
        <v>1311</v>
      </c>
      <c r="AD50" s="7" t="s">
        <v>859</v>
      </c>
      <c r="AE50" s="141">
        <v>370.73</v>
      </c>
      <c r="AF50" s="141">
        <v>409.5</v>
      </c>
      <c r="AG50" s="141">
        <v>409.5</v>
      </c>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13"/>
      <c r="BD50" s="38"/>
      <c r="BE50" s="38"/>
      <c r="BF50" s="654" t="s">
        <v>1312</v>
      </c>
      <c r="BG50" s="654"/>
      <c r="BH50" s="654"/>
      <c r="BI50" s="446"/>
      <c r="BJ50" s="446"/>
    </row>
    <row r="51" spans="1:62" s="40" customFormat="1" ht="21.75" customHeight="1">
      <c r="B51" s="44"/>
      <c r="C51" s="22"/>
      <c r="D51" s="22"/>
      <c r="E51" s="447">
        <v>22.5</v>
      </c>
      <c r="F51" s="3" t="str" cm="1">
        <f t="array" aca="1" ref="F51" ca="1">OFFSET(E51,-1,1)</f>
        <v>1</v>
      </c>
      <c r="G51" s="22"/>
      <c r="H51" s="22"/>
      <c r="I51" s="22"/>
      <c r="J51" s="22"/>
      <c r="K51" s="40" t="str">
        <f ca="1">F51&amp;"9komm"</f>
        <v>19komm</v>
      </c>
      <c r="L51" s="607" cm="1">
        <f t="array" ref="L51">BC51</f>
        <v>0</v>
      </c>
      <c r="M51" s="22"/>
      <c r="N51" s="22"/>
      <c r="O51" s="22"/>
      <c r="P51" s="22"/>
      <c r="Q51" s="22"/>
      <c r="R51" s="22"/>
      <c r="S51" s="22"/>
      <c r="T51" s="351" t="b" cm="1">
        <f t="array" ref="T51">T50</f>
        <v>1</v>
      </c>
      <c r="U51" s="22"/>
      <c r="V51" s="22"/>
      <c r="X51" s="1024"/>
      <c r="Z51" s="1008"/>
      <c r="AB51" s="133" t="s">
        <v>448</v>
      </c>
      <c r="AC51" s="345" t="s">
        <v>1313</v>
      </c>
      <c r="AD51" s="7" t="s">
        <v>859</v>
      </c>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95"/>
      <c r="BF51" s="660" t="s">
        <v>1314</v>
      </c>
      <c r="BG51" s="660"/>
      <c r="BH51" s="660"/>
      <c r="BI51" s="500"/>
      <c r="BJ51" s="500"/>
    </row>
    <row r="52" spans="1:62" ht="14.25" customHeight="1">
      <c r="B52" s="44"/>
      <c r="C52" s="22"/>
      <c r="D52" s="22"/>
      <c r="E52" s="447">
        <v>15</v>
      </c>
      <c r="F52" s="3" t="str" cm="1">
        <f t="array" aca="1" ref="F52" ca="1">OFFSET(E52,-1,1)</f>
        <v>1</v>
      </c>
      <c r="G52" s="22" t="s">
        <v>628</v>
      </c>
      <c r="H52" s="273"/>
      <c r="I52" s="22"/>
      <c r="J52" s="22"/>
      <c r="K52" s="40" t="str">
        <f ca="1">F52&amp;"10komm"</f>
        <v>110komm</v>
      </c>
      <c r="L52" s="607" cm="1">
        <f t="array" ref="L52">BC52</f>
        <v>0</v>
      </c>
      <c r="M52" s="22"/>
      <c r="N52" s="22"/>
      <c r="O52" s="22"/>
      <c r="P52" s="22"/>
      <c r="Q52" s="22"/>
      <c r="R52" s="22"/>
      <c r="S52" s="22"/>
      <c r="T52" s="351" t="b" cm="1">
        <f t="array" ref="T52">T51</f>
        <v>1</v>
      </c>
      <c r="U52" s="22"/>
      <c r="V52" s="22"/>
      <c r="X52" s="1024"/>
      <c r="Z52" s="1008"/>
      <c r="AB52" s="588">
        <v>10</v>
      </c>
      <c r="AC52" s="345" t="s">
        <v>1315</v>
      </c>
      <c r="AD52" s="7" t="s">
        <v>859</v>
      </c>
      <c r="AE52" s="148">
        <f t="shared" ref="AE52:BB52" si="4">SUM(AE53:AE54)</f>
        <v>0</v>
      </c>
      <c r="AF52" s="148">
        <f t="shared" si="4"/>
        <v>0</v>
      </c>
      <c r="AG52" s="148">
        <f t="shared" si="4"/>
        <v>0</v>
      </c>
      <c r="AH52" s="148">
        <f t="shared" si="4"/>
        <v>0</v>
      </c>
      <c r="AI52" s="148">
        <f t="shared" si="4"/>
        <v>0</v>
      </c>
      <c r="AJ52" s="148">
        <f t="shared" si="4"/>
        <v>0</v>
      </c>
      <c r="AK52" s="148">
        <f t="shared" si="4"/>
        <v>0</v>
      </c>
      <c r="AL52" s="148">
        <f t="shared" si="4"/>
        <v>0</v>
      </c>
      <c r="AM52" s="148">
        <f t="shared" si="4"/>
        <v>0</v>
      </c>
      <c r="AN52" s="148">
        <f t="shared" si="4"/>
        <v>0</v>
      </c>
      <c r="AO52" s="148">
        <f t="shared" si="4"/>
        <v>0</v>
      </c>
      <c r="AP52" s="148">
        <f t="shared" si="4"/>
        <v>0</v>
      </c>
      <c r="AQ52" s="148">
        <f t="shared" si="4"/>
        <v>0</v>
      </c>
      <c r="AR52" s="148">
        <f t="shared" si="4"/>
        <v>0</v>
      </c>
      <c r="AS52" s="148">
        <f t="shared" si="4"/>
        <v>0</v>
      </c>
      <c r="AT52" s="148">
        <f t="shared" si="4"/>
        <v>0</v>
      </c>
      <c r="AU52" s="148">
        <f t="shared" si="4"/>
        <v>0</v>
      </c>
      <c r="AV52" s="148">
        <f t="shared" si="4"/>
        <v>0</v>
      </c>
      <c r="AW52" s="148">
        <f t="shared" si="4"/>
        <v>0</v>
      </c>
      <c r="AX52" s="148">
        <f t="shared" si="4"/>
        <v>0</v>
      </c>
      <c r="AY52" s="148">
        <f t="shared" si="4"/>
        <v>0</v>
      </c>
      <c r="AZ52" s="148">
        <f t="shared" si="4"/>
        <v>0</v>
      </c>
      <c r="BA52" s="148">
        <f t="shared" si="4"/>
        <v>0</v>
      </c>
      <c r="BB52" s="148">
        <f t="shared" si="4"/>
        <v>0</v>
      </c>
      <c r="BC52" s="113"/>
      <c r="BF52" s="654" t="s">
        <v>1316</v>
      </c>
    </row>
    <row r="53" spans="1:62" ht="14.25" hidden="1" customHeight="1">
      <c r="B53" s="44"/>
      <c r="C53" s="22"/>
      <c r="D53" s="22"/>
      <c r="E53" s="447">
        <v>15</v>
      </c>
      <c r="F53" s="3" t="str" cm="1">
        <f t="array" aca="1" ref="F53" ca="1">OFFSET(E53,-1,1)</f>
        <v>1</v>
      </c>
      <c r="G53" s="22" t="s">
        <v>628</v>
      </c>
      <c r="H53" s="273"/>
      <c r="I53" s="408" cm="1">
        <f t="array" ref="I53">AC53</f>
        <v>0</v>
      </c>
      <c r="J53" s="22"/>
      <c r="K53" s="22"/>
      <c r="L53" s="22"/>
      <c r="M53" s="22"/>
      <c r="N53" s="22"/>
      <c r="O53" s="22"/>
      <c r="P53" s="22"/>
      <c r="Q53" s="22"/>
      <c r="R53" s="22"/>
      <c r="S53" s="22"/>
      <c r="T53" s="351" t="b">
        <f ca="1">AND(F53&gt;0,Y53&gt;0)</f>
        <v>0</v>
      </c>
      <c r="U53" s="22"/>
      <c r="V53" s="22"/>
      <c r="W53" s="515" t="s">
        <v>171</v>
      </c>
      <c r="X53" s="1024"/>
      <c r="Y53" s="38">
        <v>0</v>
      </c>
      <c r="Z53" s="1008"/>
      <c r="AA53" s="319" t="s">
        <v>172</v>
      </c>
      <c r="AB53" s="498" t="str">
        <f>"10."&amp;Y53</f>
        <v>10.0</v>
      </c>
      <c r="AC53" s="890"/>
      <c r="AD53" s="7" t="s">
        <v>859</v>
      </c>
      <c r="AE53" s="780"/>
      <c r="AF53" s="780"/>
      <c r="AG53" s="780"/>
      <c r="AH53" s="780"/>
      <c r="AI53" s="141"/>
      <c r="AJ53" s="141"/>
      <c r="AK53" s="141"/>
      <c r="AL53" s="780"/>
      <c r="AM53" s="780"/>
      <c r="AN53" s="780"/>
      <c r="AO53" s="780"/>
      <c r="AP53" s="780"/>
      <c r="AQ53" s="780"/>
      <c r="AR53" s="780"/>
      <c r="AS53" s="141"/>
      <c r="AT53" s="141"/>
      <c r="AU53" s="141"/>
      <c r="AV53" s="780"/>
      <c r="AW53" s="780"/>
      <c r="AX53" s="780"/>
      <c r="AY53" s="780"/>
      <c r="AZ53" s="780"/>
      <c r="BA53" s="780"/>
      <c r="BB53" s="780"/>
      <c r="BC53" s="823"/>
      <c r="BF53" s="654" t="s">
        <v>1316</v>
      </c>
      <c r="BG53" s="654" t="s">
        <v>1317</v>
      </c>
      <c r="BH53" s="685" cm="1">
        <f t="array" ref="BH53">AC53</f>
        <v>0</v>
      </c>
      <c r="BJ53" s="446" t="b">
        <v>1</v>
      </c>
    </row>
    <row r="54" spans="1:62" s="394" customFormat="1" ht="14.25" customHeight="1">
      <c r="A54" s="38"/>
      <c r="B54" s="44"/>
      <c r="C54" s="22"/>
      <c r="D54" s="22"/>
      <c r="E54" s="447">
        <v>15</v>
      </c>
      <c r="F54" s="3" t="str" cm="1">
        <f t="array" aca="1" ref="F54" ca="1">OFFSET(E54,-1,1)</f>
        <v>1</v>
      </c>
      <c r="G54" s="22"/>
      <c r="H54" s="38"/>
      <c r="I54" s="22" t="str">
        <f>"!=='не определено'"</f>
        <v>!=='не определено'</v>
      </c>
      <c r="J54" s="22"/>
      <c r="K54" s="22"/>
      <c r="L54" s="22"/>
      <c r="M54" s="22"/>
      <c r="N54" s="22"/>
      <c r="O54" s="22"/>
      <c r="P54" s="22"/>
      <c r="Q54" s="22"/>
      <c r="R54" s="22"/>
      <c r="S54" s="22"/>
      <c r="T54" s="351" t="b">
        <f ca="1">F54&gt;0</f>
        <v>1</v>
      </c>
      <c r="U54" s="22"/>
      <c r="V54" s="22"/>
      <c r="W54" s="515" t="s">
        <v>388</v>
      </c>
      <c r="X54" s="1024"/>
      <c r="Y54" s="38"/>
      <c r="Z54" s="1008"/>
      <c r="AA54" s="38"/>
      <c r="AB54" s="544"/>
      <c r="AC54" s="171" t="s">
        <v>175</v>
      </c>
      <c r="AD54" s="5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6"/>
      <c r="BD54" s="38"/>
      <c r="BE54" s="38"/>
      <c r="BF54" s="654"/>
      <c r="BG54" s="654"/>
      <c r="BH54" s="654"/>
      <c r="BI54" s="446" t="s">
        <v>1317</v>
      </c>
      <c r="BJ54" s="446"/>
    </row>
    <row r="55" spans="1:62" ht="10.9" customHeight="1">
      <c r="A55"/>
      <c r="B55" s="409"/>
      <c r="C55"/>
      <c r="D55"/>
      <c r="E55" s="452">
        <v>11.25</v>
      </c>
      <c r="F55" s="4"/>
      <c r="G55"/>
      <c r="H55"/>
      <c r="I55"/>
      <c r="J55"/>
      <c r="K55"/>
      <c r="L55"/>
      <c r="M55"/>
      <c r="N55"/>
      <c r="O55"/>
      <c r="P55"/>
      <c r="Q55"/>
      <c r="R55"/>
      <c r="S55"/>
      <c r="T55"/>
      <c r="U55" t="s">
        <v>175</v>
      </c>
      <c r="V55" s="515" t="s">
        <v>1323</v>
      </c>
      <c r="W55"/>
      <c r="X55"/>
      <c r="Y55"/>
      <c r="Z55"/>
      <c r="AA55"/>
      <c r="AB55"/>
      <c r="AC55" s="18"/>
      <c r="AD55" s="18"/>
      <c r="AE55" s="18"/>
      <c r="AF55" s="18"/>
      <c r="AG55"/>
      <c r="AH55"/>
      <c r="AI55"/>
      <c r="AJ55"/>
      <c r="AK55"/>
      <c r="AL55"/>
      <c r="AM55"/>
      <c r="AN55"/>
      <c r="AO55"/>
      <c r="AP55"/>
      <c r="AQ55" s="19"/>
      <c r="AR55"/>
      <c r="AS55"/>
      <c r="AT55"/>
      <c r="AU55"/>
      <c r="AV55"/>
      <c r="AW55"/>
      <c r="AX55"/>
      <c r="AY55"/>
      <c r="AZ55"/>
      <c r="BA55"/>
      <c r="BB55"/>
      <c r="BC55"/>
      <c r="BD55"/>
      <c r="BE55"/>
      <c r="BF55" s="659"/>
      <c r="BG55" s="659"/>
      <c r="BH55" s="659"/>
      <c r="BI55" s="452"/>
      <c r="BJ55" s="452"/>
    </row>
    <row r="56" spans="1:62" ht="14.65" customHeight="1">
      <c r="A56" s="17"/>
      <c r="B56" s="382"/>
      <c r="C56" s="59"/>
      <c r="D56" s="59"/>
      <c r="E56" s="460">
        <v>15</v>
      </c>
      <c r="F56" s="59"/>
      <c r="G56" s="59"/>
      <c r="H56" s="59"/>
      <c r="I56" s="59"/>
      <c r="J56" s="59"/>
      <c r="K56" s="59"/>
      <c r="L56" s="59"/>
      <c r="M56" s="59"/>
      <c r="N56" s="59"/>
      <c r="O56" s="59"/>
      <c r="P56" s="59"/>
      <c r="Q56" s="59"/>
      <c r="R56" s="59"/>
      <c r="S56" s="59"/>
      <c r="T56" s="59"/>
      <c r="U56" s="59"/>
      <c r="V56" s="59"/>
      <c r="W56" s="17"/>
      <c r="X56" s="17"/>
      <c r="Y56" s="17"/>
      <c r="Z56" s="17"/>
      <c r="AA56" s="17"/>
      <c r="AB56" s="1028" t="s">
        <v>396</v>
      </c>
      <c r="AC56" s="1028"/>
      <c r="AD56" s="1028"/>
      <c r="AE56" s="1028"/>
      <c r="AF56" s="1028"/>
      <c r="AG56" s="1028"/>
      <c r="AH56" s="1028"/>
      <c r="AI56" s="1048"/>
      <c r="AJ56" s="1048"/>
      <c r="AK56" s="1048"/>
      <c r="AL56" s="1048"/>
      <c r="AM56" s="1048"/>
      <c r="AN56" s="1048"/>
      <c r="AO56" s="1048"/>
      <c r="AP56" s="1048"/>
      <c r="AQ56" s="1048"/>
      <c r="AR56" s="1048"/>
      <c r="AS56" s="1048"/>
      <c r="AT56" s="1048"/>
      <c r="AU56" s="1048"/>
      <c r="AV56" s="1048"/>
      <c r="AW56" s="1048"/>
      <c r="AX56" s="1048"/>
      <c r="AY56" s="1048"/>
      <c r="AZ56" s="1048"/>
      <c r="BA56" s="1048"/>
      <c r="BB56" s="1048"/>
      <c r="BC56" s="1048"/>
      <c r="BD56" s="17"/>
      <c r="BE56"/>
      <c r="BF56" s="659"/>
      <c r="BG56" s="659"/>
      <c r="BH56" s="659"/>
      <c r="BI56" s="452"/>
      <c r="BJ56" s="452"/>
    </row>
    <row r="57" spans="1:62" ht="39.6" customHeight="1">
      <c r="A57" s="17"/>
      <c r="B57" s="382"/>
      <c r="C57" s="59"/>
      <c r="D57" s="59"/>
      <c r="E57" s="460">
        <v>15</v>
      </c>
      <c r="F57" s="59"/>
      <c r="G57" s="59"/>
      <c r="H57" s="59"/>
      <c r="I57" s="59"/>
      <c r="J57" s="59"/>
      <c r="K57" s="59"/>
      <c r="L57" s="59"/>
      <c r="M57" s="59"/>
      <c r="N57" s="59"/>
      <c r="O57" s="59"/>
      <c r="P57" s="59"/>
      <c r="Q57" s="59"/>
      <c r="R57" s="59"/>
      <c r="S57" s="59"/>
      <c r="T57" s="59"/>
      <c r="U57" s="59"/>
      <c r="V57" s="59"/>
      <c r="W57" s="17"/>
      <c r="X57" s="17"/>
      <c r="Y57" s="17"/>
      <c r="Z57" s="17"/>
      <c r="AA57" s="87"/>
      <c r="AB57" s="1049" t="s">
        <v>1324</v>
      </c>
      <c r="AC57" s="1049"/>
      <c r="AD57" s="1049"/>
      <c r="AE57" s="1049"/>
      <c r="AF57" s="1049"/>
      <c r="AG57" s="1049"/>
      <c r="AH57" s="1049"/>
      <c r="AI57" s="1050"/>
      <c r="AJ57" s="1050"/>
      <c r="AK57" s="1050"/>
      <c r="AL57" s="1078"/>
      <c r="AM57" s="1078"/>
      <c r="AN57" s="1078"/>
      <c r="AO57" s="1078"/>
      <c r="AP57" s="1078"/>
      <c r="AQ57" s="1078"/>
      <c r="AR57" s="1078"/>
      <c r="AS57" s="1050"/>
      <c r="AT57" s="1050"/>
      <c r="AU57" s="1050"/>
      <c r="AV57" s="1078"/>
      <c r="AW57" s="1078"/>
      <c r="AX57" s="1078"/>
      <c r="AY57" s="1078"/>
      <c r="AZ57" s="1078"/>
      <c r="BA57" s="1078"/>
      <c r="BB57" s="1078"/>
      <c r="BC57" s="1050"/>
      <c r="BD57" s="17"/>
      <c r="BE57"/>
      <c r="BF57" s="659"/>
      <c r="BG57" s="659"/>
      <c r="BH57" s="659"/>
      <c r="BI57" s="452"/>
      <c r="BJ57" s="452"/>
    </row>
    <row r="58" spans="1:62" ht="14.65" hidden="1" customHeight="1">
      <c r="A58" s="17"/>
      <c r="B58" s="46"/>
      <c r="C58" s="17"/>
      <c r="D58" s="17"/>
      <c r="E58" s="459">
        <v>15</v>
      </c>
      <c r="F58" s="17"/>
      <c r="G58" s="17"/>
      <c r="H58" s="17"/>
      <c r="I58" s="17"/>
      <c r="J58" s="17"/>
      <c r="K58" s="17"/>
      <c r="L58" s="17"/>
      <c r="M58" s="17"/>
      <c r="N58" s="17"/>
      <c r="O58" s="17"/>
      <c r="P58" s="17"/>
      <c r="Q58" s="17"/>
      <c r="R58" s="17"/>
      <c r="S58" s="17"/>
      <c r="T58" s="351" t="b">
        <f t="shared" ref="T58:T74" si="5">ROW(W58)&gt;ROW(W$58)</f>
        <v>0</v>
      </c>
      <c r="U58" s="17"/>
      <c r="V58" s="17"/>
      <c r="W58" s="515" t="s">
        <v>171</v>
      </c>
      <c r="X58" s="17"/>
      <c r="Y58" s="17"/>
      <c r="Z58" s="17"/>
      <c r="AA58" s="319" t="s">
        <v>172</v>
      </c>
      <c r="AB58" s="1077" t="s">
        <v>124</v>
      </c>
      <c r="AC58" s="1077"/>
      <c r="AD58" s="1077"/>
      <c r="AE58" s="1077"/>
      <c r="AF58" s="1077"/>
      <c r="AG58" s="1077"/>
      <c r="AH58" s="1077"/>
      <c r="AI58" s="1050"/>
      <c r="AJ58" s="1050"/>
      <c r="AK58" s="1050"/>
      <c r="AL58" s="1078"/>
      <c r="AM58" s="1078"/>
      <c r="AN58" s="1078"/>
      <c r="AO58" s="1078"/>
      <c r="AP58" s="1078"/>
      <c r="AQ58" s="1078"/>
      <c r="AR58" s="1078"/>
      <c r="AS58" s="1050"/>
      <c r="AT58" s="1050"/>
      <c r="AU58" s="1050"/>
      <c r="AV58" s="1078"/>
      <c r="AW58" s="1078"/>
      <c r="AX58" s="1078"/>
      <c r="AY58" s="1078"/>
      <c r="AZ58" s="1078"/>
      <c r="BA58" s="1078"/>
      <c r="BB58" s="1078"/>
      <c r="BC58" s="1078"/>
      <c r="BD58" s="17"/>
      <c r="BE58"/>
      <c r="BF58" s="659"/>
      <c r="BG58" s="659"/>
      <c r="BH58" s="659"/>
      <c r="BI58" s="452"/>
      <c r="BJ58" s="452"/>
    </row>
    <row r="59" spans="1:62" ht="38.25" customHeight="1">
      <c r="A59" s="17"/>
      <c r="B59" s="46"/>
      <c r="C59" s="17"/>
      <c r="D59" s="17"/>
      <c r="E59" s="459">
        <v>15</v>
      </c>
      <c r="F59" s="17"/>
      <c r="G59" s="17"/>
      <c r="H59" s="17"/>
      <c r="I59" s="17"/>
      <c r="J59" s="17"/>
      <c r="K59" s="17"/>
      <c r="L59" s="17"/>
      <c r="M59" s="17"/>
      <c r="N59" s="17"/>
      <c r="O59" s="17"/>
      <c r="P59" s="17"/>
      <c r="Q59" s="17"/>
      <c r="R59" s="17"/>
      <c r="S59" s="17"/>
      <c r="T59" s="351" t="b">
        <f t="shared" si="5"/>
        <v>1</v>
      </c>
      <c r="U59" s="17"/>
      <c r="V59" s="17"/>
      <c r="W59" s="515"/>
      <c r="X59" s="17"/>
      <c r="Y59" s="17" t="s">
        <v>124</v>
      </c>
      <c r="Z59" s="17"/>
      <c r="AA59" s="319" t="s">
        <v>172</v>
      </c>
      <c r="AB59" s="1049" t="s">
        <v>1325</v>
      </c>
      <c r="AC59" s="1049"/>
      <c r="AD59" s="1049"/>
      <c r="AE59" s="1049"/>
      <c r="AF59" s="1049"/>
      <c r="AG59" s="1049"/>
      <c r="AH59" s="1049"/>
      <c r="AI59" s="1050"/>
      <c r="AJ59" s="1050"/>
      <c r="AK59" s="1050"/>
      <c r="AL59" s="1050"/>
      <c r="AM59" s="1050"/>
      <c r="AN59" s="1050"/>
      <c r="AO59" s="1050"/>
      <c r="AP59" s="1050"/>
      <c r="AQ59" s="1050"/>
      <c r="AR59" s="1050"/>
      <c r="AS59" s="1050"/>
      <c r="AT59" s="1050"/>
      <c r="AU59" s="1050"/>
      <c r="AV59" s="1050"/>
      <c r="AW59" s="1050"/>
      <c r="AX59" s="1050"/>
      <c r="AY59" s="1050"/>
      <c r="AZ59" s="1050"/>
      <c r="BA59" s="1050"/>
      <c r="BB59" s="1050"/>
      <c r="BC59" s="1050"/>
      <c r="BD59" s="17"/>
      <c r="BE59"/>
      <c r="BF59" s="659"/>
      <c r="BG59" s="659"/>
      <c r="BH59" s="659"/>
      <c r="BI59" s="452"/>
      <c r="BJ59" s="452"/>
    </row>
    <row r="60" spans="1:62" ht="24" customHeight="1">
      <c r="A60" s="17"/>
      <c r="B60" s="46"/>
      <c r="C60" s="17"/>
      <c r="D60" s="17"/>
      <c r="E60" s="459">
        <v>15</v>
      </c>
      <c r="F60" s="17"/>
      <c r="G60" s="17"/>
      <c r="H60" s="17"/>
      <c r="I60" s="17"/>
      <c r="J60" s="17"/>
      <c r="K60" s="17"/>
      <c r="L60" s="17"/>
      <c r="M60" s="17"/>
      <c r="N60" s="17"/>
      <c r="O60" s="17"/>
      <c r="P60" s="17"/>
      <c r="Q60" s="17"/>
      <c r="R60" s="17"/>
      <c r="S60" s="17"/>
      <c r="T60" s="351" t="b">
        <f t="shared" si="5"/>
        <v>1</v>
      </c>
      <c r="U60" s="17"/>
      <c r="V60" s="17"/>
      <c r="W60" s="515"/>
      <c r="X60" s="17"/>
      <c r="Y60" s="17" t="s">
        <v>124</v>
      </c>
      <c r="Z60" s="17"/>
      <c r="AA60" s="319" t="s">
        <v>172</v>
      </c>
      <c r="AB60" s="1049" t="s">
        <v>1326</v>
      </c>
      <c r="AC60" s="1049"/>
      <c r="AD60" s="1049"/>
      <c r="AE60" s="1049"/>
      <c r="AF60" s="1049"/>
      <c r="AG60" s="1049"/>
      <c r="AH60" s="1049"/>
      <c r="AI60" s="1050"/>
      <c r="AJ60" s="1050"/>
      <c r="AK60" s="1050"/>
      <c r="AL60" s="1050"/>
      <c r="AM60" s="1050"/>
      <c r="AN60" s="1050"/>
      <c r="AO60" s="1050"/>
      <c r="AP60" s="1050"/>
      <c r="AQ60" s="1050"/>
      <c r="AR60" s="1050"/>
      <c r="AS60" s="1050"/>
      <c r="AT60" s="1050"/>
      <c r="AU60" s="1050"/>
      <c r="AV60" s="1050"/>
      <c r="AW60" s="1050"/>
      <c r="AX60" s="1050"/>
      <c r="AY60" s="1050"/>
      <c r="AZ60" s="1050"/>
      <c r="BA60" s="1050"/>
      <c r="BB60" s="1050"/>
      <c r="BC60" s="1050"/>
      <c r="BD60" s="17"/>
      <c r="BE60"/>
      <c r="BF60" s="659"/>
      <c r="BG60" s="659"/>
      <c r="BH60" s="659"/>
      <c r="BI60" s="452"/>
      <c r="BJ60" s="452"/>
    </row>
    <row r="61" spans="1:62" ht="27.4" customHeight="1">
      <c r="A61" s="17"/>
      <c r="B61" s="46"/>
      <c r="C61" s="17"/>
      <c r="D61" s="17"/>
      <c r="E61" s="459">
        <v>15</v>
      </c>
      <c r="F61" s="17"/>
      <c r="G61" s="17"/>
      <c r="H61" s="17"/>
      <c r="I61" s="17"/>
      <c r="J61" s="17"/>
      <c r="K61" s="17"/>
      <c r="L61" s="17"/>
      <c r="M61" s="17"/>
      <c r="N61" s="17"/>
      <c r="O61" s="17"/>
      <c r="P61" s="17"/>
      <c r="Q61" s="17"/>
      <c r="R61" s="17"/>
      <c r="S61" s="17"/>
      <c r="T61" s="351" t="b">
        <f t="shared" si="5"/>
        <v>1</v>
      </c>
      <c r="U61" s="17"/>
      <c r="V61" s="17"/>
      <c r="W61" s="515"/>
      <c r="X61" s="17"/>
      <c r="Y61" s="17" t="s">
        <v>124</v>
      </c>
      <c r="Z61" s="17"/>
      <c r="AA61" s="319" t="s">
        <v>172</v>
      </c>
      <c r="AB61" s="1049" t="s">
        <v>1327</v>
      </c>
      <c r="AC61" s="1049"/>
      <c r="AD61" s="1049"/>
      <c r="AE61" s="1049"/>
      <c r="AF61" s="1049"/>
      <c r="AG61" s="1049"/>
      <c r="AH61" s="1049"/>
      <c r="AI61" s="1050"/>
      <c r="AJ61" s="1050"/>
      <c r="AK61" s="1050"/>
      <c r="AL61" s="1050"/>
      <c r="AM61" s="1050"/>
      <c r="AN61" s="1050"/>
      <c r="AO61" s="1050"/>
      <c r="AP61" s="1050"/>
      <c r="AQ61" s="1050"/>
      <c r="AR61" s="1050"/>
      <c r="AS61" s="1050"/>
      <c r="AT61" s="1050"/>
      <c r="AU61" s="1050"/>
      <c r="AV61" s="1050"/>
      <c r="AW61" s="1050"/>
      <c r="AX61" s="1050"/>
      <c r="AY61" s="1050"/>
      <c r="AZ61" s="1050"/>
      <c r="BA61" s="1050"/>
      <c r="BB61" s="1050"/>
      <c r="BC61" s="1050"/>
      <c r="BD61" s="17"/>
      <c r="BE61"/>
      <c r="BF61" s="659"/>
      <c r="BG61" s="659"/>
      <c r="BH61" s="659"/>
      <c r="BI61" s="452"/>
      <c r="BJ61" s="452"/>
    </row>
    <row r="62" spans="1:62" ht="34.15" customHeight="1">
      <c r="A62" s="17"/>
      <c r="B62" s="46"/>
      <c r="C62" s="17"/>
      <c r="D62" s="17"/>
      <c r="E62" s="459">
        <v>15</v>
      </c>
      <c r="F62" s="17"/>
      <c r="G62" s="17"/>
      <c r="H62" s="17"/>
      <c r="I62" s="17"/>
      <c r="J62" s="17"/>
      <c r="K62" s="17"/>
      <c r="L62" s="17"/>
      <c r="M62" s="17"/>
      <c r="N62" s="17"/>
      <c r="O62" s="17"/>
      <c r="P62" s="17"/>
      <c r="Q62" s="17"/>
      <c r="R62" s="17"/>
      <c r="S62" s="17"/>
      <c r="T62" s="351" t="b">
        <f t="shared" si="5"/>
        <v>1</v>
      </c>
      <c r="U62" s="17"/>
      <c r="V62" s="17"/>
      <c r="W62" s="515"/>
      <c r="X62" s="17"/>
      <c r="Y62" s="17" t="s">
        <v>124</v>
      </c>
      <c r="Z62" s="17"/>
      <c r="AA62" s="319" t="s">
        <v>172</v>
      </c>
      <c r="AB62" s="1049" t="s">
        <v>1328</v>
      </c>
      <c r="AC62" s="1049"/>
      <c r="AD62" s="1049"/>
      <c r="AE62" s="1049"/>
      <c r="AF62" s="1049"/>
      <c r="AG62" s="1049"/>
      <c r="AH62" s="1049"/>
      <c r="AI62" s="1050"/>
      <c r="AJ62" s="1050"/>
      <c r="AK62" s="1050"/>
      <c r="AL62" s="1050"/>
      <c r="AM62" s="1050"/>
      <c r="AN62" s="1050"/>
      <c r="AO62" s="1050"/>
      <c r="AP62" s="1050"/>
      <c r="AQ62" s="1050"/>
      <c r="AR62" s="1050"/>
      <c r="AS62" s="1050"/>
      <c r="AT62" s="1050"/>
      <c r="AU62" s="1050"/>
      <c r="AV62" s="1050"/>
      <c r="AW62" s="1050"/>
      <c r="AX62" s="1050"/>
      <c r="AY62" s="1050"/>
      <c r="AZ62" s="1050"/>
      <c r="BA62" s="1050"/>
      <c r="BB62" s="1050"/>
      <c r="BC62" s="1050"/>
      <c r="BD62" s="17"/>
      <c r="BE62"/>
      <c r="BF62" s="659"/>
      <c r="BG62" s="659"/>
      <c r="BH62" s="659"/>
      <c r="BI62" s="452"/>
      <c r="BJ62" s="452"/>
    </row>
    <row r="63" spans="1:62" ht="21.95" customHeight="1">
      <c r="A63" s="17"/>
      <c r="B63" s="46"/>
      <c r="C63" s="17"/>
      <c r="D63" s="17"/>
      <c r="E63" s="459">
        <v>15</v>
      </c>
      <c r="F63" s="17"/>
      <c r="G63" s="17"/>
      <c r="H63" s="17"/>
      <c r="I63" s="17"/>
      <c r="J63" s="17"/>
      <c r="K63" s="17"/>
      <c r="L63" s="17"/>
      <c r="M63" s="17"/>
      <c r="N63" s="17"/>
      <c r="O63" s="17"/>
      <c r="P63" s="17"/>
      <c r="Q63" s="17"/>
      <c r="R63" s="17"/>
      <c r="S63" s="17"/>
      <c r="T63" s="351" t="b">
        <f t="shared" si="5"/>
        <v>1</v>
      </c>
      <c r="U63" s="17"/>
      <c r="V63" s="17"/>
      <c r="W63" s="515"/>
      <c r="X63" s="17"/>
      <c r="Y63" s="17" t="s">
        <v>124</v>
      </c>
      <c r="Z63" s="17"/>
      <c r="AA63" s="319" t="s">
        <v>172</v>
      </c>
      <c r="AB63" s="1049" t="s">
        <v>1329</v>
      </c>
      <c r="AC63" s="1049"/>
      <c r="AD63" s="1049"/>
      <c r="AE63" s="1049"/>
      <c r="AF63" s="1049"/>
      <c r="AG63" s="1049"/>
      <c r="AH63" s="1049"/>
      <c r="AI63" s="1050"/>
      <c r="AJ63" s="1050"/>
      <c r="AK63" s="1050"/>
      <c r="AL63" s="1050"/>
      <c r="AM63" s="1050"/>
      <c r="AN63" s="1050"/>
      <c r="AO63" s="1050"/>
      <c r="AP63" s="1050"/>
      <c r="AQ63" s="1050"/>
      <c r="AR63" s="1050"/>
      <c r="AS63" s="1050"/>
      <c r="AT63" s="1050"/>
      <c r="AU63" s="1050"/>
      <c r="AV63" s="1050"/>
      <c r="AW63" s="1050"/>
      <c r="AX63" s="1050"/>
      <c r="AY63" s="1050"/>
      <c r="AZ63" s="1050"/>
      <c r="BA63" s="1050"/>
      <c r="BB63" s="1050"/>
      <c r="BC63" s="1050"/>
      <c r="BD63" s="17"/>
      <c r="BE63"/>
      <c r="BF63" s="659"/>
      <c r="BG63" s="659"/>
      <c r="BH63" s="659"/>
      <c r="BI63" s="452"/>
      <c r="BJ63" s="452"/>
    </row>
    <row r="64" spans="1:62" ht="21.95" customHeight="1">
      <c r="A64" s="17"/>
      <c r="B64" s="46"/>
      <c r="C64" s="17"/>
      <c r="D64" s="17"/>
      <c r="E64" s="459">
        <v>15</v>
      </c>
      <c r="F64" s="17"/>
      <c r="G64" s="17"/>
      <c r="H64" s="17"/>
      <c r="I64" s="17"/>
      <c r="J64" s="17"/>
      <c r="K64" s="17"/>
      <c r="L64" s="17"/>
      <c r="M64" s="17"/>
      <c r="N64" s="17"/>
      <c r="O64" s="17"/>
      <c r="P64" s="17"/>
      <c r="Q64" s="17"/>
      <c r="R64" s="17"/>
      <c r="S64" s="17"/>
      <c r="T64" s="351" t="b">
        <f t="shared" si="5"/>
        <v>1</v>
      </c>
      <c r="U64" s="17"/>
      <c r="V64" s="17"/>
      <c r="W64" s="515"/>
      <c r="X64" s="17"/>
      <c r="Y64" s="17" t="s">
        <v>124</v>
      </c>
      <c r="Z64" s="17"/>
      <c r="AA64" s="319" t="s">
        <v>172</v>
      </c>
      <c r="AB64" s="1049" t="s">
        <v>1330</v>
      </c>
      <c r="AC64" s="1049"/>
      <c r="AD64" s="1049"/>
      <c r="AE64" s="1049"/>
      <c r="AF64" s="1049"/>
      <c r="AG64" s="1049"/>
      <c r="AH64" s="1049"/>
      <c r="AI64" s="1050"/>
      <c r="AJ64" s="1050"/>
      <c r="AK64" s="1050"/>
      <c r="AL64" s="1050"/>
      <c r="AM64" s="1050"/>
      <c r="AN64" s="1050"/>
      <c r="AO64" s="1050"/>
      <c r="AP64" s="1050"/>
      <c r="AQ64" s="1050"/>
      <c r="AR64" s="1050"/>
      <c r="AS64" s="1050"/>
      <c r="AT64" s="1050"/>
      <c r="AU64" s="1050"/>
      <c r="AV64" s="1050"/>
      <c r="AW64" s="1050"/>
      <c r="AX64" s="1050"/>
      <c r="AY64" s="1050"/>
      <c r="AZ64" s="1050"/>
      <c r="BA64" s="1050"/>
      <c r="BB64" s="1050"/>
      <c r="BC64" s="1050"/>
      <c r="BD64" s="17"/>
      <c r="BE64"/>
      <c r="BF64" s="659"/>
      <c r="BG64" s="659"/>
      <c r="BH64" s="659"/>
      <c r="BI64" s="452"/>
      <c r="BJ64" s="452"/>
    </row>
    <row r="65" spans="1:62" ht="24.6" customHeight="1">
      <c r="A65" s="17"/>
      <c r="B65" s="46"/>
      <c r="C65" s="17"/>
      <c r="D65" s="17"/>
      <c r="E65" s="459">
        <v>15</v>
      </c>
      <c r="F65" s="17"/>
      <c r="G65" s="17"/>
      <c r="H65" s="17"/>
      <c r="I65" s="17"/>
      <c r="J65" s="17"/>
      <c r="K65" s="17"/>
      <c r="L65" s="17"/>
      <c r="M65" s="17"/>
      <c r="N65" s="17"/>
      <c r="O65" s="17"/>
      <c r="P65" s="17"/>
      <c r="Q65" s="17"/>
      <c r="R65" s="17"/>
      <c r="S65" s="17"/>
      <c r="T65" s="351" t="b">
        <f t="shared" si="5"/>
        <v>1</v>
      </c>
      <c r="U65" s="17"/>
      <c r="V65" s="17"/>
      <c r="W65" s="515"/>
      <c r="X65" s="17"/>
      <c r="Y65" s="17" t="s">
        <v>124</v>
      </c>
      <c r="Z65" s="17"/>
      <c r="AA65" s="319" t="s">
        <v>172</v>
      </c>
      <c r="AB65" s="1049" t="s">
        <v>1331</v>
      </c>
      <c r="AC65" s="1049"/>
      <c r="AD65" s="1049"/>
      <c r="AE65" s="1049"/>
      <c r="AF65" s="1049"/>
      <c r="AG65" s="1049"/>
      <c r="AH65" s="1049"/>
      <c r="AI65" s="1050"/>
      <c r="AJ65" s="1050"/>
      <c r="AK65" s="1050"/>
      <c r="AL65" s="1050"/>
      <c r="AM65" s="1050"/>
      <c r="AN65" s="1050"/>
      <c r="AO65" s="1050"/>
      <c r="AP65" s="1050"/>
      <c r="AQ65" s="1050"/>
      <c r="AR65" s="1050"/>
      <c r="AS65" s="1050"/>
      <c r="AT65" s="1050"/>
      <c r="AU65" s="1050"/>
      <c r="AV65" s="1050"/>
      <c r="AW65" s="1050"/>
      <c r="AX65" s="1050"/>
      <c r="AY65" s="1050"/>
      <c r="AZ65" s="1050"/>
      <c r="BA65" s="1050"/>
      <c r="BB65" s="1050"/>
      <c r="BC65" s="1050"/>
      <c r="BD65" s="17"/>
      <c r="BE65"/>
      <c r="BF65" s="659"/>
      <c r="BG65" s="659"/>
      <c r="BH65" s="659"/>
      <c r="BI65" s="452"/>
      <c r="BJ65" s="452"/>
    </row>
    <row r="66" spans="1:62" ht="33.6" customHeight="1">
      <c r="A66" s="17"/>
      <c r="B66" s="46"/>
      <c r="C66" s="17"/>
      <c r="D66" s="17"/>
      <c r="E66" s="459">
        <v>15</v>
      </c>
      <c r="F66" s="17"/>
      <c r="G66" s="17"/>
      <c r="H66" s="17"/>
      <c r="I66" s="17"/>
      <c r="J66" s="17"/>
      <c r="K66" s="17"/>
      <c r="L66" s="17"/>
      <c r="M66" s="17"/>
      <c r="N66" s="17"/>
      <c r="O66" s="17"/>
      <c r="P66" s="17"/>
      <c r="Q66" s="17"/>
      <c r="R66" s="17"/>
      <c r="S66" s="17"/>
      <c r="T66" s="351" t="b">
        <f t="shared" si="5"/>
        <v>1</v>
      </c>
      <c r="U66" s="17"/>
      <c r="V66" s="17"/>
      <c r="W66" s="515"/>
      <c r="X66" s="17"/>
      <c r="Y66" s="17" t="s">
        <v>124</v>
      </c>
      <c r="Z66" s="17"/>
      <c r="AA66" s="319" t="s">
        <v>172</v>
      </c>
      <c r="AB66" s="1049" t="s">
        <v>1332</v>
      </c>
      <c r="AC66" s="1049"/>
      <c r="AD66" s="1049"/>
      <c r="AE66" s="1049"/>
      <c r="AF66" s="1049"/>
      <c r="AG66" s="1049"/>
      <c r="AH66" s="1049"/>
      <c r="AI66" s="1050"/>
      <c r="AJ66" s="1050"/>
      <c r="AK66" s="1050"/>
      <c r="AL66" s="1050"/>
      <c r="AM66" s="1050"/>
      <c r="AN66" s="1050"/>
      <c r="AO66" s="1050"/>
      <c r="AP66" s="1050"/>
      <c r="AQ66" s="1050"/>
      <c r="AR66" s="1050"/>
      <c r="AS66" s="1050"/>
      <c r="AT66" s="1050"/>
      <c r="AU66" s="1050"/>
      <c r="AV66" s="1050"/>
      <c r="AW66" s="1050"/>
      <c r="AX66" s="1050"/>
      <c r="AY66" s="1050"/>
      <c r="AZ66" s="1050"/>
      <c r="BA66" s="1050"/>
      <c r="BB66" s="1050"/>
      <c r="BC66" s="1050"/>
      <c r="BD66" s="17"/>
      <c r="BE66"/>
      <c r="BF66" s="659"/>
      <c r="BG66" s="659"/>
      <c r="BH66" s="659"/>
      <c r="BI66" s="452"/>
      <c r="BJ66" s="452"/>
    </row>
    <row r="67" spans="1:62" ht="25.35" customHeight="1">
      <c r="A67" s="17"/>
      <c r="B67" s="46"/>
      <c r="C67" s="17"/>
      <c r="D67" s="17"/>
      <c r="E67" s="459">
        <v>15</v>
      </c>
      <c r="F67" s="17"/>
      <c r="G67" s="17"/>
      <c r="H67" s="17"/>
      <c r="I67" s="17"/>
      <c r="J67" s="17"/>
      <c r="K67" s="17"/>
      <c r="L67" s="17"/>
      <c r="M67" s="17"/>
      <c r="N67" s="17"/>
      <c r="O67" s="17"/>
      <c r="P67" s="17"/>
      <c r="Q67" s="17"/>
      <c r="R67" s="17"/>
      <c r="S67" s="17"/>
      <c r="T67" s="351" t="b">
        <f t="shared" si="5"/>
        <v>1</v>
      </c>
      <c r="U67" s="17"/>
      <c r="V67" s="17"/>
      <c r="W67" s="515"/>
      <c r="X67" s="17"/>
      <c r="Y67" s="17" t="s">
        <v>124</v>
      </c>
      <c r="Z67" s="17"/>
      <c r="AA67" s="319" t="s">
        <v>172</v>
      </c>
      <c r="AB67" s="1049" t="s">
        <v>1333</v>
      </c>
      <c r="AC67" s="1049"/>
      <c r="AD67" s="1049"/>
      <c r="AE67" s="1049"/>
      <c r="AF67" s="1049"/>
      <c r="AG67" s="1049"/>
      <c r="AH67" s="1049"/>
      <c r="AI67" s="1050"/>
      <c r="AJ67" s="1050"/>
      <c r="AK67" s="1050"/>
      <c r="AL67" s="1050"/>
      <c r="AM67" s="1050"/>
      <c r="AN67" s="1050"/>
      <c r="AO67" s="1050"/>
      <c r="AP67" s="1050"/>
      <c r="AQ67" s="1050"/>
      <c r="AR67" s="1050"/>
      <c r="AS67" s="1050"/>
      <c r="AT67" s="1050"/>
      <c r="AU67" s="1050"/>
      <c r="AV67" s="1050"/>
      <c r="AW67" s="1050"/>
      <c r="AX67" s="1050"/>
      <c r="AY67" s="1050"/>
      <c r="AZ67" s="1050"/>
      <c r="BA67" s="1050"/>
      <c r="BB67" s="1050"/>
      <c r="BC67" s="1050"/>
      <c r="BD67" s="17"/>
      <c r="BE67"/>
      <c r="BF67" s="659"/>
      <c r="BG67" s="659"/>
      <c r="BH67" s="659"/>
      <c r="BI67" s="452"/>
      <c r="BJ67" s="452"/>
    </row>
    <row r="68" spans="1:62" ht="39" customHeight="1">
      <c r="A68" s="17"/>
      <c r="B68" s="46"/>
      <c r="C68" s="17"/>
      <c r="D68" s="17"/>
      <c r="E68" s="459">
        <v>15</v>
      </c>
      <c r="F68" s="17"/>
      <c r="G68" s="17"/>
      <c r="H68" s="17"/>
      <c r="I68" s="17"/>
      <c r="J68" s="17"/>
      <c r="K68" s="17"/>
      <c r="L68" s="17"/>
      <c r="M68" s="17"/>
      <c r="N68" s="17"/>
      <c r="O68" s="17"/>
      <c r="P68" s="17"/>
      <c r="Q68" s="17"/>
      <c r="R68" s="17"/>
      <c r="S68" s="17"/>
      <c r="T68" s="351" t="b">
        <f t="shared" si="5"/>
        <v>1</v>
      </c>
      <c r="U68" s="17"/>
      <c r="V68" s="17"/>
      <c r="W68" s="515"/>
      <c r="X68" s="17"/>
      <c r="Y68" s="17" t="s">
        <v>124</v>
      </c>
      <c r="Z68" s="17"/>
      <c r="AA68" s="319" t="s">
        <v>172</v>
      </c>
      <c r="AB68" s="1049" t="s">
        <v>1334</v>
      </c>
      <c r="AC68" s="1049"/>
      <c r="AD68" s="1049"/>
      <c r="AE68" s="1049"/>
      <c r="AF68" s="1049"/>
      <c r="AG68" s="1049"/>
      <c r="AH68" s="1049"/>
      <c r="AI68" s="1050"/>
      <c r="AJ68" s="1050"/>
      <c r="AK68" s="1050"/>
      <c r="AL68" s="1050"/>
      <c r="AM68" s="1050"/>
      <c r="AN68" s="1050"/>
      <c r="AO68" s="1050"/>
      <c r="AP68" s="1050"/>
      <c r="AQ68" s="1050"/>
      <c r="AR68" s="1050"/>
      <c r="AS68" s="1050"/>
      <c r="AT68" s="1050"/>
      <c r="AU68" s="1050"/>
      <c r="AV68" s="1050"/>
      <c r="AW68" s="1050"/>
      <c r="AX68" s="1050"/>
      <c r="AY68" s="1050"/>
      <c r="AZ68" s="1050"/>
      <c r="BA68" s="1050"/>
      <c r="BB68" s="1050"/>
      <c r="BC68" s="1050"/>
      <c r="BD68" s="17"/>
      <c r="BE68"/>
      <c r="BF68" s="659"/>
      <c r="BG68" s="659"/>
      <c r="BH68" s="659"/>
      <c r="BI68" s="452"/>
      <c r="BJ68" s="452"/>
    </row>
    <row r="69" spans="1:62" ht="18.600000000000001" customHeight="1">
      <c r="A69" s="17"/>
      <c r="B69" s="46"/>
      <c r="C69" s="17"/>
      <c r="D69" s="17"/>
      <c r="E69" s="459">
        <v>15</v>
      </c>
      <c r="F69" s="17"/>
      <c r="G69" s="17"/>
      <c r="H69" s="17"/>
      <c r="I69" s="17"/>
      <c r="J69" s="17"/>
      <c r="K69" s="17"/>
      <c r="L69" s="17"/>
      <c r="M69" s="17"/>
      <c r="N69" s="17"/>
      <c r="O69" s="17"/>
      <c r="P69" s="17"/>
      <c r="Q69" s="17"/>
      <c r="R69" s="17"/>
      <c r="S69" s="17"/>
      <c r="T69" s="351" t="b">
        <f t="shared" si="5"/>
        <v>1</v>
      </c>
      <c r="U69" s="17"/>
      <c r="V69" s="17"/>
      <c r="W69" s="515"/>
      <c r="X69" s="17"/>
      <c r="Y69" s="17" t="s">
        <v>124</v>
      </c>
      <c r="Z69" s="17"/>
      <c r="AA69" s="319" t="s">
        <v>172</v>
      </c>
      <c r="AB69" s="1049" t="s">
        <v>1335</v>
      </c>
      <c r="AC69" s="1049"/>
      <c r="AD69" s="1049"/>
      <c r="AE69" s="1049"/>
      <c r="AF69" s="1049"/>
      <c r="AG69" s="1049"/>
      <c r="AH69" s="1049"/>
      <c r="AI69" s="1050"/>
      <c r="AJ69" s="1050"/>
      <c r="AK69" s="1050"/>
      <c r="AL69" s="1050"/>
      <c r="AM69" s="1050"/>
      <c r="AN69" s="1050"/>
      <c r="AO69" s="1050"/>
      <c r="AP69" s="1050"/>
      <c r="AQ69" s="1050"/>
      <c r="AR69" s="1050"/>
      <c r="AS69" s="1050"/>
      <c r="AT69" s="1050"/>
      <c r="AU69" s="1050"/>
      <c r="AV69" s="1050"/>
      <c r="AW69" s="1050"/>
      <c r="AX69" s="1050"/>
      <c r="AY69" s="1050"/>
      <c r="AZ69" s="1050"/>
      <c r="BA69" s="1050"/>
      <c r="BB69" s="1050"/>
      <c r="BC69" s="1050"/>
      <c r="BD69" s="17"/>
      <c r="BE69"/>
      <c r="BF69" s="659"/>
      <c r="BG69" s="659"/>
      <c r="BH69" s="659"/>
      <c r="BI69" s="452"/>
      <c r="BJ69" s="452"/>
    </row>
    <row r="70" spans="1:62" ht="24" customHeight="1">
      <c r="A70" s="17"/>
      <c r="B70" s="46"/>
      <c r="C70" s="17"/>
      <c r="D70" s="17"/>
      <c r="E70" s="459">
        <v>15</v>
      </c>
      <c r="F70" s="17"/>
      <c r="G70" s="17"/>
      <c r="H70" s="17"/>
      <c r="I70" s="17"/>
      <c r="J70" s="17"/>
      <c r="K70" s="17"/>
      <c r="L70" s="17"/>
      <c r="M70" s="17"/>
      <c r="N70" s="17"/>
      <c r="O70" s="17"/>
      <c r="P70" s="17"/>
      <c r="Q70" s="17"/>
      <c r="R70" s="17"/>
      <c r="S70" s="17"/>
      <c r="T70" s="351" t="b">
        <f t="shared" si="5"/>
        <v>1</v>
      </c>
      <c r="U70" s="17"/>
      <c r="V70" s="17"/>
      <c r="W70" s="515"/>
      <c r="X70" s="17"/>
      <c r="Y70" s="17" t="s">
        <v>124</v>
      </c>
      <c r="Z70" s="17"/>
      <c r="AA70" s="319" t="s">
        <v>172</v>
      </c>
      <c r="AB70" s="1049" t="s">
        <v>1336</v>
      </c>
      <c r="AC70" s="1049"/>
      <c r="AD70" s="1049"/>
      <c r="AE70" s="1049"/>
      <c r="AF70" s="1049"/>
      <c r="AG70" s="1049"/>
      <c r="AH70" s="1049"/>
      <c r="AI70" s="1050"/>
      <c r="AJ70" s="1050"/>
      <c r="AK70" s="1050"/>
      <c r="AL70" s="1050"/>
      <c r="AM70" s="1050"/>
      <c r="AN70" s="1050"/>
      <c r="AO70" s="1050"/>
      <c r="AP70" s="1050"/>
      <c r="AQ70" s="1050"/>
      <c r="AR70" s="1050"/>
      <c r="AS70" s="1050"/>
      <c r="AT70" s="1050"/>
      <c r="AU70" s="1050"/>
      <c r="AV70" s="1050"/>
      <c r="AW70" s="1050"/>
      <c r="AX70" s="1050"/>
      <c r="AY70" s="1050"/>
      <c r="AZ70" s="1050"/>
      <c r="BA70" s="1050"/>
      <c r="BB70" s="1050"/>
      <c r="BC70" s="1050"/>
      <c r="BD70" s="17"/>
      <c r="BE70"/>
      <c r="BF70" s="659"/>
      <c r="BG70" s="659"/>
      <c r="BH70" s="659"/>
      <c r="BI70" s="452"/>
      <c r="BJ70" s="452"/>
    </row>
    <row r="71" spans="1:62" ht="22.5" customHeight="1">
      <c r="A71" s="17"/>
      <c r="B71" s="46"/>
      <c r="C71" s="17"/>
      <c r="D71" s="17"/>
      <c r="E71" s="459">
        <v>15</v>
      </c>
      <c r="F71" s="17"/>
      <c r="G71" s="17"/>
      <c r="H71" s="17"/>
      <c r="I71" s="17"/>
      <c r="J71" s="17"/>
      <c r="K71" s="17"/>
      <c r="L71" s="17"/>
      <c r="M71" s="17"/>
      <c r="N71" s="17"/>
      <c r="O71" s="17"/>
      <c r="P71" s="17"/>
      <c r="Q71" s="17"/>
      <c r="R71" s="17"/>
      <c r="S71" s="17"/>
      <c r="T71" s="351" t="b">
        <f t="shared" si="5"/>
        <v>1</v>
      </c>
      <c r="U71" s="17"/>
      <c r="V71" s="17"/>
      <c r="W71" s="515"/>
      <c r="X71" s="17"/>
      <c r="Y71" s="17" t="s">
        <v>124</v>
      </c>
      <c r="Z71" s="17"/>
      <c r="AA71" s="319" t="s">
        <v>172</v>
      </c>
      <c r="AB71" s="1049" t="s">
        <v>1337</v>
      </c>
      <c r="AC71" s="1049"/>
      <c r="AD71" s="1049"/>
      <c r="AE71" s="1049"/>
      <c r="AF71" s="1049"/>
      <c r="AG71" s="1049"/>
      <c r="AH71" s="1049"/>
      <c r="AI71" s="1050"/>
      <c r="AJ71" s="1050"/>
      <c r="AK71" s="1050"/>
      <c r="AL71" s="1050"/>
      <c r="AM71" s="1050"/>
      <c r="AN71" s="1050"/>
      <c r="AO71" s="1050"/>
      <c r="AP71" s="1050"/>
      <c r="AQ71" s="1050"/>
      <c r="AR71" s="1050"/>
      <c r="AS71" s="1050"/>
      <c r="AT71" s="1050"/>
      <c r="AU71" s="1050"/>
      <c r="AV71" s="1050"/>
      <c r="AW71" s="1050"/>
      <c r="AX71" s="1050"/>
      <c r="AY71" s="1050"/>
      <c r="AZ71" s="1050"/>
      <c r="BA71" s="1050"/>
      <c r="BB71" s="1050"/>
      <c r="BC71" s="1050"/>
      <c r="BD71" s="17"/>
      <c r="BE71"/>
      <c r="BF71" s="659"/>
      <c r="BG71" s="659"/>
      <c r="BH71" s="659"/>
      <c r="BI71" s="452"/>
      <c r="BJ71" s="452"/>
    </row>
    <row r="72" spans="1:62" ht="24.6" customHeight="1">
      <c r="A72" s="17"/>
      <c r="B72" s="46"/>
      <c r="C72" s="17"/>
      <c r="D72" s="17"/>
      <c r="E72" s="459">
        <v>15</v>
      </c>
      <c r="F72" s="17"/>
      <c r="G72" s="17"/>
      <c r="H72" s="17"/>
      <c r="I72" s="17"/>
      <c r="J72" s="17"/>
      <c r="K72" s="17"/>
      <c r="L72" s="17"/>
      <c r="M72" s="17"/>
      <c r="N72" s="17"/>
      <c r="O72" s="17"/>
      <c r="P72" s="17"/>
      <c r="Q72" s="17"/>
      <c r="R72" s="17"/>
      <c r="S72" s="17"/>
      <c r="T72" s="351" t="b">
        <f t="shared" si="5"/>
        <v>1</v>
      </c>
      <c r="U72" s="17"/>
      <c r="V72" s="17"/>
      <c r="W72" s="515"/>
      <c r="X72" s="17"/>
      <c r="Y72" s="17" t="s">
        <v>124</v>
      </c>
      <c r="Z72" s="17"/>
      <c r="AA72" s="319" t="s">
        <v>172</v>
      </c>
      <c r="AB72" s="1049" t="s">
        <v>1338</v>
      </c>
      <c r="AC72" s="1049"/>
      <c r="AD72" s="1049"/>
      <c r="AE72" s="1049"/>
      <c r="AF72" s="1049"/>
      <c r="AG72" s="1049"/>
      <c r="AH72" s="1049"/>
      <c r="AI72" s="1050"/>
      <c r="AJ72" s="1050"/>
      <c r="AK72" s="1050"/>
      <c r="AL72" s="1050"/>
      <c r="AM72" s="1050"/>
      <c r="AN72" s="1050"/>
      <c r="AO72" s="1050"/>
      <c r="AP72" s="1050"/>
      <c r="AQ72" s="1050"/>
      <c r="AR72" s="1050"/>
      <c r="AS72" s="1050"/>
      <c r="AT72" s="1050"/>
      <c r="AU72" s="1050"/>
      <c r="AV72" s="1050"/>
      <c r="AW72" s="1050"/>
      <c r="AX72" s="1050"/>
      <c r="AY72" s="1050"/>
      <c r="AZ72" s="1050"/>
      <c r="BA72" s="1050"/>
      <c r="BB72" s="1050"/>
      <c r="BC72" s="1050"/>
      <c r="BD72" s="17"/>
      <c r="BE72"/>
      <c r="BF72" s="659"/>
      <c r="BG72" s="659"/>
      <c r="BH72" s="659"/>
      <c r="BI72" s="452"/>
      <c r="BJ72" s="452"/>
    </row>
    <row r="73" spans="1:62" ht="33.6" customHeight="1">
      <c r="A73" s="17"/>
      <c r="B73" s="46"/>
      <c r="C73" s="17"/>
      <c r="D73" s="17"/>
      <c r="E73" s="459">
        <v>15</v>
      </c>
      <c r="F73" s="17"/>
      <c r="G73" s="17"/>
      <c r="H73" s="17"/>
      <c r="I73" s="17"/>
      <c r="J73" s="17"/>
      <c r="K73" s="17"/>
      <c r="L73" s="17"/>
      <c r="M73" s="17"/>
      <c r="N73" s="17"/>
      <c r="O73" s="17"/>
      <c r="P73" s="17"/>
      <c r="Q73" s="17"/>
      <c r="R73" s="17"/>
      <c r="S73" s="17"/>
      <c r="T73" s="351" t="b">
        <f t="shared" si="5"/>
        <v>1</v>
      </c>
      <c r="U73" s="17"/>
      <c r="V73" s="17"/>
      <c r="W73" s="515"/>
      <c r="X73" s="17"/>
      <c r="Y73" s="17" t="s">
        <v>124</v>
      </c>
      <c r="Z73" s="17"/>
      <c r="AA73" s="319" t="s">
        <v>172</v>
      </c>
      <c r="AB73" s="1049" t="s">
        <v>1339</v>
      </c>
      <c r="AC73" s="1049"/>
      <c r="AD73" s="1049"/>
      <c r="AE73" s="1049"/>
      <c r="AF73" s="1049"/>
      <c r="AG73" s="1049"/>
      <c r="AH73" s="1049"/>
      <c r="AI73" s="1050"/>
      <c r="AJ73" s="1050"/>
      <c r="AK73" s="1050"/>
      <c r="AL73" s="1050"/>
      <c r="AM73" s="1050"/>
      <c r="AN73" s="1050"/>
      <c r="AO73" s="1050"/>
      <c r="AP73" s="1050"/>
      <c r="AQ73" s="1050"/>
      <c r="AR73" s="1050"/>
      <c r="AS73" s="1050"/>
      <c r="AT73" s="1050"/>
      <c r="AU73" s="1050"/>
      <c r="AV73" s="1050"/>
      <c r="AW73" s="1050"/>
      <c r="AX73" s="1050"/>
      <c r="AY73" s="1050"/>
      <c r="AZ73" s="1050"/>
      <c r="BA73" s="1050"/>
      <c r="BB73" s="1050"/>
      <c r="BC73" s="1050"/>
      <c r="BD73" s="17"/>
      <c r="BE73"/>
      <c r="BF73" s="659"/>
      <c r="BG73" s="659"/>
      <c r="BH73" s="659"/>
      <c r="BI73" s="452"/>
      <c r="BJ73" s="452"/>
    </row>
    <row r="74" spans="1:62" ht="23.25" customHeight="1">
      <c r="A74" s="17"/>
      <c r="B74" s="46"/>
      <c r="C74" s="17"/>
      <c r="D74" s="17"/>
      <c r="E74" s="459">
        <v>15</v>
      </c>
      <c r="F74" s="17"/>
      <c r="G74" s="17"/>
      <c r="H74" s="17"/>
      <c r="I74" s="17"/>
      <c r="J74" s="17"/>
      <c r="K74" s="17"/>
      <c r="L74" s="17"/>
      <c r="M74" s="17"/>
      <c r="N74" s="17"/>
      <c r="O74" s="17"/>
      <c r="P74" s="17"/>
      <c r="Q74" s="17"/>
      <c r="R74" s="17"/>
      <c r="S74" s="17"/>
      <c r="T74" s="351" t="b">
        <f t="shared" si="5"/>
        <v>1</v>
      </c>
      <c r="U74" s="17"/>
      <c r="V74" s="17"/>
      <c r="W74" s="515"/>
      <c r="X74" s="17"/>
      <c r="Y74" s="17" t="s">
        <v>124</v>
      </c>
      <c r="Z74" s="17"/>
      <c r="AA74" s="319" t="s">
        <v>172</v>
      </c>
      <c r="AB74" s="1049" t="s">
        <v>1340</v>
      </c>
      <c r="AC74" s="1049"/>
      <c r="AD74" s="1049"/>
      <c r="AE74" s="1049"/>
      <c r="AF74" s="1049"/>
      <c r="AG74" s="1049"/>
      <c r="AH74" s="1049"/>
      <c r="AI74" s="1050"/>
      <c r="AJ74" s="1050"/>
      <c r="AK74" s="1050"/>
      <c r="AL74" s="1050"/>
      <c r="AM74" s="1050"/>
      <c r="AN74" s="1050"/>
      <c r="AO74" s="1050"/>
      <c r="AP74" s="1050"/>
      <c r="AQ74" s="1050"/>
      <c r="AR74" s="1050"/>
      <c r="AS74" s="1050"/>
      <c r="AT74" s="1050"/>
      <c r="AU74" s="1050"/>
      <c r="AV74" s="1050"/>
      <c r="AW74" s="1050"/>
      <c r="AX74" s="1050"/>
      <c r="AY74" s="1050"/>
      <c r="AZ74" s="1050"/>
      <c r="BA74" s="1050"/>
      <c r="BB74" s="1050"/>
      <c r="BC74" s="1050"/>
      <c r="BD74" s="17"/>
      <c r="BE74"/>
      <c r="BF74" s="659"/>
      <c r="BG74" s="659"/>
      <c r="BH74" s="659"/>
      <c r="BI74" s="452"/>
      <c r="BJ74" s="452"/>
    </row>
    <row r="75" spans="1:62" ht="14.65" customHeight="1">
      <c r="A75" s="17"/>
      <c r="B75" s="46"/>
      <c r="C75" s="17"/>
      <c r="D75" s="17"/>
      <c r="E75" s="459">
        <v>15</v>
      </c>
      <c r="F75" s="17"/>
      <c r="G75" s="17"/>
      <c r="H75" s="17"/>
      <c r="I75" s="17"/>
      <c r="J75" s="17"/>
      <c r="K75" s="17"/>
      <c r="L75" s="17"/>
      <c r="M75" s="17"/>
      <c r="N75" s="17"/>
      <c r="O75" s="17"/>
      <c r="P75" s="17"/>
      <c r="Q75" s="17"/>
      <c r="R75" s="17"/>
      <c r="S75" s="17"/>
      <c r="T75" s="17"/>
      <c r="U75" s="17"/>
      <c r="V75" s="17"/>
      <c r="W75" s="515" t="s">
        <v>407</v>
      </c>
      <c r="X75" s="17"/>
      <c r="Y75" s="17"/>
      <c r="Z75" s="17"/>
      <c r="AA75" s="17"/>
      <c r="AB75" s="472"/>
      <c r="AC75" s="380" t="s">
        <v>1269</v>
      </c>
      <c r="AD75" s="217"/>
      <c r="AE75" s="217"/>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9"/>
      <c r="BD75" s="17"/>
      <c r="BE75"/>
      <c r="BF75" s="659"/>
      <c r="BG75" s="659"/>
      <c r="BH75" s="659"/>
      <c r="BI75" s="452"/>
      <c r="BJ75" s="452"/>
    </row>
    <row r="76" spans="1:62" ht="10.9" customHeight="1">
      <c r="E76" s="446">
        <v>11.25</v>
      </c>
      <c r="BD76" s="22"/>
      <c r="BE76"/>
      <c r="BF76" s="659"/>
      <c r="BG76" s="659"/>
      <c r="BH76" s="659"/>
      <c r="BI76" s="452"/>
      <c r="BJ76" s="452"/>
    </row>
  </sheetData>
  <sheetProtection formatColumns="0" formatRows="0" insertRows="0" deleteColumns="0" deleteRows="0" sort="0" autoFilter="0"/>
  <mergeCells count="27">
    <mergeCell ref="AB74:BC74"/>
    <mergeCell ref="AB69:BC69"/>
    <mergeCell ref="AB70:BC70"/>
    <mergeCell ref="AB71:BC71"/>
    <mergeCell ref="AB72:BC72"/>
    <mergeCell ref="AB73:BC73"/>
    <mergeCell ref="AB64:BC64"/>
    <mergeCell ref="AB65:BC65"/>
    <mergeCell ref="AB66:BC66"/>
    <mergeCell ref="AB67:BC67"/>
    <mergeCell ref="AB68:BC68"/>
    <mergeCell ref="AB59:BC59"/>
    <mergeCell ref="AB60:BC60"/>
    <mergeCell ref="AB61:BC61"/>
    <mergeCell ref="AB62:BC62"/>
    <mergeCell ref="AB63:BC63"/>
    <mergeCell ref="X27:X40"/>
    <mergeCell ref="Z27:Z40"/>
    <mergeCell ref="AB56:BC56"/>
    <mergeCell ref="AB57:BC57"/>
    <mergeCell ref="X41:X54"/>
    <mergeCell ref="Z41:Z54"/>
    <mergeCell ref="AB24:AB25"/>
    <mergeCell ref="AC24:AC25"/>
    <mergeCell ref="AD24:AD25"/>
    <mergeCell ref="BC24:BC25"/>
    <mergeCell ref="AB58:BC58"/>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xr:uid="{00000000-0002-0000-1500-000000000000}">
      <formula1>0</formula1>
      <formula2>9.99999999999999E+23</formula2>
    </dataValidation>
    <dataValidation allowBlank="1" showInputMessage="1" showErrorMessage="1" sqref="AI56:BC65527" xr:uid="{00000000-0002-0000-1500-000001000000}"/>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ACF8-E5F3-C227-74F6-8FC7410BEC98}">
  <sheetPr>
    <tabColor rgb="FF002060"/>
    <outlinePr summaryBelow="0" summaryRight="0"/>
    <pageSetUpPr fitToPage="1"/>
  </sheetPr>
  <dimension ref="A1:BH92"/>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4" style="38" customWidth="1"/>
    <col min="30" max="30" width="11.140625" style="38" customWidth="1"/>
    <col min="31" max="31" width="14.140625" style="38" customWidth="1"/>
    <col min="32" max="32" width="12.5703125" style="38" customWidth="1"/>
    <col min="33" max="33" width="14.28515625" style="38" customWidth="1"/>
    <col min="34" max="34" width="14.42578125" style="38" customWidth="1"/>
    <col min="35" max="35" width="14.28515625" style="38" customWidth="1"/>
    <col min="36" max="39" width="12.5703125" style="38" customWidth="1"/>
    <col min="40" max="46" width="12.5703125" style="38" hidden="1" customWidth="1"/>
    <col min="47" max="49" width="12.5703125" style="38" customWidth="1"/>
    <col min="50" max="56" width="12.5703125" style="38" hidden="1" customWidth="1"/>
    <col min="57" max="57" width="20" style="38" customWidth="1"/>
    <col min="58" max="58" width="3" style="38" customWidth="1"/>
    <col min="59" max="59" width="8.85546875" style="38" hidden="1"/>
    <col min="60" max="60" width="8.85546875" style="654" hidden="1"/>
  </cols>
  <sheetData>
    <row r="1" spans="1:60" ht="11.25" hidden="1" customHeight="1">
      <c r="E1" s="38"/>
      <c r="F1" s="38" t="s">
        <v>309</v>
      </c>
      <c r="H1" s="38" t="s">
        <v>320</v>
      </c>
      <c r="T1" s="351" t="s">
        <v>92</v>
      </c>
      <c r="U1" s="351" t="s">
        <v>97</v>
      </c>
      <c r="V1" s="351" t="s">
        <v>93</v>
      </c>
      <c r="W1" s="351" t="s">
        <v>94</v>
      </c>
      <c r="X1" s="351" t="s">
        <v>95</v>
      </c>
      <c r="Y1" s="353" t="s">
        <v>311</v>
      </c>
      <c r="Z1" s="351" t="s">
        <v>99</v>
      </c>
      <c r="AA1" s="352" t="s">
        <v>96</v>
      </c>
      <c r="AB1" s="352" t="s">
        <v>98</v>
      </c>
      <c r="AC1" s="352" t="s">
        <v>98</v>
      </c>
      <c r="BH1" s="654" t="s">
        <v>312</v>
      </c>
    </row>
    <row r="2" spans="1:60" s="43" customFormat="1" ht="11.25" hidden="1" customHeight="1">
      <c r="B2" s="341" t="s">
        <v>18</v>
      </c>
      <c r="AK2" s="341" t="b">
        <f t="shared" ref="AK2:BD2" si="0">AK6&lt;=last_year_vis</f>
        <v>1</v>
      </c>
      <c r="AL2" s="341" t="b">
        <f t="shared" si="0"/>
        <v>1</v>
      </c>
      <c r="AM2" s="341" t="b">
        <f t="shared" si="0"/>
        <v>1</v>
      </c>
      <c r="AN2" s="341" t="b">
        <f t="shared" si="0"/>
        <v>0</v>
      </c>
      <c r="AO2" s="341" t="b">
        <f t="shared" si="0"/>
        <v>0</v>
      </c>
      <c r="AP2" s="341" t="b">
        <f t="shared" si="0"/>
        <v>0</v>
      </c>
      <c r="AQ2" s="341" t="b">
        <f t="shared" si="0"/>
        <v>0</v>
      </c>
      <c r="AR2" s="341" t="b">
        <f t="shared" si="0"/>
        <v>0</v>
      </c>
      <c r="AS2" s="341" t="b">
        <f t="shared" si="0"/>
        <v>0</v>
      </c>
      <c r="AT2" s="341" t="b">
        <f t="shared" si="0"/>
        <v>0</v>
      </c>
      <c r="AU2" s="341" t="b">
        <f t="shared" si="0"/>
        <v>1</v>
      </c>
      <c r="AV2" s="341" t="b">
        <f t="shared" si="0"/>
        <v>1</v>
      </c>
      <c r="AW2" s="341" t="b">
        <f t="shared" si="0"/>
        <v>1</v>
      </c>
      <c r="AX2" s="341" t="b">
        <f t="shared" si="0"/>
        <v>0</v>
      </c>
      <c r="AY2" s="341" t="b">
        <f t="shared" si="0"/>
        <v>0</v>
      </c>
      <c r="AZ2" s="341" t="b">
        <f t="shared" si="0"/>
        <v>0</v>
      </c>
      <c r="BA2" s="341" t="b">
        <f t="shared" si="0"/>
        <v>0</v>
      </c>
      <c r="BB2" s="341" t="b">
        <f t="shared" si="0"/>
        <v>0</v>
      </c>
      <c r="BC2" s="341" t="b">
        <f t="shared" si="0"/>
        <v>0</v>
      </c>
      <c r="BD2" s="341" t="b">
        <f t="shared" si="0"/>
        <v>0</v>
      </c>
      <c r="BH2" s="663"/>
    </row>
    <row r="3" spans="1:60" ht="11.25" hidden="1" customHeight="1">
      <c r="E3" s="38"/>
    </row>
    <row r="4" spans="1:60" ht="11.25" hidden="1" customHeight="1">
      <c r="E4" s="38"/>
    </row>
    <row r="5" spans="1:60" s="446" customFormat="1" ht="11.25" hidden="1" customHeight="1">
      <c r="A5" s="38"/>
      <c r="B5" s="43"/>
      <c r="C5" s="38"/>
      <c r="D5" s="38"/>
      <c r="E5" s="446" t="s">
        <v>19</v>
      </c>
      <c r="AA5" s="446">
        <v>3</v>
      </c>
      <c r="AB5" s="446">
        <v>11</v>
      </c>
      <c r="AC5" s="446">
        <v>54</v>
      </c>
      <c r="AD5" s="446">
        <v>11.14</v>
      </c>
      <c r="AE5" s="446">
        <v>14.14</v>
      </c>
      <c r="AF5" s="446">
        <v>12.57</v>
      </c>
      <c r="AG5" s="446">
        <v>14.29</v>
      </c>
      <c r="AH5" s="446">
        <v>14.43</v>
      </c>
      <c r="AI5" s="446">
        <v>14.29</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12.57</v>
      </c>
      <c r="AZ5" s="446">
        <v>12.57</v>
      </c>
      <c r="BA5" s="446">
        <v>12.57</v>
      </c>
      <c r="BB5" s="446">
        <v>12.57</v>
      </c>
      <c r="BC5" s="446">
        <v>12.57</v>
      </c>
      <c r="BD5" s="446">
        <v>12.57</v>
      </c>
      <c r="BE5" s="446">
        <v>20</v>
      </c>
      <c r="BF5" s="446">
        <v>3</v>
      </c>
      <c r="BH5" s="654"/>
    </row>
    <row r="6" spans="1:60" ht="11.25" hidden="1" customHeight="1">
      <c r="A6" s="38" t="s">
        <v>349</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38" t="s">
        <v>350</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row r="9" spans="1:60" s="654" customFormat="1" ht="11.25" hidden="1" customHeight="1">
      <c r="A9" s="654" t="s">
        <v>354</v>
      </c>
      <c r="B9" s="663"/>
      <c r="AE9" s="654" cm="1">
        <f t="array" ref="AE9">AE6</f>
        <v>2024</v>
      </c>
      <c r="AF9" s="654" cm="1">
        <f t="array" ref="AF9">AF6</f>
        <v>2024</v>
      </c>
      <c r="AG9" s="654" cm="1">
        <f t="array" ref="AG9">AG6</f>
        <v>2024</v>
      </c>
      <c r="AH9" s="654" cm="1">
        <f t="array" ref="AH9">AH6</f>
        <v>2024</v>
      </c>
      <c r="AI9" s="654" cm="1">
        <f t="array" ref="AI9">AI6</f>
        <v>2025</v>
      </c>
      <c r="AJ9" s="654" cm="1">
        <f t="array" ref="AJ9">AJ6</f>
        <v>2025</v>
      </c>
      <c r="AK9" s="654" cm="1">
        <f t="array" ref="AK9">AK6</f>
        <v>2026</v>
      </c>
      <c r="AL9" s="654" cm="1">
        <f t="array" ref="AL9">AL6</f>
        <v>2027</v>
      </c>
      <c r="AM9" s="654" cm="1">
        <f t="array" ref="AM9">AM6</f>
        <v>2028</v>
      </c>
      <c r="AN9" s="654" cm="1">
        <f t="array" ref="AN9">AN6</f>
        <v>2029</v>
      </c>
      <c r="AO9" s="654" cm="1">
        <f t="array" ref="AO9">AO6</f>
        <v>2030</v>
      </c>
      <c r="AP9" s="654" cm="1">
        <f t="array" ref="AP9">AP6</f>
        <v>2031</v>
      </c>
      <c r="AQ9" s="654" cm="1">
        <f t="array" ref="AQ9">AQ6</f>
        <v>2032</v>
      </c>
      <c r="AR9" s="654" cm="1">
        <f t="array" ref="AR9">AR6</f>
        <v>2033</v>
      </c>
      <c r="AS9" s="654" cm="1">
        <f t="array" ref="AS9">AS6</f>
        <v>2034</v>
      </c>
      <c r="AT9" s="654" cm="1">
        <f t="array" ref="AT9">AT6</f>
        <v>2035</v>
      </c>
      <c r="AU9" s="654" cm="1">
        <f t="array" ref="AU9">AU6</f>
        <v>2026</v>
      </c>
      <c r="AV9" s="654" cm="1">
        <f t="array" ref="AV9">AV6</f>
        <v>2027</v>
      </c>
      <c r="AW9" s="654" cm="1">
        <f t="array" ref="AW9">AW6</f>
        <v>2028</v>
      </c>
      <c r="AX9" s="654" cm="1">
        <f t="array" ref="AX9">AX6</f>
        <v>2029</v>
      </c>
      <c r="AY9" s="654" cm="1">
        <f t="array" ref="AY9">AY6</f>
        <v>2030</v>
      </c>
      <c r="AZ9" s="654" cm="1">
        <f t="array" ref="AZ9">AZ6</f>
        <v>2031</v>
      </c>
      <c r="BA9" s="654" cm="1">
        <f t="array" ref="BA9">BA6</f>
        <v>2032</v>
      </c>
      <c r="BB9" s="654" cm="1">
        <f t="array" ref="BB9">BB6</f>
        <v>2033</v>
      </c>
      <c r="BC9" s="654" cm="1">
        <f t="array" ref="BC9">BC6</f>
        <v>2034</v>
      </c>
      <c r="BD9" s="654" cm="1">
        <f t="array" ref="BD9">BD6</f>
        <v>2035</v>
      </c>
    </row>
    <row r="10" spans="1:60" s="654" customFormat="1" ht="11.25" hidden="1" customHeight="1">
      <c r="A10" s="654" t="s">
        <v>355</v>
      </c>
      <c r="B10" s="663"/>
      <c r="AE10" s="654" t="str" cm="1">
        <f t="array" ref="AE10">AE27</f>
        <v>Плановый размер финансирования утвержденной инвестиционной программы</v>
      </c>
      <c r="AF10" s="654" t="str" cm="1">
        <f t="array" ref="AF10">AF27</f>
        <v>Принято органом регулирования</v>
      </c>
      <c r="AG10" s="654" t="str" cm="1">
        <f t="array" ref="AG10">AG27</f>
        <v>Объем фактического ввода объектов системы водоснабжения и водоотведения в эксплуатацию по данным организации</v>
      </c>
      <c r="AH10" s="654" t="str" cm="1">
        <f t="array" ref="AH10">AH27</f>
        <v>Объем фактического ввода объектов системы водоснабжения и водоотведения в эксплуатацию, принятый органом регулирования</v>
      </c>
      <c r="AI10" s="654" t="str" cm="1">
        <f t="array" ref="AI10">AI27</f>
        <v>Плановый размер финансирования утвержденной инвестиционной программы</v>
      </c>
      <c r="AJ10" s="654" t="str" cm="1">
        <f t="array" ref="AJ10">AJ27</f>
        <v>Принято органом регулирования</v>
      </c>
      <c r="AK10" s="654" t="str" cm="1">
        <f t="array" ref="AK10">AK27</f>
        <v>Предложение организации</v>
      </c>
      <c r="AL10" s="654" t="str" cm="1">
        <f t="array" ref="AL10">AL27</f>
        <v>Предложение организации</v>
      </c>
      <c r="AM10" s="654" t="str" cm="1">
        <f t="array" ref="AM10">AM27</f>
        <v>Предложение организации</v>
      </c>
      <c r="AN10" s="654" t="str" cm="1">
        <f t="array" ref="AN10">AN27</f>
        <v>Предложение организации</v>
      </c>
      <c r="AO10" s="654" t="str" cm="1">
        <f t="array" ref="AO10">AO27</f>
        <v>Предложение организации</v>
      </c>
      <c r="AP10" s="654" t="str" cm="1">
        <f t="array" ref="AP10">AP27</f>
        <v>Предложение организации</v>
      </c>
      <c r="AQ10" s="654" t="str" cm="1">
        <f t="array" ref="AQ10">AQ27</f>
        <v>Предложение организации</v>
      </c>
      <c r="AR10" s="654" t="str" cm="1">
        <f t="array" ref="AR10">AR27</f>
        <v>Предложение организации</v>
      </c>
      <c r="AS10" s="654" t="str" cm="1">
        <f t="array" ref="AS10">AS27</f>
        <v>Предложение организации</v>
      </c>
      <c r="AT10" s="654" t="str" cm="1">
        <f t="array" ref="AT10">AT27</f>
        <v>Предложение организации</v>
      </c>
      <c r="AU10" s="654" t="str" cm="1">
        <f t="array" ref="AU10">AU27</f>
        <v>Принято органом регулирования</v>
      </c>
      <c r="AV10" s="654" t="str" cm="1">
        <f t="array" ref="AV10">AV27</f>
        <v>Принято органом регулирования</v>
      </c>
      <c r="AW10" s="654" t="str" cm="1">
        <f t="array" ref="AW10">AW27</f>
        <v>Принято органом регулирования</v>
      </c>
      <c r="AX10" s="654" t="str" cm="1">
        <f t="array" ref="AX10">AX27</f>
        <v>Принято органом регулирования</v>
      </c>
      <c r="AY10" s="654" t="str" cm="1">
        <f t="array" ref="AY10">AY27</f>
        <v>Принято органом регулирования</v>
      </c>
      <c r="AZ10" s="654" t="str" cm="1">
        <f t="array" ref="AZ10">AZ27</f>
        <v>Принято органом регулирования</v>
      </c>
      <c r="BA10" s="654" t="str" cm="1">
        <f t="array" ref="BA10">BA27</f>
        <v>Принято органом регулирования</v>
      </c>
      <c r="BB10" s="654" t="str" cm="1">
        <f t="array" ref="BB10">BB27</f>
        <v>Принято органом регулирования</v>
      </c>
      <c r="BC10" s="654" t="str" cm="1">
        <f t="array" ref="BC10">BC27</f>
        <v>Принято органом регулирования</v>
      </c>
      <c r="BD10" s="654" t="str" cm="1">
        <f t="array" ref="BD10">BD27</f>
        <v>Принято органом регулирования</v>
      </c>
    </row>
    <row r="11" spans="1:60" s="654" customFormat="1" ht="11.25" hidden="1" customHeight="1">
      <c r="A11" s="654" t="s">
        <v>356</v>
      </c>
      <c r="B11" s="663"/>
      <c r="BE11" s="654"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446">
        <v>15</v>
      </c>
      <c r="AA21" s="324"/>
      <c r="AC21" s="3" t="str" cm="1">
        <f t="array" ref="AC21">tpl_title</f>
        <v>Кемеровская область / 2026 / МУП "Водоканал" (ИНН:4202043124, КПП:420201001) / ДПР: 2026-2028</v>
      </c>
    </row>
    <row r="22" spans="1:60" ht="19.5" customHeight="1">
      <c r="E22" s="446">
        <v>20</v>
      </c>
      <c r="AB22" s="225" t="s">
        <v>69</v>
      </c>
      <c r="AC22" s="149"/>
      <c r="AD22" s="149"/>
      <c r="AE22" s="149"/>
      <c r="AF22" s="149"/>
      <c r="AG22" s="149"/>
      <c r="AH22" s="149"/>
      <c r="AI22" s="149"/>
      <c r="AJ22" s="149"/>
      <c r="AK22" s="149"/>
      <c r="AL22" s="149"/>
      <c r="AM22" s="149"/>
      <c r="AN22" s="149"/>
      <c r="AO22" s="149"/>
      <c r="AP22" s="149"/>
      <c r="AQ22" s="149"/>
      <c r="AR22" s="149"/>
      <c r="AS22" s="149"/>
      <c r="AT22" s="149"/>
      <c r="AU22" s="149"/>
      <c r="AV22" s="150"/>
      <c r="AW22" s="150"/>
      <c r="AX22" s="150"/>
      <c r="AY22" s="150"/>
      <c r="AZ22" s="150"/>
      <c r="BA22" s="150"/>
      <c r="BB22" s="150"/>
      <c r="BC22" s="150"/>
      <c r="BD22" s="150"/>
      <c r="BE22" s="150"/>
    </row>
    <row r="23" spans="1:60" ht="10.9" customHeight="1">
      <c r="E23" s="446">
        <v>11.25</v>
      </c>
    </row>
    <row r="24" spans="1:60" ht="21.95" customHeight="1">
      <c r="E24" s="446">
        <v>22.5</v>
      </c>
      <c r="AB24" s="1097" t="s">
        <v>1341</v>
      </c>
      <c r="AC24" s="1097"/>
      <c r="AD24" s="251" t="str">
        <f>"нет"</f>
        <v>нет</v>
      </c>
    </row>
    <row r="25" spans="1:60" ht="10.9" customHeight="1">
      <c r="E25" s="446">
        <v>11.25</v>
      </c>
    </row>
    <row r="26" spans="1:60" ht="14.65" customHeight="1">
      <c r="E26" s="446">
        <v>15</v>
      </c>
      <c r="AB26" s="1025" t="s">
        <v>21</v>
      </c>
      <c r="AC26" s="1028" t="s">
        <v>1342</v>
      </c>
      <c r="AD26" s="1028" t="s">
        <v>359</v>
      </c>
      <c r="AE26" s="9" t="str">
        <f>god-2&amp;" год"</f>
        <v>2024 год</v>
      </c>
      <c r="AF26" s="9" t="str">
        <f>god-2&amp;" год"</f>
        <v>2024 год</v>
      </c>
      <c r="AG26" s="729" t="str">
        <f>god-2&amp;" год"</f>
        <v>2024 год</v>
      </c>
      <c r="AH26" s="9" t="str">
        <f>god-2&amp;" год"</f>
        <v>2024 год</v>
      </c>
      <c r="AI26" s="616" t="str">
        <f>god-1&amp;" год"</f>
        <v>2025 год</v>
      </c>
      <c r="AJ26" s="616" t="str">
        <f>god-1&amp;" год"</f>
        <v>2025 год</v>
      </c>
      <c r="AK26" s="725" t="str">
        <f>god&amp;" год"</f>
        <v>2026 год</v>
      </c>
      <c r="AL26" s="725" t="str">
        <f>god+1&amp;" год"</f>
        <v>2027 год</v>
      </c>
      <c r="AM26" s="725" t="str">
        <f>god+2&amp;" год"</f>
        <v>2028 год</v>
      </c>
      <c r="AN26" s="725" t="str">
        <f>god+3&amp;" год"</f>
        <v>2029 год</v>
      </c>
      <c r="AO26" s="725" t="str">
        <f>god+4&amp;" год"</f>
        <v>2030 год</v>
      </c>
      <c r="AP26" s="725" t="str">
        <f>god+5&amp;" год"</f>
        <v>2031 год</v>
      </c>
      <c r="AQ26" s="725" t="str">
        <f>god+6&amp;" год"</f>
        <v>2032 год</v>
      </c>
      <c r="AR26" s="725" t="str">
        <f>god+7&amp;" год"</f>
        <v>2033 год</v>
      </c>
      <c r="AS26" s="725" t="str">
        <f>god+8&amp;" год"</f>
        <v>2034 год</v>
      </c>
      <c r="AT26" s="725"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1028" t="s">
        <v>580</v>
      </c>
    </row>
    <row r="27" spans="1:60" s="62" customFormat="1" ht="122.85" customHeight="1">
      <c r="B27" s="325"/>
      <c r="E27" s="178">
        <v>126</v>
      </c>
      <c r="AB27" s="1025"/>
      <c r="AC27" s="1028"/>
      <c r="AD27" s="1028"/>
      <c r="AE27" s="9" t="s">
        <v>1343</v>
      </c>
      <c r="AF27" s="9" t="s">
        <v>351</v>
      </c>
      <c r="AG27" s="729" t="s">
        <v>1344</v>
      </c>
      <c r="AH27" s="9" t="s">
        <v>1345</v>
      </c>
      <c r="AI27" s="9" t="s">
        <v>1343</v>
      </c>
      <c r="AJ27" s="617" t="s">
        <v>351</v>
      </c>
      <c r="AK27" s="730" t="s">
        <v>352</v>
      </c>
      <c r="AL27" s="730" t="s">
        <v>352</v>
      </c>
      <c r="AM27" s="730" t="s">
        <v>352</v>
      </c>
      <c r="AN27" s="730" t="s">
        <v>352</v>
      </c>
      <c r="AO27" s="730" t="s">
        <v>352</v>
      </c>
      <c r="AP27" s="730" t="s">
        <v>352</v>
      </c>
      <c r="AQ27" s="730" t="s">
        <v>352</v>
      </c>
      <c r="AR27" s="730" t="s">
        <v>352</v>
      </c>
      <c r="AS27" s="730" t="s">
        <v>352</v>
      </c>
      <c r="AT27" s="730" t="s">
        <v>352</v>
      </c>
      <c r="AU27" s="582" t="s">
        <v>351</v>
      </c>
      <c r="AV27" s="582" t="s">
        <v>351</v>
      </c>
      <c r="AW27" s="582" t="s">
        <v>351</v>
      </c>
      <c r="AX27" s="582" t="s">
        <v>351</v>
      </c>
      <c r="AY27" s="582" t="s">
        <v>351</v>
      </c>
      <c r="AZ27" s="582" t="s">
        <v>351</v>
      </c>
      <c r="BA27" s="582" t="s">
        <v>351</v>
      </c>
      <c r="BB27" s="582" t="s">
        <v>351</v>
      </c>
      <c r="BC27" s="582" t="s">
        <v>351</v>
      </c>
      <c r="BD27" s="582" t="s">
        <v>351</v>
      </c>
      <c r="BE27" s="1028"/>
      <c r="BH27" s="676"/>
    </row>
    <row r="28" spans="1:60" ht="11.25" hidden="1" customHeight="1">
      <c r="A28" s="314"/>
      <c r="B28" s="477"/>
      <c r="C28" s="314"/>
      <c r="D28" s="314"/>
      <c r="E28" s="478">
        <v>0</v>
      </c>
      <c r="F28" s="314"/>
      <c r="G28" s="314"/>
      <c r="H28" s="314"/>
      <c r="I28" s="314"/>
      <c r="J28" s="314"/>
      <c r="K28" s="314"/>
      <c r="L28" s="314"/>
      <c r="M28" s="314"/>
      <c r="N28" s="314"/>
      <c r="O28" s="314"/>
      <c r="P28" s="314"/>
      <c r="Q28" s="314"/>
      <c r="R28" s="314"/>
      <c r="S28" s="314"/>
      <c r="T28" s="314"/>
      <c r="U28" s="314"/>
      <c r="V28" s="314"/>
      <c r="W28" s="314"/>
      <c r="X28" s="314"/>
      <c r="Y28" s="314"/>
      <c r="Z28" s="314"/>
      <c r="AA28"/>
      <c r="AB28"/>
      <c r="AC28" s="314"/>
      <c r="AD28" s="314"/>
      <c r="AE28" s="314"/>
      <c r="AF28" s="314"/>
      <c r="AG28"/>
      <c r="AH28"/>
      <c r="AI28"/>
      <c r="AJ28"/>
      <c r="AK28"/>
      <c r="AL28"/>
      <c r="AM28"/>
      <c r="AN28"/>
      <c r="AO28"/>
      <c r="AP28"/>
      <c r="AQ28"/>
      <c r="AR28"/>
      <c r="AS28"/>
      <c r="AT28"/>
      <c r="AU28"/>
      <c r="AV28"/>
      <c r="AW28"/>
      <c r="AX28"/>
      <c r="AY28"/>
      <c r="AZ28"/>
      <c r="BA28"/>
      <c r="BB28"/>
      <c r="BC28"/>
      <c r="BD28"/>
      <c r="BE28"/>
      <c r="BF28"/>
      <c r="BG28"/>
      <c r="BH28" s="659"/>
    </row>
    <row r="29" spans="1:60" ht="14.65" hidden="1" customHeight="1">
      <c r="B29" s="38"/>
      <c r="E29" s="446">
        <v>15</v>
      </c>
      <c r="F29" s="17" cm="1">
        <f t="array" ref="F29">X29</f>
        <v>0</v>
      </c>
      <c r="T29" s="351" t="b">
        <f>X29&gt;0</f>
        <v>0</v>
      </c>
      <c r="V29" s="38" t="s">
        <v>266</v>
      </c>
      <c r="X29" s="1024">
        <v>0</v>
      </c>
      <c r="Z29" s="1008"/>
      <c r="AB29" s="155" t="str" cm="1">
        <f t="array" ref="AB29">INDEX('Общие сведения'!$AG$179:$AG$208,MATCH($X29,'Общие сведения'!$Z$179:$Z$208,0))</f>
        <v xml:space="preserve">Тариф 0 () - </v>
      </c>
      <c r="AC29" s="560"/>
      <c r="AD29" s="560"/>
      <c r="AE29" s="560"/>
      <c r="AF29" s="560"/>
      <c r="AG29" s="560"/>
      <c r="AH29" s="560"/>
      <c r="AI29" s="560"/>
      <c r="AJ29" s="560"/>
      <c r="AK29" s="560"/>
      <c r="AL29" s="560"/>
      <c r="AM29" s="560"/>
      <c r="AN29" s="560"/>
      <c r="AO29" s="560"/>
      <c r="AP29" s="560"/>
      <c r="AQ29" s="560"/>
      <c r="AR29" s="560"/>
      <c r="AS29" s="560"/>
      <c r="AT29" s="560"/>
      <c r="AU29" s="560"/>
      <c r="AV29" s="560"/>
      <c r="AW29" s="560"/>
      <c r="AX29" s="560"/>
      <c r="AY29" s="560"/>
      <c r="AZ29" s="560"/>
      <c r="BA29" s="560"/>
      <c r="BB29" s="560"/>
      <c r="BC29" s="560"/>
      <c r="BD29" s="560"/>
      <c r="BE29" s="560"/>
    </row>
    <row r="30" spans="1:60" s="154" customFormat="1" ht="21.95" hidden="1" customHeight="1">
      <c r="B30" s="38"/>
      <c r="E30" s="499">
        <v>22.5</v>
      </c>
      <c r="F30" s="3" cm="1">
        <f t="array" aca="1" ref="F30" ca="1">OFFSET(E30,-1,1)</f>
        <v>0</v>
      </c>
      <c r="G30" s="38"/>
      <c r="H30" s="38" t="s">
        <v>321</v>
      </c>
      <c r="T30" s="351" t="b" cm="1">
        <f t="array" ref="T30">T29</f>
        <v>0</v>
      </c>
      <c r="X30" s="1024"/>
      <c r="Z30" s="1008"/>
      <c r="AB30" s="131">
        <v>1</v>
      </c>
      <c r="AC30" s="125" t="s">
        <v>1346</v>
      </c>
      <c r="AD30" s="124" t="s">
        <v>859</v>
      </c>
      <c r="AE30" s="126">
        <f t="shared" ref="AE30:BD30" si="1">AE31+AE41+AE45+AE49</f>
        <v>0</v>
      </c>
      <c r="AF30" s="126">
        <f t="shared" si="1"/>
        <v>0</v>
      </c>
      <c r="AG30" s="126">
        <f t="shared" si="1"/>
        <v>0</v>
      </c>
      <c r="AH30" s="126">
        <f t="shared" si="1"/>
        <v>0</v>
      </c>
      <c r="AI30" s="126">
        <f t="shared" si="1"/>
        <v>0</v>
      </c>
      <c r="AJ30" s="126">
        <f t="shared" si="1"/>
        <v>0</v>
      </c>
      <c r="AK30" s="126">
        <f t="shared" si="1"/>
        <v>0</v>
      </c>
      <c r="AL30" s="126">
        <f t="shared" si="1"/>
        <v>0</v>
      </c>
      <c r="AM30" s="126">
        <f t="shared" si="1"/>
        <v>0</v>
      </c>
      <c r="AN30" s="126">
        <f t="shared" si="1"/>
        <v>0</v>
      </c>
      <c r="AO30" s="126">
        <f t="shared" si="1"/>
        <v>0</v>
      </c>
      <c r="AP30" s="126">
        <f t="shared" si="1"/>
        <v>0</v>
      </c>
      <c r="AQ30" s="126">
        <f t="shared" si="1"/>
        <v>0</v>
      </c>
      <c r="AR30" s="126">
        <f t="shared" si="1"/>
        <v>0</v>
      </c>
      <c r="AS30" s="126">
        <f t="shared" si="1"/>
        <v>0</v>
      </c>
      <c r="AT30" s="126">
        <f t="shared" si="1"/>
        <v>0</v>
      </c>
      <c r="AU30" s="126">
        <f t="shared" si="1"/>
        <v>0</v>
      </c>
      <c r="AV30" s="126">
        <f t="shared" si="1"/>
        <v>0</v>
      </c>
      <c r="AW30" s="126">
        <f t="shared" si="1"/>
        <v>0</v>
      </c>
      <c r="AX30" s="126">
        <f t="shared" si="1"/>
        <v>0</v>
      </c>
      <c r="AY30" s="126">
        <f t="shared" si="1"/>
        <v>0</v>
      </c>
      <c r="AZ30" s="126">
        <f t="shared" si="1"/>
        <v>0</v>
      </c>
      <c r="BA30" s="126">
        <f t="shared" si="1"/>
        <v>0</v>
      </c>
      <c r="BB30" s="126">
        <f t="shared" si="1"/>
        <v>0</v>
      </c>
      <c r="BC30" s="126">
        <f t="shared" si="1"/>
        <v>0</v>
      </c>
      <c r="BD30" s="126">
        <f t="shared" si="1"/>
        <v>0</v>
      </c>
      <c r="BE30" s="774"/>
      <c r="BH30" s="686" t="s">
        <v>1347</v>
      </c>
    </row>
    <row r="31" spans="1:60" ht="14.65" hidden="1" customHeight="1">
      <c r="B31" s="38"/>
      <c r="E31" s="446">
        <v>15</v>
      </c>
      <c r="F31" s="3" cm="1">
        <f t="array" aca="1" ref="F31" ca="1">OFFSET(E31,-1,1)</f>
        <v>0</v>
      </c>
      <c r="H31" s="38" t="s">
        <v>507</v>
      </c>
      <c r="T31" s="351" t="b" cm="1">
        <f t="array" ref="T31">T30</f>
        <v>0</v>
      </c>
      <c r="X31" s="1024"/>
      <c r="Z31" s="1008"/>
      <c r="AB31" s="133" t="s">
        <v>936</v>
      </c>
      <c r="AC31" s="127" t="s">
        <v>1348</v>
      </c>
      <c r="AD31" s="7" t="s">
        <v>859</v>
      </c>
      <c r="AE31" s="170">
        <f t="shared" ref="AE31:BD31" si="2">AE32+AE33+AE34+AE35+AE36</f>
        <v>0</v>
      </c>
      <c r="AF31" s="170">
        <f t="shared" si="2"/>
        <v>0</v>
      </c>
      <c r="AG31" s="170">
        <f t="shared" si="2"/>
        <v>0</v>
      </c>
      <c r="AH31" s="170">
        <f t="shared" si="2"/>
        <v>0</v>
      </c>
      <c r="AI31" s="170">
        <f t="shared" si="2"/>
        <v>0</v>
      </c>
      <c r="AJ31" s="170">
        <f t="shared" si="2"/>
        <v>0</v>
      </c>
      <c r="AK31" s="170">
        <f t="shared" si="2"/>
        <v>0</v>
      </c>
      <c r="AL31" s="170">
        <f t="shared" si="2"/>
        <v>0</v>
      </c>
      <c r="AM31" s="170">
        <f t="shared" si="2"/>
        <v>0</v>
      </c>
      <c r="AN31" s="170">
        <f t="shared" si="2"/>
        <v>0</v>
      </c>
      <c r="AO31" s="170">
        <f t="shared" si="2"/>
        <v>0</v>
      </c>
      <c r="AP31" s="170">
        <f t="shared" si="2"/>
        <v>0</v>
      </c>
      <c r="AQ31" s="170">
        <f t="shared" si="2"/>
        <v>0</v>
      </c>
      <c r="AR31" s="170">
        <f t="shared" si="2"/>
        <v>0</v>
      </c>
      <c r="AS31" s="170">
        <f t="shared" si="2"/>
        <v>0</v>
      </c>
      <c r="AT31" s="170">
        <f t="shared" si="2"/>
        <v>0</v>
      </c>
      <c r="AU31" s="170">
        <f t="shared" si="2"/>
        <v>0</v>
      </c>
      <c r="AV31" s="170">
        <f t="shared" si="2"/>
        <v>0</v>
      </c>
      <c r="AW31" s="170">
        <f t="shared" si="2"/>
        <v>0</v>
      </c>
      <c r="AX31" s="170">
        <f t="shared" si="2"/>
        <v>0</v>
      </c>
      <c r="AY31" s="170">
        <f t="shared" si="2"/>
        <v>0</v>
      </c>
      <c r="AZ31" s="170">
        <f t="shared" si="2"/>
        <v>0</v>
      </c>
      <c r="BA31" s="170">
        <f t="shared" si="2"/>
        <v>0</v>
      </c>
      <c r="BB31" s="170">
        <f t="shared" si="2"/>
        <v>0</v>
      </c>
      <c r="BC31" s="170">
        <f t="shared" si="2"/>
        <v>0</v>
      </c>
      <c r="BD31" s="170">
        <f t="shared" si="2"/>
        <v>0</v>
      </c>
      <c r="BE31" s="774"/>
      <c r="BH31" s="654" t="s">
        <v>1349</v>
      </c>
    </row>
    <row r="32" spans="1:60" ht="14.65" hidden="1" customHeight="1">
      <c r="B32" s="38"/>
      <c r="E32" s="446">
        <v>15</v>
      </c>
      <c r="F32" s="3" cm="1">
        <f t="array" aca="1" ref="F32" ca="1">OFFSET(E32,-1,1)</f>
        <v>0</v>
      </c>
      <c r="H32" s="38" t="s">
        <v>1040</v>
      </c>
      <c r="T32" s="351" t="b" cm="1">
        <f t="array" ref="T32">T31</f>
        <v>0</v>
      </c>
      <c r="X32" s="1024"/>
      <c r="Z32" s="1008"/>
      <c r="AB32" s="133" t="s">
        <v>1041</v>
      </c>
      <c r="AC32" s="134" t="s">
        <v>1350</v>
      </c>
      <c r="AD32" s="7" t="s">
        <v>859</v>
      </c>
      <c r="AE32" s="777"/>
      <c r="AF32" s="777"/>
      <c r="AG32" s="777"/>
      <c r="AH32" s="777"/>
      <c r="AI32" s="777"/>
      <c r="AJ32" s="777"/>
      <c r="AK32" s="128"/>
      <c r="AL32" s="128"/>
      <c r="AM32" s="128"/>
      <c r="AN32" s="777"/>
      <c r="AO32" s="777"/>
      <c r="AP32" s="777"/>
      <c r="AQ32" s="777"/>
      <c r="AR32" s="777"/>
      <c r="AS32" s="777"/>
      <c r="AT32" s="777"/>
      <c r="AU32" s="128"/>
      <c r="AV32" s="128"/>
      <c r="AW32" s="128"/>
      <c r="AX32" s="777"/>
      <c r="AY32" s="777"/>
      <c r="AZ32" s="777"/>
      <c r="BA32" s="777"/>
      <c r="BB32" s="777"/>
      <c r="BC32" s="777"/>
      <c r="BD32" s="777"/>
      <c r="BE32" s="774"/>
      <c r="BH32" s="654" t="s">
        <v>1242</v>
      </c>
    </row>
    <row r="33" spans="2:60" ht="14.65" hidden="1" customHeight="1">
      <c r="B33" s="38"/>
      <c r="E33" s="446">
        <v>15</v>
      </c>
      <c r="F33" s="3" cm="1">
        <f t="array" aca="1" ref="F33" ca="1">OFFSET(E33,-1,1)</f>
        <v>0</v>
      </c>
      <c r="H33" s="38" t="s">
        <v>1044</v>
      </c>
      <c r="K33" s="40" t="str">
        <f ca="1">F33&amp;"1komm"</f>
        <v>01komm</v>
      </c>
      <c r="L33" s="607" cm="1">
        <f t="array" ref="L33">BE33</f>
        <v>0</v>
      </c>
      <c r="T33" s="351" t="b" cm="1">
        <f t="array" ref="T33">T32</f>
        <v>0</v>
      </c>
      <c r="X33" s="1024"/>
      <c r="Z33" s="1008"/>
      <c r="AB33" s="133" t="s">
        <v>1045</v>
      </c>
      <c r="AC33" s="134" t="s">
        <v>1351</v>
      </c>
      <c r="AD33" s="7" t="s">
        <v>859</v>
      </c>
      <c r="AE33" s="777"/>
      <c r="AF33" s="777"/>
      <c r="AG33" s="777"/>
      <c r="AH33" s="777"/>
      <c r="AI33" s="777"/>
      <c r="AJ33" s="777"/>
      <c r="AK33" s="128"/>
      <c r="AL33" s="128"/>
      <c r="AM33" s="128"/>
      <c r="AN33" s="777"/>
      <c r="AO33" s="777"/>
      <c r="AP33" s="777"/>
      <c r="AQ33" s="777"/>
      <c r="AR33" s="777"/>
      <c r="AS33" s="777"/>
      <c r="AT33" s="777"/>
      <c r="AU33" s="128"/>
      <c r="AV33" s="128"/>
      <c r="AW33" s="128"/>
      <c r="AX33" s="777"/>
      <c r="AY33" s="777"/>
      <c r="AZ33" s="777"/>
      <c r="BA33" s="777"/>
      <c r="BB33" s="777"/>
      <c r="BC33" s="777"/>
      <c r="BD33" s="777"/>
      <c r="BE33" s="774"/>
      <c r="BH33" s="654" t="s">
        <v>1352</v>
      </c>
    </row>
    <row r="34" spans="2:60" ht="14.65" hidden="1" customHeight="1">
      <c r="B34" s="38"/>
      <c r="E34" s="446">
        <v>15</v>
      </c>
      <c r="F34" s="3" cm="1">
        <f t="array" aca="1" ref="F34" ca="1">OFFSET(E34,-1,1)</f>
        <v>0</v>
      </c>
      <c r="H34" s="38" t="s">
        <v>1353</v>
      </c>
      <c r="T34" s="351" t="b" cm="1">
        <f t="array" ref="T34">T33</f>
        <v>0</v>
      </c>
      <c r="X34" s="1024"/>
      <c r="Z34" s="1008"/>
      <c r="AB34" s="133" t="s">
        <v>1354</v>
      </c>
      <c r="AC34" s="134" t="s">
        <v>1355</v>
      </c>
      <c r="AD34" s="7" t="s">
        <v>859</v>
      </c>
      <c r="AE34" s="777"/>
      <c r="AF34" s="777"/>
      <c r="AG34" s="777"/>
      <c r="AH34" s="777"/>
      <c r="AI34" s="777"/>
      <c r="AJ34" s="777"/>
      <c r="AK34" s="128"/>
      <c r="AL34" s="128"/>
      <c r="AM34" s="128"/>
      <c r="AN34" s="777"/>
      <c r="AO34" s="777"/>
      <c r="AP34" s="777"/>
      <c r="AQ34" s="777"/>
      <c r="AR34" s="777"/>
      <c r="AS34" s="777"/>
      <c r="AT34" s="777"/>
      <c r="AU34" s="128"/>
      <c r="AV34" s="128"/>
      <c r="AW34" s="128"/>
      <c r="AX34" s="777"/>
      <c r="AY34" s="777"/>
      <c r="AZ34" s="777"/>
      <c r="BA34" s="777"/>
      <c r="BB34" s="777"/>
      <c r="BC34" s="777"/>
      <c r="BD34" s="777"/>
      <c r="BE34" s="774"/>
      <c r="BH34" s="654" t="s">
        <v>1356</v>
      </c>
    </row>
    <row r="35" spans="2:60" ht="14.65" hidden="1" customHeight="1">
      <c r="B35" s="38"/>
      <c r="E35" s="446">
        <v>15</v>
      </c>
      <c r="F35" s="3" cm="1">
        <f t="array" aca="1" ref="F35" ca="1">OFFSET(E35,-1,1)</f>
        <v>0</v>
      </c>
      <c r="H35" s="38" t="s">
        <v>1357</v>
      </c>
      <c r="T35" s="351" t="b" cm="1">
        <f t="array" ref="T35">T34</f>
        <v>0</v>
      </c>
      <c r="X35" s="1024"/>
      <c r="Z35" s="1008"/>
      <c r="AB35" s="133" t="s">
        <v>1358</v>
      </c>
      <c r="AC35" s="134" t="s">
        <v>1359</v>
      </c>
      <c r="AD35" s="7" t="s">
        <v>859</v>
      </c>
      <c r="AE35" s="777"/>
      <c r="AF35" s="777"/>
      <c r="AG35" s="777"/>
      <c r="AH35" s="777"/>
      <c r="AI35" s="777"/>
      <c r="AJ35" s="777"/>
      <c r="AK35" s="128"/>
      <c r="AL35" s="128"/>
      <c r="AM35" s="128"/>
      <c r="AN35" s="777"/>
      <c r="AO35" s="777"/>
      <c r="AP35" s="777"/>
      <c r="AQ35" s="777"/>
      <c r="AR35" s="777"/>
      <c r="AS35" s="777"/>
      <c r="AT35" s="777"/>
      <c r="AU35" s="128"/>
      <c r="AV35" s="128"/>
      <c r="AW35" s="128"/>
      <c r="AX35" s="777"/>
      <c r="AY35" s="777"/>
      <c r="AZ35" s="777"/>
      <c r="BA35" s="777"/>
      <c r="BB35" s="777"/>
      <c r="BC35" s="777"/>
      <c r="BD35" s="777"/>
      <c r="BE35" s="774"/>
      <c r="BH35" s="654" t="s">
        <v>1360</v>
      </c>
    </row>
    <row r="36" spans="2:60" ht="21.95" hidden="1" customHeight="1">
      <c r="B36" s="38"/>
      <c r="E36" s="446">
        <v>22.5</v>
      </c>
      <c r="F36" s="3" cm="1">
        <f t="array" aca="1" ref="F36" ca="1">OFFSET(E36,-1,1)</f>
        <v>0</v>
      </c>
      <c r="T36" s="351" t="b" cm="1">
        <f t="array" ref="T36">T35</f>
        <v>0</v>
      </c>
      <c r="X36" s="1024"/>
      <c r="Z36" s="1008"/>
      <c r="AB36" s="133" t="s">
        <v>1361</v>
      </c>
      <c r="AC36" s="134" t="s">
        <v>1362</v>
      </c>
      <c r="AD36" s="7" t="s">
        <v>859</v>
      </c>
      <c r="AE36" s="777">
        <f t="shared" ref="AE36:BD36" si="3">AE37+AE38+AE39+AE40</f>
        <v>0</v>
      </c>
      <c r="AF36" s="777">
        <f t="shared" si="3"/>
        <v>0</v>
      </c>
      <c r="AG36" s="777">
        <f t="shared" si="3"/>
        <v>0</v>
      </c>
      <c r="AH36" s="777">
        <f t="shared" si="3"/>
        <v>0</v>
      </c>
      <c r="AI36" s="777">
        <f t="shared" si="3"/>
        <v>0</v>
      </c>
      <c r="AJ36" s="777">
        <f t="shared" si="3"/>
        <v>0</v>
      </c>
      <c r="AK36" s="128">
        <f t="shared" si="3"/>
        <v>0</v>
      </c>
      <c r="AL36" s="128">
        <f t="shared" si="3"/>
        <v>0</v>
      </c>
      <c r="AM36" s="128">
        <f t="shared" si="3"/>
        <v>0</v>
      </c>
      <c r="AN36" s="777">
        <f t="shared" si="3"/>
        <v>0</v>
      </c>
      <c r="AO36" s="777">
        <f t="shared" si="3"/>
        <v>0</v>
      </c>
      <c r="AP36" s="777">
        <f t="shared" si="3"/>
        <v>0</v>
      </c>
      <c r="AQ36" s="777">
        <f t="shared" si="3"/>
        <v>0</v>
      </c>
      <c r="AR36" s="777">
        <f t="shared" si="3"/>
        <v>0</v>
      </c>
      <c r="AS36" s="777">
        <f t="shared" si="3"/>
        <v>0</v>
      </c>
      <c r="AT36" s="777">
        <f t="shared" si="3"/>
        <v>0</v>
      </c>
      <c r="AU36" s="128">
        <f t="shared" si="3"/>
        <v>0</v>
      </c>
      <c r="AV36" s="128">
        <f t="shared" si="3"/>
        <v>0</v>
      </c>
      <c r="AW36" s="128">
        <f t="shared" si="3"/>
        <v>0</v>
      </c>
      <c r="AX36" s="777">
        <f t="shared" si="3"/>
        <v>0</v>
      </c>
      <c r="AY36" s="777">
        <f t="shared" si="3"/>
        <v>0</v>
      </c>
      <c r="AZ36" s="777">
        <f t="shared" si="3"/>
        <v>0</v>
      </c>
      <c r="BA36" s="777">
        <f t="shared" si="3"/>
        <v>0</v>
      </c>
      <c r="BB36" s="777">
        <f t="shared" si="3"/>
        <v>0</v>
      </c>
      <c r="BC36" s="777">
        <f t="shared" si="3"/>
        <v>0</v>
      </c>
      <c r="BD36" s="777">
        <f t="shared" si="3"/>
        <v>0</v>
      </c>
      <c r="BE36" s="774"/>
      <c r="BH36" s="654" t="s">
        <v>1363</v>
      </c>
    </row>
    <row r="37" spans="2:60" ht="44.65" hidden="1" customHeight="1">
      <c r="B37" s="38"/>
      <c r="E37" s="446">
        <v>45.75</v>
      </c>
      <c r="F37" s="3" cm="1">
        <f t="array" aca="1" ref="F37" ca="1">OFFSET(E37,-1,1)</f>
        <v>0</v>
      </c>
      <c r="T37" s="351" t="b" cm="1">
        <f t="array" ref="T37">T36</f>
        <v>0</v>
      </c>
      <c r="X37" s="1024"/>
      <c r="Z37" s="1008"/>
      <c r="AB37" s="133" t="s">
        <v>1364</v>
      </c>
      <c r="AC37" s="541" t="s">
        <v>1365</v>
      </c>
      <c r="AD37" s="7" t="s">
        <v>859</v>
      </c>
      <c r="AE37" s="777"/>
      <c r="AF37" s="777"/>
      <c r="AG37" s="777"/>
      <c r="AH37" s="777"/>
      <c r="AI37" s="777"/>
      <c r="AJ37" s="777"/>
      <c r="AK37" s="128"/>
      <c r="AL37" s="128"/>
      <c r="AM37" s="128"/>
      <c r="AN37" s="777"/>
      <c r="AO37" s="777"/>
      <c r="AP37" s="777"/>
      <c r="AQ37" s="777"/>
      <c r="AR37" s="777"/>
      <c r="AS37" s="777"/>
      <c r="AT37" s="777"/>
      <c r="AU37" s="128"/>
      <c r="AV37" s="128"/>
      <c r="AW37" s="128"/>
      <c r="AX37" s="777"/>
      <c r="AY37" s="777"/>
      <c r="AZ37" s="777"/>
      <c r="BA37" s="777"/>
      <c r="BB37" s="777"/>
      <c r="BC37" s="777"/>
      <c r="BD37" s="777"/>
      <c r="BE37" s="774"/>
      <c r="BH37" s="654" t="s">
        <v>1366</v>
      </c>
    </row>
    <row r="38" spans="2:60" ht="44.65" hidden="1" customHeight="1">
      <c r="B38" s="38"/>
      <c r="E38" s="446">
        <v>45.75</v>
      </c>
      <c r="F38" s="3" cm="1">
        <f t="array" aca="1" ref="F38" ca="1">OFFSET(E38,-1,1)</f>
        <v>0</v>
      </c>
      <c r="T38" s="351" t="b" cm="1">
        <f t="array" ref="T38">T37</f>
        <v>0</v>
      </c>
      <c r="X38" s="1024"/>
      <c r="Z38" s="1008"/>
      <c r="AB38" s="133" t="s">
        <v>1367</v>
      </c>
      <c r="AC38" s="541" t="s">
        <v>1368</v>
      </c>
      <c r="AD38" s="7" t="s">
        <v>859</v>
      </c>
      <c r="AE38" s="777"/>
      <c r="AF38" s="777"/>
      <c r="AG38" s="777"/>
      <c r="AH38" s="777"/>
      <c r="AI38" s="777"/>
      <c r="AJ38" s="777"/>
      <c r="AK38" s="128"/>
      <c r="AL38" s="128"/>
      <c r="AM38" s="128"/>
      <c r="AN38" s="777"/>
      <c r="AO38" s="777"/>
      <c r="AP38" s="777"/>
      <c r="AQ38" s="777"/>
      <c r="AR38" s="777"/>
      <c r="AS38" s="777"/>
      <c r="AT38" s="777"/>
      <c r="AU38" s="128"/>
      <c r="AV38" s="128"/>
      <c r="AW38" s="128"/>
      <c r="AX38" s="777"/>
      <c r="AY38" s="777"/>
      <c r="AZ38" s="777"/>
      <c r="BA38" s="777"/>
      <c r="BB38" s="777"/>
      <c r="BC38" s="777"/>
      <c r="BD38" s="777"/>
      <c r="BE38" s="774"/>
      <c r="BH38" s="654" t="s">
        <v>1369</v>
      </c>
    </row>
    <row r="39" spans="2:60" ht="44.65" hidden="1" customHeight="1">
      <c r="B39" s="38"/>
      <c r="E39" s="446">
        <v>45.75</v>
      </c>
      <c r="F39" s="3" cm="1">
        <f t="array" aca="1" ref="F39" ca="1">OFFSET(E39,-1,1)</f>
        <v>0</v>
      </c>
      <c r="T39" s="351" t="b" cm="1">
        <f t="array" ref="T39">T38</f>
        <v>0</v>
      </c>
      <c r="X39" s="1024"/>
      <c r="Z39" s="1008"/>
      <c r="AB39" s="133" t="s">
        <v>1370</v>
      </c>
      <c r="AC39" s="541" t="s">
        <v>1371</v>
      </c>
      <c r="AD39" s="7" t="s">
        <v>859</v>
      </c>
      <c r="AE39" s="777"/>
      <c r="AF39" s="777"/>
      <c r="AG39" s="777"/>
      <c r="AH39" s="777"/>
      <c r="AI39" s="777"/>
      <c r="AJ39" s="777"/>
      <c r="AK39" s="128"/>
      <c r="AL39" s="128"/>
      <c r="AM39" s="128"/>
      <c r="AN39" s="777"/>
      <c r="AO39" s="777"/>
      <c r="AP39" s="777"/>
      <c r="AQ39" s="777"/>
      <c r="AR39" s="777"/>
      <c r="AS39" s="777"/>
      <c r="AT39" s="777"/>
      <c r="AU39" s="128"/>
      <c r="AV39" s="128"/>
      <c r="AW39" s="128"/>
      <c r="AX39" s="777"/>
      <c r="AY39" s="777"/>
      <c r="AZ39" s="777"/>
      <c r="BA39" s="777"/>
      <c r="BB39" s="777"/>
      <c r="BC39" s="777"/>
      <c r="BD39" s="777"/>
      <c r="BE39" s="774"/>
      <c r="BH39" s="654" t="s">
        <v>1372</v>
      </c>
    </row>
    <row r="40" spans="2:60" ht="21.95" hidden="1" customHeight="1">
      <c r="B40" s="38"/>
      <c r="E40" s="446">
        <v>22.5</v>
      </c>
      <c r="F40" s="3" cm="1">
        <f t="array" aca="1" ref="F40" ca="1">OFFSET(E40,-1,1)</f>
        <v>0</v>
      </c>
      <c r="T40" s="351" t="b" cm="1">
        <f t="array" ref="T40">T39</f>
        <v>0</v>
      </c>
      <c r="X40" s="1024"/>
      <c r="Z40" s="1008"/>
      <c r="AB40" s="133" t="s">
        <v>1373</v>
      </c>
      <c r="AC40" s="541" t="s">
        <v>1374</v>
      </c>
      <c r="AD40" s="7" t="s">
        <v>859</v>
      </c>
      <c r="AE40" s="777"/>
      <c r="AF40" s="777"/>
      <c r="AG40" s="777"/>
      <c r="AH40" s="777"/>
      <c r="AI40" s="777"/>
      <c r="AJ40" s="777"/>
      <c r="AK40" s="128"/>
      <c r="AL40" s="128"/>
      <c r="AM40" s="128"/>
      <c r="AN40" s="777"/>
      <c r="AO40" s="777"/>
      <c r="AP40" s="777"/>
      <c r="AQ40" s="777"/>
      <c r="AR40" s="777"/>
      <c r="AS40" s="777"/>
      <c r="AT40" s="777"/>
      <c r="AU40" s="128"/>
      <c r="AV40" s="128"/>
      <c r="AW40" s="128"/>
      <c r="AX40" s="777"/>
      <c r="AY40" s="777"/>
      <c r="AZ40" s="777"/>
      <c r="BA40" s="777"/>
      <c r="BB40" s="777"/>
      <c r="BC40" s="777"/>
      <c r="BD40" s="777"/>
      <c r="BE40" s="774"/>
      <c r="BH40" s="654" t="s">
        <v>1375</v>
      </c>
    </row>
    <row r="41" spans="2:60" ht="14.65" hidden="1" customHeight="1">
      <c r="B41" s="38"/>
      <c r="E41" s="446">
        <v>15</v>
      </c>
      <c r="F41" s="3" cm="1">
        <f t="array" aca="1" ref="F41" ca="1">OFFSET(E41,-1,1)</f>
        <v>0</v>
      </c>
      <c r="H41" s="38" t="s">
        <v>511</v>
      </c>
      <c r="T41" s="351" t="b" cm="1">
        <f t="array" ref="T41">T40</f>
        <v>0</v>
      </c>
      <c r="X41" s="1024"/>
      <c r="Z41" s="1008"/>
      <c r="AB41" s="133" t="s">
        <v>939</v>
      </c>
      <c r="AC41" s="127" t="s">
        <v>1376</v>
      </c>
      <c r="AD41" s="7" t="s">
        <v>859</v>
      </c>
      <c r="AE41" s="170">
        <f t="shared" ref="AE41:BD41" si="4">AE42+AE43+AE44</f>
        <v>0</v>
      </c>
      <c r="AF41" s="170">
        <f t="shared" si="4"/>
        <v>0</v>
      </c>
      <c r="AG41" s="170">
        <f t="shared" si="4"/>
        <v>0</v>
      </c>
      <c r="AH41" s="170">
        <f t="shared" si="4"/>
        <v>0</v>
      </c>
      <c r="AI41" s="170">
        <f t="shared" si="4"/>
        <v>0</v>
      </c>
      <c r="AJ41" s="170">
        <f t="shared" si="4"/>
        <v>0</v>
      </c>
      <c r="AK41" s="170">
        <f t="shared" si="4"/>
        <v>0</v>
      </c>
      <c r="AL41" s="170">
        <f t="shared" si="4"/>
        <v>0</v>
      </c>
      <c r="AM41" s="170">
        <f t="shared" si="4"/>
        <v>0</v>
      </c>
      <c r="AN41" s="170">
        <f t="shared" si="4"/>
        <v>0</v>
      </c>
      <c r="AO41" s="170">
        <f t="shared" si="4"/>
        <v>0</v>
      </c>
      <c r="AP41" s="170">
        <f t="shared" si="4"/>
        <v>0</v>
      </c>
      <c r="AQ41" s="170">
        <f t="shared" si="4"/>
        <v>0</v>
      </c>
      <c r="AR41" s="170">
        <f t="shared" si="4"/>
        <v>0</v>
      </c>
      <c r="AS41" s="170">
        <f t="shared" si="4"/>
        <v>0</v>
      </c>
      <c r="AT41" s="170">
        <f t="shared" si="4"/>
        <v>0</v>
      </c>
      <c r="AU41" s="170">
        <f t="shared" si="4"/>
        <v>0</v>
      </c>
      <c r="AV41" s="170">
        <f t="shared" si="4"/>
        <v>0</v>
      </c>
      <c r="AW41" s="170">
        <f t="shared" si="4"/>
        <v>0</v>
      </c>
      <c r="AX41" s="170">
        <f t="shared" si="4"/>
        <v>0</v>
      </c>
      <c r="AY41" s="170">
        <f t="shared" si="4"/>
        <v>0</v>
      </c>
      <c r="AZ41" s="170">
        <f t="shared" si="4"/>
        <v>0</v>
      </c>
      <c r="BA41" s="170">
        <f t="shared" si="4"/>
        <v>0</v>
      </c>
      <c r="BB41" s="170">
        <f t="shared" si="4"/>
        <v>0</v>
      </c>
      <c r="BC41" s="170">
        <f t="shared" si="4"/>
        <v>0</v>
      </c>
      <c r="BD41" s="170">
        <f t="shared" si="4"/>
        <v>0</v>
      </c>
      <c r="BE41" s="774"/>
      <c r="BH41" s="654" t="s">
        <v>1377</v>
      </c>
    </row>
    <row r="42" spans="2:60" ht="14.65" hidden="1" customHeight="1">
      <c r="B42" s="38"/>
      <c r="E42" s="446">
        <v>15</v>
      </c>
      <c r="F42" s="3" cm="1">
        <f t="array" aca="1" ref="F42" ca="1">OFFSET(E42,-1,1)</f>
        <v>0</v>
      </c>
      <c r="H42" s="38" t="s">
        <v>1378</v>
      </c>
      <c r="T42" s="351" t="b" cm="1">
        <f t="array" ref="T42">T41</f>
        <v>0</v>
      </c>
      <c r="X42" s="1024"/>
      <c r="Z42" s="1008"/>
      <c r="AB42" s="133" t="s">
        <v>1379</v>
      </c>
      <c r="AC42" s="134" t="s">
        <v>1380</v>
      </c>
      <c r="AD42" s="7" t="s">
        <v>859</v>
      </c>
      <c r="AE42" s="777"/>
      <c r="AF42" s="777"/>
      <c r="AG42" s="777"/>
      <c r="AH42" s="777"/>
      <c r="AI42" s="777"/>
      <c r="AJ42" s="777"/>
      <c r="AK42" s="128"/>
      <c r="AL42" s="128"/>
      <c r="AM42" s="128"/>
      <c r="AN42" s="777"/>
      <c r="AO42" s="777"/>
      <c r="AP42" s="777"/>
      <c r="AQ42" s="777"/>
      <c r="AR42" s="777"/>
      <c r="AS42" s="777"/>
      <c r="AT42" s="777"/>
      <c r="AU42" s="128"/>
      <c r="AV42" s="128"/>
      <c r="AW42" s="128"/>
      <c r="AX42" s="777"/>
      <c r="AY42" s="777"/>
      <c r="AZ42" s="777"/>
      <c r="BA42" s="777"/>
      <c r="BB42" s="777"/>
      <c r="BC42" s="777"/>
      <c r="BD42" s="777"/>
      <c r="BE42" s="774"/>
      <c r="BH42" s="654" t="s">
        <v>1282</v>
      </c>
    </row>
    <row r="43" spans="2:60" ht="14.65" hidden="1" customHeight="1">
      <c r="B43" s="38"/>
      <c r="E43" s="446">
        <v>15</v>
      </c>
      <c r="F43" s="3" cm="1">
        <f t="array" aca="1" ref="F43" ca="1">OFFSET(E43,-1,1)</f>
        <v>0</v>
      </c>
      <c r="H43" s="38" t="s">
        <v>1381</v>
      </c>
      <c r="T43" s="351" t="b" cm="1">
        <f t="array" ref="T43">T42</f>
        <v>0</v>
      </c>
      <c r="X43" s="1024"/>
      <c r="Z43" s="1008"/>
      <c r="AB43" s="133" t="s">
        <v>1382</v>
      </c>
      <c r="AC43" s="134" t="s">
        <v>1383</v>
      </c>
      <c r="AD43" s="7" t="s">
        <v>859</v>
      </c>
      <c r="AE43" s="777"/>
      <c r="AF43" s="777"/>
      <c r="AG43" s="777"/>
      <c r="AH43" s="777"/>
      <c r="AI43" s="777"/>
      <c r="AJ43" s="777"/>
      <c r="AK43" s="128"/>
      <c r="AL43" s="128"/>
      <c r="AM43" s="128"/>
      <c r="AN43" s="777"/>
      <c r="AO43" s="777"/>
      <c r="AP43" s="777"/>
      <c r="AQ43" s="777"/>
      <c r="AR43" s="777"/>
      <c r="AS43" s="777"/>
      <c r="AT43" s="777"/>
      <c r="AU43" s="128"/>
      <c r="AV43" s="128"/>
      <c r="AW43" s="128"/>
      <c r="AX43" s="777"/>
      <c r="AY43" s="777"/>
      <c r="AZ43" s="777"/>
      <c r="BA43" s="777"/>
      <c r="BB43" s="777"/>
      <c r="BC43" s="777"/>
      <c r="BD43" s="777"/>
      <c r="BE43" s="774"/>
      <c r="BH43" s="654" t="s">
        <v>1384</v>
      </c>
    </row>
    <row r="44" spans="2:60" ht="14.65" hidden="1" customHeight="1">
      <c r="B44" s="38"/>
      <c r="E44" s="446">
        <v>15</v>
      </c>
      <c r="F44" s="3" cm="1">
        <f t="array" aca="1" ref="F44" ca="1">OFFSET(E44,-1,1)</f>
        <v>0</v>
      </c>
      <c r="H44" s="38" t="s">
        <v>1385</v>
      </c>
      <c r="T44" s="351" t="b" cm="1">
        <f t="array" ref="T44">T43</f>
        <v>0</v>
      </c>
      <c r="X44" s="1024"/>
      <c r="Z44" s="1008"/>
      <c r="AB44" s="133" t="s">
        <v>1386</v>
      </c>
      <c r="AC44" s="134" t="s">
        <v>1387</v>
      </c>
      <c r="AD44" s="7" t="s">
        <v>859</v>
      </c>
      <c r="AE44" s="777"/>
      <c r="AF44" s="777"/>
      <c r="AG44" s="777"/>
      <c r="AH44" s="777"/>
      <c r="AI44" s="777"/>
      <c r="AJ44" s="777"/>
      <c r="AK44" s="128"/>
      <c r="AL44" s="128"/>
      <c r="AM44" s="128"/>
      <c r="AN44" s="777"/>
      <c r="AO44" s="777"/>
      <c r="AP44" s="777"/>
      <c r="AQ44" s="777"/>
      <c r="AR44" s="777"/>
      <c r="AS44" s="777"/>
      <c r="AT44" s="777"/>
      <c r="AU44" s="128"/>
      <c r="AV44" s="128"/>
      <c r="AW44" s="128"/>
      <c r="AX44" s="777"/>
      <c r="AY44" s="777"/>
      <c r="AZ44" s="777"/>
      <c r="BA44" s="777"/>
      <c r="BB44" s="777"/>
      <c r="BC44" s="777"/>
      <c r="BD44" s="777"/>
      <c r="BE44" s="774"/>
      <c r="BH44" s="654" t="s">
        <v>1388</v>
      </c>
    </row>
    <row r="45" spans="2:60" ht="14.65" hidden="1" customHeight="1">
      <c r="B45" s="38"/>
      <c r="E45" s="446">
        <v>15</v>
      </c>
      <c r="F45" s="3" cm="1">
        <f t="array" aca="1" ref="F45" ca="1">OFFSET(E45,-1,1)</f>
        <v>0</v>
      </c>
      <c r="H45" s="38" t="s">
        <v>514</v>
      </c>
      <c r="T45" s="351" t="b" cm="1">
        <f t="array" ref="T45">T44</f>
        <v>0</v>
      </c>
      <c r="X45" s="1024"/>
      <c r="Z45" s="1008"/>
      <c r="AB45" s="133" t="s">
        <v>942</v>
      </c>
      <c r="AC45" s="127" t="s">
        <v>1389</v>
      </c>
      <c r="AD45" s="7" t="s">
        <v>859</v>
      </c>
      <c r="AE45" s="170">
        <f t="shared" ref="AE45:BD45" si="5">AE46+AE47+AE48</f>
        <v>0</v>
      </c>
      <c r="AF45" s="170">
        <f t="shared" si="5"/>
        <v>0</v>
      </c>
      <c r="AG45" s="170">
        <f t="shared" si="5"/>
        <v>0</v>
      </c>
      <c r="AH45" s="170">
        <f t="shared" si="5"/>
        <v>0</v>
      </c>
      <c r="AI45" s="170">
        <f t="shared" si="5"/>
        <v>0</v>
      </c>
      <c r="AJ45" s="170">
        <f t="shared" si="5"/>
        <v>0</v>
      </c>
      <c r="AK45" s="170">
        <f t="shared" si="5"/>
        <v>0</v>
      </c>
      <c r="AL45" s="170">
        <f t="shared" si="5"/>
        <v>0</v>
      </c>
      <c r="AM45" s="170">
        <f t="shared" si="5"/>
        <v>0</v>
      </c>
      <c r="AN45" s="170">
        <f t="shared" si="5"/>
        <v>0</v>
      </c>
      <c r="AO45" s="170">
        <f t="shared" si="5"/>
        <v>0</v>
      </c>
      <c r="AP45" s="170">
        <f t="shared" si="5"/>
        <v>0</v>
      </c>
      <c r="AQ45" s="170">
        <f t="shared" si="5"/>
        <v>0</v>
      </c>
      <c r="AR45" s="170">
        <f t="shared" si="5"/>
        <v>0</v>
      </c>
      <c r="AS45" s="170">
        <f t="shared" si="5"/>
        <v>0</v>
      </c>
      <c r="AT45" s="170">
        <f t="shared" si="5"/>
        <v>0</v>
      </c>
      <c r="AU45" s="170">
        <f t="shared" si="5"/>
        <v>0</v>
      </c>
      <c r="AV45" s="170">
        <f t="shared" si="5"/>
        <v>0</v>
      </c>
      <c r="AW45" s="170">
        <f t="shared" si="5"/>
        <v>0</v>
      </c>
      <c r="AX45" s="170">
        <f t="shared" si="5"/>
        <v>0</v>
      </c>
      <c r="AY45" s="170">
        <f t="shared" si="5"/>
        <v>0</v>
      </c>
      <c r="AZ45" s="170">
        <f t="shared" si="5"/>
        <v>0</v>
      </c>
      <c r="BA45" s="170">
        <f t="shared" si="5"/>
        <v>0</v>
      </c>
      <c r="BB45" s="170">
        <f t="shared" si="5"/>
        <v>0</v>
      </c>
      <c r="BC45" s="170">
        <f t="shared" si="5"/>
        <v>0</v>
      </c>
      <c r="BD45" s="170">
        <f t="shared" si="5"/>
        <v>0</v>
      </c>
      <c r="BE45" s="774"/>
      <c r="BH45" s="654" t="s">
        <v>1390</v>
      </c>
    </row>
    <row r="46" spans="2:60" ht="14.65" hidden="1" customHeight="1">
      <c r="B46" s="38"/>
      <c r="E46" s="446">
        <v>15</v>
      </c>
      <c r="F46" s="3" cm="1">
        <f t="array" aca="1" ref="F46" ca="1">OFFSET(E46,-1,1)</f>
        <v>0</v>
      </c>
      <c r="H46" s="38" t="s">
        <v>1391</v>
      </c>
      <c r="T46" s="351" t="b" cm="1">
        <f t="array" ref="T46">T45</f>
        <v>0</v>
      </c>
      <c r="X46" s="1024"/>
      <c r="Z46" s="1008"/>
      <c r="AB46" s="133" t="s">
        <v>1392</v>
      </c>
      <c r="AC46" s="134" t="s">
        <v>1393</v>
      </c>
      <c r="AD46" s="7" t="s">
        <v>859</v>
      </c>
      <c r="AE46" s="777"/>
      <c r="AF46" s="777"/>
      <c r="AG46" s="777"/>
      <c r="AH46" s="777"/>
      <c r="AI46" s="777"/>
      <c r="AJ46" s="777"/>
      <c r="AK46" s="128"/>
      <c r="AL46" s="128"/>
      <c r="AM46" s="128"/>
      <c r="AN46" s="777"/>
      <c r="AO46" s="777"/>
      <c r="AP46" s="777"/>
      <c r="AQ46" s="777"/>
      <c r="AR46" s="777"/>
      <c r="AS46" s="777"/>
      <c r="AT46" s="777"/>
      <c r="AU46" s="128"/>
      <c r="AV46" s="128"/>
      <c r="AW46" s="128"/>
      <c r="AX46" s="777"/>
      <c r="AY46" s="777"/>
      <c r="AZ46" s="777"/>
      <c r="BA46" s="777"/>
      <c r="BB46" s="777"/>
      <c r="BC46" s="777"/>
      <c r="BD46" s="777"/>
      <c r="BE46" s="774"/>
      <c r="BH46" s="654" t="s">
        <v>1394</v>
      </c>
    </row>
    <row r="47" spans="2:60" ht="14.65" hidden="1" customHeight="1">
      <c r="B47" s="38"/>
      <c r="E47" s="446">
        <v>15</v>
      </c>
      <c r="F47" s="3" cm="1">
        <f t="array" aca="1" ref="F47" ca="1">OFFSET(E47,-1,1)</f>
        <v>0</v>
      </c>
      <c r="H47" s="38" t="s">
        <v>1395</v>
      </c>
      <c r="T47" s="351" t="b" cm="1">
        <f t="array" ref="T47">T46</f>
        <v>0</v>
      </c>
      <c r="X47" s="1024"/>
      <c r="Z47" s="1008"/>
      <c r="AB47" s="133" t="s">
        <v>1396</v>
      </c>
      <c r="AC47" s="134" t="s">
        <v>1397</v>
      </c>
      <c r="AD47" s="7" t="s">
        <v>859</v>
      </c>
      <c r="AE47" s="777"/>
      <c r="AF47" s="777"/>
      <c r="AG47" s="777"/>
      <c r="AH47" s="777"/>
      <c r="AI47" s="777"/>
      <c r="AJ47" s="777"/>
      <c r="AK47" s="128"/>
      <c r="AL47" s="128"/>
      <c r="AM47" s="128"/>
      <c r="AN47" s="777"/>
      <c r="AO47" s="777"/>
      <c r="AP47" s="777"/>
      <c r="AQ47" s="777"/>
      <c r="AR47" s="777"/>
      <c r="AS47" s="777"/>
      <c r="AT47" s="777"/>
      <c r="AU47" s="128"/>
      <c r="AV47" s="128"/>
      <c r="AW47" s="128"/>
      <c r="AX47" s="777"/>
      <c r="AY47" s="777"/>
      <c r="AZ47" s="777"/>
      <c r="BA47" s="777"/>
      <c r="BB47" s="777"/>
      <c r="BC47" s="777"/>
      <c r="BD47" s="777"/>
      <c r="BE47" s="774"/>
      <c r="BH47" s="654" t="s">
        <v>1398</v>
      </c>
    </row>
    <row r="48" spans="2:60" ht="14.65" hidden="1" customHeight="1">
      <c r="B48" s="38"/>
      <c r="E48" s="446">
        <v>15</v>
      </c>
      <c r="F48" s="3" cm="1">
        <f t="array" aca="1" ref="F48" ca="1">OFFSET(E48,-1,1)</f>
        <v>0</v>
      </c>
      <c r="H48" s="38" t="s">
        <v>1399</v>
      </c>
      <c r="T48" s="351" t="b" cm="1">
        <f t="array" ref="T48">T47</f>
        <v>0</v>
      </c>
      <c r="X48" s="1024"/>
      <c r="Z48" s="1008"/>
      <c r="AB48" s="133" t="s">
        <v>1400</v>
      </c>
      <c r="AC48" s="134" t="s">
        <v>1401</v>
      </c>
      <c r="AD48" s="7" t="s">
        <v>859</v>
      </c>
      <c r="AE48" s="777"/>
      <c r="AF48" s="777"/>
      <c r="AG48" s="777"/>
      <c r="AH48" s="777"/>
      <c r="AI48" s="777"/>
      <c r="AJ48" s="777"/>
      <c r="AK48" s="128"/>
      <c r="AL48" s="128"/>
      <c r="AM48" s="128"/>
      <c r="AN48" s="777"/>
      <c r="AO48" s="777"/>
      <c r="AP48" s="777"/>
      <c r="AQ48" s="777"/>
      <c r="AR48" s="777"/>
      <c r="AS48" s="777"/>
      <c r="AT48" s="777"/>
      <c r="AU48" s="128"/>
      <c r="AV48" s="128"/>
      <c r="AW48" s="128"/>
      <c r="AX48" s="777"/>
      <c r="AY48" s="777"/>
      <c r="AZ48" s="777"/>
      <c r="BA48" s="777"/>
      <c r="BB48" s="777"/>
      <c r="BC48" s="777"/>
      <c r="BD48" s="777"/>
      <c r="BE48" s="774"/>
      <c r="BH48" s="654" t="s">
        <v>1402</v>
      </c>
    </row>
    <row r="49" spans="1:60" ht="14.65" hidden="1" customHeight="1">
      <c r="B49" s="38"/>
      <c r="E49" s="446">
        <v>15</v>
      </c>
      <c r="F49" s="3" cm="1">
        <f t="array" aca="1" ref="F49" ca="1">OFFSET(E49,-1,1)</f>
        <v>0</v>
      </c>
      <c r="H49" s="38" t="s">
        <v>518</v>
      </c>
      <c r="T49" s="351" t="b" cm="1">
        <f t="array" ref="T49">T48</f>
        <v>0</v>
      </c>
      <c r="X49" s="1024"/>
      <c r="Z49" s="1008"/>
      <c r="AB49" s="133" t="s">
        <v>945</v>
      </c>
      <c r="AC49" s="127" t="s">
        <v>1403</v>
      </c>
      <c r="AD49" s="7" t="s">
        <v>859</v>
      </c>
      <c r="AE49" s="170">
        <f t="shared" ref="AE49:BD49" si="6">AE50+AE51+AE52+AE53</f>
        <v>0</v>
      </c>
      <c r="AF49" s="170">
        <f t="shared" si="6"/>
        <v>0</v>
      </c>
      <c r="AG49" s="170">
        <f t="shared" si="6"/>
        <v>0</v>
      </c>
      <c r="AH49" s="170">
        <f t="shared" si="6"/>
        <v>0</v>
      </c>
      <c r="AI49" s="170">
        <f t="shared" si="6"/>
        <v>0</v>
      </c>
      <c r="AJ49" s="170">
        <f t="shared" si="6"/>
        <v>0</v>
      </c>
      <c r="AK49" s="170">
        <f t="shared" si="6"/>
        <v>0</v>
      </c>
      <c r="AL49" s="170">
        <f t="shared" si="6"/>
        <v>0</v>
      </c>
      <c r="AM49" s="170">
        <f t="shared" si="6"/>
        <v>0</v>
      </c>
      <c r="AN49" s="170">
        <f t="shared" si="6"/>
        <v>0</v>
      </c>
      <c r="AO49" s="170">
        <f t="shared" si="6"/>
        <v>0</v>
      </c>
      <c r="AP49" s="170">
        <f t="shared" si="6"/>
        <v>0</v>
      </c>
      <c r="AQ49" s="170">
        <f t="shared" si="6"/>
        <v>0</v>
      </c>
      <c r="AR49" s="170">
        <f t="shared" si="6"/>
        <v>0</v>
      </c>
      <c r="AS49" s="170">
        <f t="shared" si="6"/>
        <v>0</v>
      </c>
      <c r="AT49" s="170">
        <f t="shared" si="6"/>
        <v>0</v>
      </c>
      <c r="AU49" s="170">
        <f t="shared" si="6"/>
        <v>0</v>
      </c>
      <c r="AV49" s="170">
        <f t="shared" si="6"/>
        <v>0</v>
      </c>
      <c r="AW49" s="170">
        <f t="shared" si="6"/>
        <v>0</v>
      </c>
      <c r="AX49" s="170">
        <f t="shared" si="6"/>
        <v>0</v>
      </c>
      <c r="AY49" s="170">
        <f t="shared" si="6"/>
        <v>0</v>
      </c>
      <c r="AZ49" s="170">
        <f t="shared" si="6"/>
        <v>0</v>
      </c>
      <c r="BA49" s="170">
        <f t="shared" si="6"/>
        <v>0</v>
      </c>
      <c r="BB49" s="170">
        <f t="shared" si="6"/>
        <v>0</v>
      </c>
      <c r="BC49" s="170">
        <f t="shared" si="6"/>
        <v>0</v>
      </c>
      <c r="BD49" s="170">
        <f t="shared" si="6"/>
        <v>0</v>
      </c>
      <c r="BE49" s="774"/>
      <c r="BH49" s="654" t="s">
        <v>1404</v>
      </c>
    </row>
    <row r="50" spans="1:60" ht="14.65" hidden="1" customHeight="1">
      <c r="B50" s="38"/>
      <c r="E50" s="446">
        <v>15</v>
      </c>
      <c r="F50" s="3" cm="1">
        <f t="array" aca="1" ref="F50" ca="1">OFFSET(E50,-1,1)</f>
        <v>0</v>
      </c>
      <c r="H50" s="38" t="s">
        <v>1405</v>
      </c>
      <c r="T50" s="351" t="b" cm="1">
        <f t="array" ref="T50">T49</f>
        <v>0</v>
      </c>
      <c r="X50" s="1024"/>
      <c r="Z50" s="1008"/>
      <c r="AB50" s="133" t="s">
        <v>1057</v>
      </c>
      <c r="AC50" s="134" t="s">
        <v>1051</v>
      </c>
      <c r="AD50" s="7" t="s">
        <v>859</v>
      </c>
      <c r="AE50" s="777"/>
      <c r="AF50" s="777"/>
      <c r="AG50" s="777"/>
      <c r="AH50" s="777"/>
      <c r="AI50" s="777"/>
      <c r="AJ50" s="777"/>
      <c r="AK50" s="128"/>
      <c r="AL50" s="128"/>
      <c r="AM50" s="128"/>
      <c r="AN50" s="777"/>
      <c r="AO50" s="777"/>
      <c r="AP50" s="777"/>
      <c r="AQ50" s="777"/>
      <c r="AR50" s="777"/>
      <c r="AS50" s="777"/>
      <c r="AT50" s="777"/>
      <c r="AU50" s="128"/>
      <c r="AV50" s="128"/>
      <c r="AW50" s="128"/>
      <c r="AX50" s="777"/>
      <c r="AY50" s="777"/>
      <c r="AZ50" s="777"/>
      <c r="BA50" s="777"/>
      <c r="BB50" s="777"/>
      <c r="BC50" s="777"/>
      <c r="BD50" s="777"/>
      <c r="BE50" s="774"/>
      <c r="BH50" s="654" t="s">
        <v>1053</v>
      </c>
    </row>
    <row r="51" spans="1:60" ht="21.95" hidden="1" customHeight="1">
      <c r="B51" s="38"/>
      <c r="E51" s="446">
        <v>22.5</v>
      </c>
      <c r="F51" s="3" cm="1">
        <f t="array" aca="1" ref="F51" ca="1">OFFSET(E51,-1,1)</f>
        <v>0</v>
      </c>
      <c r="H51" s="38" t="s">
        <v>1406</v>
      </c>
      <c r="T51" s="351" t="b" cm="1">
        <f t="array" ref="T51">T50</f>
        <v>0</v>
      </c>
      <c r="X51" s="1024"/>
      <c r="Z51" s="1008"/>
      <c r="AB51" s="133" t="s">
        <v>1060</v>
      </c>
      <c r="AC51" s="134" t="s">
        <v>1407</v>
      </c>
      <c r="AD51" s="7" t="s">
        <v>859</v>
      </c>
      <c r="AE51" s="777"/>
      <c r="AF51" s="777"/>
      <c r="AG51" s="777"/>
      <c r="AH51" s="777"/>
      <c r="AI51" s="777"/>
      <c r="AJ51" s="777"/>
      <c r="AK51" s="128"/>
      <c r="AL51" s="128"/>
      <c r="AM51" s="128"/>
      <c r="AN51" s="777"/>
      <c r="AO51" s="777"/>
      <c r="AP51" s="777"/>
      <c r="AQ51" s="777"/>
      <c r="AR51" s="777"/>
      <c r="AS51" s="777"/>
      <c r="AT51" s="777"/>
      <c r="AU51" s="128"/>
      <c r="AV51" s="128"/>
      <c r="AW51" s="128"/>
      <c r="AX51" s="777"/>
      <c r="AY51" s="777"/>
      <c r="AZ51" s="777"/>
      <c r="BA51" s="777"/>
      <c r="BB51" s="777"/>
      <c r="BC51" s="777"/>
      <c r="BD51" s="777"/>
      <c r="BE51" s="774"/>
      <c r="BH51" s="654" t="s">
        <v>1408</v>
      </c>
    </row>
    <row r="52" spans="1:60" ht="21.95" hidden="1" customHeight="1">
      <c r="B52" s="38"/>
      <c r="E52" s="446">
        <v>22.5</v>
      </c>
      <c r="F52" s="3" cm="1">
        <f t="array" aca="1" ref="F52" ca="1">OFFSET(E52,-1,1)</f>
        <v>0</v>
      </c>
      <c r="H52" s="38" t="s">
        <v>1409</v>
      </c>
      <c r="T52" s="351" t="b" cm="1">
        <f t="array" ref="T52">T51</f>
        <v>0</v>
      </c>
      <c r="X52" s="1024"/>
      <c r="Z52" s="1008"/>
      <c r="AB52" s="133" t="s">
        <v>1410</v>
      </c>
      <c r="AC52" s="134" t="s">
        <v>1411</v>
      </c>
      <c r="AD52" s="7" t="s">
        <v>859</v>
      </c>
      <c r="AE52" s="777"/>
      <c r="AF52" s="777"/>
      <c r="AG52" s="777"/>
      <c r="AH52" s="777"/>
      <c r="AI52" s="777"/>
      <c r="AJ52" s="777"/>
      <c r="AK52" s="128"/>
      <c r="AL52" s="128"/>
      <c r="AM52" s="128"/>
      <c r="AN52" s="777"/>
      <c r="AO52" s="777"/>
      <c r="AP52" s="777"/>
      <c r="AQ52" s="777"/>
      <c r="AR52" s="777"/>
      <c r="AS52" s="777"/>
      <c r="AT52" s="777"/>
      <c r="AU52" s="128"/>
      <c r="AV52" s="128"/>
      <c r="AW52" s="128"/>
      <c r="AX52" s="777"/>
      <c r="AY52" s="777"/>
      <c r="AZ52" s="777"/>
      <c r="BA52" s="777"/>
      <c r="BB52" s="777"/>
      <c r="BC52" s="777"/>
      <c r="BD52" s="777"/>
      <c r="BE52" s="774"/>
      <c r="BH52" s="654" t="s">
        <v>1412</v>
      </c>
    </row>
    <row r="53" spans="1:60" ht="14.65" hidden="1" customHeight="1">
      <c r="B53" s="38"/>
      <c r="E53" s="446">
        <v>15</v>
      </c>
      <c r="F53" s="3" cm="1">
        <f t="array" aca="1" ref="F53" ca="1">OFFSET(E53,-1,1)</f>
        <v>0</v>
      </c>
      <c r="H53" s="38" t="s">
        <v>1413</v>
      </c>
      <c r="T53" s="351" t="b" cm="1">
        <f t="array" ref="T53">T52</f>
        <v>0</v>
      </c>
      <c r="X53" s="1024"/>
      <c r="Z53" s="1008"/>
      <c r="AB53" s="133" t="s">
        <v>1414</v>
      </c>
      <c r="AC53" s="134" t="s">
        <v>1415</v>
      </c>
      <c r="AD53" s="7" t="s">
        <v>859</v>
      </c>
      <c r="AE53" s="777"/>
      <c r="AF53" s="777"/>
      <c r="AG53" s="777"/>
      <c r="AH53" s="777"/>
      <c r="AI53" s="777"/>
      <c r="AJ53" s="777"/>
      <c r="AK53" s="128"/>
      <c r="AL53" s="128"/>
      <c r="AM53" s="128"/>
      <c r="AN53" s="777"/>
      <c r="AO53" s="777"/>
      <c r="AP53" s="777"/>
      <c r="AQ53" s="777"/>
      <c r="AR53" s="777"/>
      <c r="AS53" s="777"/>
      <c r="AT53" s="777"/>
      <c r="AU53" s="128"/>
      <c r="AV53" s="128"/>
      <c r="AW53" s="128"/>
      <c r="AX53" s="777"/>
      <c r="AY53" s="777"/>
      <c r="AZ53" s="777"/>
      <c r="BA53" s="777"/>
      <c r="BB53" s="777"/>
      <c r="BC53" s="777"/>
      <c r="BD53" s="777"/>
      <c r="BE53" s="774"/>
      <c r="BH53" s="654" t="s">
        <v>1416</v>
      </c>
    </row>
    <row r="54" spans="1:60" s="154" customFormat="1" ht="21.95" hidden="1" customHeight="1">
      <c r="B54" s="38"/>
      <c r="E54" s="499">
        <v>22.5</v>
      </c>
      <c r="F54" s="3" cm="1">
        <f t="array" aca="1" ref="F54" ca="1">OFFSET(E54,-1,1)</f>
        <v>0</v>
      </c>
      <c r="G54" s="38"/>
      <c r="H54" s="38" t="s">
        <v>322</v>
      </c>
      <c r="T54" s="351" t="b" cm="1">
        <f t="array" ref="T54">T53</f>
        <v>0</v>
      </c>
      <c r="X54" s="1024"/>
      <c r="Z54" s="1008"/>
      <c r="AB54" s="131" t="s">
        <v>435</v>
      </c>
      <c r="AC54" s="132" t="s">
        <v>1417</v>
      </c>
      <c r="AD54" s="124" t="s">
        <v>859</v>
      </c>
      <c r="AE54" s="126">
        <f t="shared" ref="AE54:BD54" si="7">AE55+AE56+AE57</f>
        <v>0</v>
      </c>
      <c r="AF54" s="126">
        <f t="shared" si="7"/>
        <v>0</v>
      </c>
      <c r="AG54" s="126">
        <f t="shared" si="7"/>
        <v>0</v>
      </c>
      <c r="AH54" s="126">
        <f t="shared" si="7"/>
        <v>0</v>
      </c>
      <c r="AI54" s="126">
        <f t="shared" si="7"/>
        <v>0</v>
      </c>
      <c r="AJ54" s="126">
        <f t="shared" si="7"/>
        <v>0</v>
      </c>
      <c r="AK54" s="126">
        <f t="shared" si="7"/>
        <v>0</v>
      </c>
      <c r="AL54" s="126">
        <f t="shared" si="7"/>
        <v>0</v>
      </c>
      <c r="AM54" s="126">
        <f t="shared" si="7"/>
        <v>0</v>
      </c>
      <c r="AN54" s="126">
        <f t="shared" si="7"/>
        <v>0</v>
      </c>
      <c r="AO54" s="126">
        <f t="shared" si="7"/>
        <v>0</v>
      </c>
      <c r="AP54" s="126">
        <f t="shared" si="7"/>
        <v>0</v>
      </c>
      <c r="AQ54" s="126">
        <f t="shared" si="7"/>
        <v>0</v>
      </c>
      <c r="AR54" s="126">
        <f t="shared" si="7"/>
        <v>0</v>
      </c>
      <c r="AS54" s="126">
        <f t="shared" si="7"/>
        <v>0</v>
      </c>
      <c r="AT54" s="126">
        <f t="shared" si="7"/>
        <v>0</v>
      </c>
      <c r="AU54" s="126">
        <f t="shared" si="7"/>
        <v>0</v>
      </c>
      <c r="AV54" s="126">
        <f t="shared" si="7"/>
        <v>0</v>
      </c>
      <c r="AW54" s="126">
        <f t="shared" si="7"/>
        <v>0</v>
      </c>
      <c r="AX54" s="126">
        <f t="shared" si="7"/>
        <v>0</v>
      </c>
      <c r="AY54" s="126">
        <f t="shared" si="7"/>
        <v>0</v>
      </c>
      <c r="AZ54" s="126">
        <f t="shared" si="7"/>
        <v>0</v>
      </c>
      <c r="BA54" s="126">
        <f t="shared" si="7"/>
        <v>0</v>
      </c>
      <c r="BB54" s="126">
        <f t="shared" si="7"/>
        <v>0</v>
      </c>
      <c r="BC54" s="126">
        <f t="shared" si="7"/>
        <v>0</v>
      </c>
      <c r="BD54" s="126">
        <f t="shared" si="7"/>
        <v>0</v>
      </c>
      <c r="BE54" s="774"/>
      <c r="BH54" s="686" t="s">
        <v>1418</v>
      </c>
    </row>
    <row r="55" spans="1:60" ht="14.65" hidden="1" customHeight="1">
      <c r="B55" s="38"/>
      <c r="E55" s="446">
        <v>15</v>
      </c>
      <c r="F55" s="3" cm="1">
        <f t="array" aca="1" ref="F55" ca="1">OFFSET(E55,-1,1)</f>
        <v>0</v>
      </c>
      <c r="H55" s="38" t="s">
        <v>525</v>
      </c>
      <c r="K55" s="40" t="str">
        <f ca="1">F55&amp;"2komm"</f>
        <v>02komm</v>
      </c>
      <c r="L55" s="40" cm="1">
        <f t="array" ref="L55">BE55</f>
        <v>0</v>
      </c>
      <c r="T55" s="351" t="b" cm="1">
        <f t="array" ref="T55">T54</f>
        <v>0</v>
      </c>
      <c r="X55" s="1024"/>
      <c r="Z55" s="1008"/>
      <c r="AB55" s="133" t="s">
        <v>588</v>
      </c>
      <c r="AC55" s="127" t="s">
        <v>1419</v>
      </c>
      <c r="AD55" s="7" t="s">
        <v>859</v>
      </c>
      <c r="AE55" s="777"/>
      <c r="AF55" s="777"/>
      <c r="AG55" s="777"/>
      <c r="AH55" s="777"/>
      <c r="AI55" s="777"/>
      <c r="AJ55" s="777"/>
      <c r="AK55" s="128"/>
      <c r="AL55" s="128"/>
      <c r="AM55" s="128"/>
      <c r="AN55" s="777"/>
      <c r="AO55" s="777"/>
      <c r="AP55" s="777"/>
      <c r="AQ55" s="777"/>
      <c r="AR55" s="777"/>
      <c r="AS55" s="777"/>
      <c r="AT55" s="777"/>
      <c r="AU55" s="128"/>
      <c r="AV55" s="128"/>
      <c r="AW55" s="128"/>
      <c r="AX55" s="777"/>
      <c r="AY55" s="777"/>
      <c r="AZ55" s="777"/>
      <c r="BA55" s="777"/>
      <c r="BB55" s="777"/>
      <c r="BC55" s="777"/>
      <c r="BD55" s="777"/>
      <c r="BE55" s="774"/>
      <c r="BH55" s="654" t="s">
        <v>1420</v>
      </c>
    </row>
    <row r="56" spans="1:60" ht="14.65" hidden="1" customHeight="1">
      <c r="B56" s="38"/>
      <c r="E56" s="446">
        <v>15</v>
      </c>
      <c r="F56" s="3" cm="1">
        <f t="array" aca="1" ref="F56" ca="1">OFFSET(E56,-1,1)</f>
        <v>0</v>
      </c>
      <c r="H56" s="38" t="s">
        <v>528</v>
      </c>
      <c r="K56" s="40" t="str">
        <f ca="1">F56&amp;"3komm"</f>
        <v>03komm</v>
      </c>
      <c r="L56" s="40" cm="1">
        <f t="array" ref="L56">BE56</f>
        <v>0</v>
      </c>
      <c r="T56" s="351" t="b" cm="1">
        <f t="array" ref="T56">T55</f>
        <v>0</v>
      </c>
      <c r="X56" s="1024"/>
      <c r="Z56" s="1008"/>
      <c r="AB56" s="133" t="s">
        <v>592</v>
      </c>
      <c r="AC56" s="127" t="s">
        <v>1421</v>
      </c>
      <c r="AD56" s="7" t="s">
        <v>859</v>
      </c>
      <c r="AE56" s="777"/>
      <c r="AF56" s="777"/>
      <c r="AG56" s="777"/>
      <c r="AH56" s="777"/>
      <c r="AI56" s="777"/>
      <c r="AJ56" s="777"/>
      <c r="AK56" s="128"/>
      <c r="AL56" s="128"/>
      <c r="AM56" s="128"/>
      <c r="AN56" s="777"/>
      <c r="AO56" s="777"/>
      <c r="AP56" s="777"/>
      <c r="AQ56" s="777"/>
      <c r="AR56" s="777"/>
      <c r="AS56" s="777"/>
      <c r="AT56" s="777"/>
      <c r="AU56" s="128"/>
      <c r="AV56" s="128"/>
      <c r="AW56" s="128"/>
      <c r="AX56" s="777"/>
      <c r="AY56" s="777"/>
      <c r="AZ56" s="777"/>
      <c r="BA56" s="777"/>
      <c r="BB56" s="777"/>
      <c r="BC56" s="777"/>
      <c r="BD56" s="777"/>
      <c r="BE56" s="774"/>
      <c r="BH56" s="654" t="s">
        <v>1422</v>
      </c>
    </row>
    <row r="57" spans="1:60" ht="14.65" hidden="1" customHeight="1">
      <c r="B57" s="38"/>
      <c r="E57" s="446">
        <v>15</v>
      </c>
      <c r="F57" s="3" cm="1">
        <f t="array" aca="1" ref="F57" ca="1">OFFSET(E57,-1,1)</f>
        <v>0</v>
      </c>
      <c r="H57" s="38" t="s">
        <v>956</v>
      </c>
      <c r="T57" s="351" t="b" cm="1">
        <f t="array" ref="T57">T56</f>
        <v>0</v>
      </c>
      <c r="X57" s="1024"/>
      <c r="Z57" s="1008"/>
      <c r="AB57" s="133" t="s">
        <v>596</v>
      </c>
      <c r="AC57" s="127" t="s">
        <v>1423</v>
      </c>
      <c r="AD57" s="7" t="s">
        <v>859</v>
      </c>
      <c r="AE57" s="777"/>
      <c r="AF57" s="777"/>
      <c r="AG57" s="777"/>
      <c r="AH57" s="777"/>
      <c r="AI57" s="777"/>
      <c r="AJ57" s="777"/>
      <c r="AK57" s="128"/>
      <c r="AL57" s="128"/>
      <c r="AM57" s="128"/>
      <c r="AN57" s="777"/>
      <c r="AO57" s="777"/>
      <c r="AP57" s="777"/>
      <c r="AQ57" s="777"/>
      <c r="AR57" s="777"/>
      <c r="AS57" s="777"/>
      <c r="AT57" s="777"/>
      <c r="AU57" s="128"/>
      <c r="AV57" s="128"/>
      <c r="AW57" s="128"/>
      <c r="AX57" s="777"/>
      <c r="AY57" s="777"/>
      <c r="AZ57" s="777"/>
      <c r="BA57" s="777"/>
      <c r="BB57" s="777"/>
      <c r="BC57" s="777"/>
      <c r="BD57" s="777"/>
      <c r="BE57" s="774"/>
      <c r="BH57" s="654" t="s">
        <v>1424</v>
      </c>
    </row>
    <row r="58" spans="1:60" ht="14.25" customHeight="1">
      <c r="B58" s="38"/>
      <c r="E58" s="446">
        <v>15</v>
      </c>
      <c r="F58" s="17" t="str" cm="1">
        <f t="array" ref="F58">X58</f>
        <v>1</v>
      </c>
      <c r="T58" s="351" t="b">
        <f>X58&gt;0</f>
        <v>1</v>
      </c>
      <c r="V58" s="38" t="str" cm="1">
        <f t="array" ref="V58">Налоги!$AB$41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58" s="1024" t="s">
        <v>277</v>
      </c>
      <c r="Z58" s="1008"/>
      <c r="AB58" s="155" t="str" cm="1">
        <f t="array" ref="AB58">Налоги!$AB$41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58" s="560"/>
      <c r="AD58" s="560"/>
      <c r="AE58" s="560"/>
      <c r="AF58" s="560"/>
      <c r="AG58" s="560"/>
      <c r="AH58" s="560"/>
      <c r="AI58" s="560"/>
      <c r="AJ58" s="560"/>
      <c r="AK58" s="560"/>
      <c r="AL58" s="560"/>
      <c r="AM58" s="560"/>
      <c r="AN58" s="560"/>
      <c r="AO58" s="560"/>
      <c r="AP58" s="560"/>
      <c r="AQ58" s="560"/>
      <c r="AR58" s="560"/>
      <c r="AS58" s="560"/>
      <c r="AT58" s="560"/>
      <c r="AU58" s="560"/>
      <c r="AV58" s="560"/>
      <c r="AW58" s="560"/>
      <c r="AX58" s="560"/>
      <c r="AY58" s="560"/>
      <c r="AZ58" s="560"/>
      <c r="BA58" s="560"/>
      <c r="BB58" s="560"/>
      <c r="BC58" s="560"/>
      <c r="BD58" s="560"/>
      <c r="BE58" s="560"/>
    </row>
    <row r="59" spans="1:60" s="891" customFormat="1" ht="21.75" customHeight="1">
      <c r="A59" s="154"/>
      <c r="B59" s="38"/>
      <c r="C59" s="154"/>
      <c r="D59" s="154"/>
      <c r="E59" s="499">
        <v>22.5</v>
      </c>
      <c r="F59" s="3" t="str" cm="1">
        <f t="array" aca="1" ref="F59" ca="1">OFFSET(E59,-1,1)</f>
        <v>1</v>
      </c>
      <c r="G59" s="38"/>
      <c r="H59" s="38" t="s">
        <v>321</v>
      </c>
      <c r="I59" s="154"/>
      <c r="J59" s="154"/>
      <c r="K59" s="154"/>
      <c r="L59" s="154"/>
      <c r="M59" s="154"/>
      <c r="N59" s="154"/>
      <c r="O59" s="154"/>
      <c r="P59" s="154"/>
      <c r="Q59" s="154"/>
      <c r="R59" s="154"/>
      <c r="S59" s="154"/>
      <c r="T59" s="351" t="b" cm="1">
        <f t="array" ref="T59">T58</f>
        <v>1</v>
      </c>
      <c r="U59" s="154"/>
      <c r="V59" s="154"/>
      <c r="W59" s="154"/>
      <c r="X59" s="1024"/>
      <c r="Y59" s="154"/>
      <c r="Z59" s="1008"/>
      <c r="AA59" s="154"/>
      <c r="AB59" s="131">
        <v>1</v>
      </c>
      <c r="AC59" s="125" t="s">
        <v>1346</v>
      </c>
      <c r="AD59" s="124" t="s">
        <v>859</v>
      </c>
      <c r="AE59" s="126">
        <f t="shared" ref="AE59:BD59" si="8">AE60+AE70+AE74+AE78</f>
        <v>0</v>
      </c>
      <c r="AF59" s="126">
        <f t="shared" si="8"/>
        <v>0</v>
      </c>
      <c r="AG59" s="126">
        <f t="shared" si="8"/>
        <v>0</v>
      </c>
      <c r="AH59" s="126">
        <f t="shared" si="8"/>
        <v>0</v>
      </c>
      <c r="AI59" s="126">
        <f t="shared" si="8"/>
        <v>0</v>
      </c>
      <c r="AJ59" s="126">
        <f t="shared" si="8"/>
        <v>0</v>
      </c>
      <c r="AK59" s="126">
        <f t="shared" si="8"/>
        <v>0</v>
      </c>
      <c r="AL59" s="126">
        <f t="shared" si="8"/>
        <v>0</v>
      </c>
      <c r="AM59" s="126">
        <f t="shared" si="8"/>
        <v>0</v>
      </c>
      <c r="AN59" s="126">
        <f t="shared" si="8"/>
        <v>0</v>
      </c>
      <c r="AO59" s="126">
        <f t="shared" si="8"/>
        <v>0</v>
      </c>
      <c r="AP59" s="126">
        <f t="shared" si="8"/>
        <v>0</v>
      </c>
      <c r="AQ59" s="126">
        <f t="shared" si="8"/>
        <v>0</v>
      </c>
      <c r="AR59" s="126">
        <f t="shared" si="8"/>
        <v>0</v>
      </c>
      <c r="AS59" s="126">
        <f t="shared" si="8"/>
        <v>0</v>
      </c>
      <c r="AT59" s="126">
        <f t="shared" si="8"/>
        <v>0</v>
      </c>
      <c r="AU59" s="126">
        <f t="shared" si="8"/>
        <v>0</v>
      </c>
      <c r="AV59" s="126">
        <f t="shared" si="8"/>
        <v>0</v>
      </c>
      <c r="AW59" s="126">
        <f t="shared" si="8"/>
        <v>0</v>
      </c>
      <c r="AX59" s="126">
        <f t="shared" si="8"/>
        <v>0</v>
      </c>
      <c r="AY59" s="126">
        <f t="shared" si="8"/>
        <v>0</v>
      </c>
      <c r="AZ59" s="126">
        <f t="shared" si="8"/>
        <v>0</v>
      </c>
      <c r="BA59" s="126">
        <f t="shared" si="8"/>
        <v>0</v>
      </c>
      <c r="BB59" s="126">
        <f t="shared" si="8"/>
        <v>0</v>
      </c>
      <c r="BC59" s="126">
        <f t="shared" si="8"/>
        <v>0</v>
      </c>
      <c r="BD59" s="126">
        <f t="shared" si="8"/>
        <v>0</v>
      </c>
      <c r="BE59" s="195"/>
      <c r="BF59" s="154"/>
      <c r="BG59" s="154"/>
      <c r="BH59" s="686" t="s">
        <v>1347</v>
      </c>
    </row>
    <row r="60" spans="1:60" ht="14.25" customHeight="1">
      <c r="B60" s="38"/>
      <c r="E60" s="446">
        <v>15</v>
      </c>
      <c r="F60" s="3" t="str" cm="1">
        <f t="array" aca="1" ref="F60" ca="1">OFFSET(E60,-1,1)</f>
        <v>1</v>
      </c>
      <c r="H60" s="38" t="s">
        <v>507</v>
      </c>
      <c r="T60" s="351" t="b" cm="1">
        <f t="array" ref="T60">T59</f>
        <v>1</v>
      </c>
      <c r="X60" s="1024"/>
      <c r="Z60" s="1008"/>
      <c r="AB60" s="133" t="s">
        <v>936</v>
      </c>
      <c r="AC60" s="127" t="s">
        <v>1348</v>
      </c>
      <c r="AD60" s="7" t="s">
        <v>859</v>
      </c>
      <c r="AE60" s="170">
        <f t="shared" ref="AE60:BD60" si="9">AE61+AE62+AE63+AE64+AE65</f>
        <v>0</v>
      </c>
      <c r="AF60" s="170">
        <f t="shared" si="9"/>
        <v>0</v>
      </c>
      <c r="AG60" s="170">
        <f t="shared" si="9"/>
        <v>0</v>
      </c>
      <c r="AH60" s="170">
        <f t="shared" si="9"/>
        <v>0</v>
      </c>
      <c r="AI60" s="170">
        <f t="shared" si="9"/>
        <v>0</v>
      </c>
      <c r="AJ60" s="170">
        <f t="shared" si="9"/>
        <v>0</v>
      </c>
      <c r="AK60" s="170">
        <f t="shared" si="9"/>
        <v>0</v>
      </c>
      <c r="AL60" s="170">
        <f t="shared" si="9"/>
        <v>0</v>
      </c>
      <c r="AM60" s="170">
        <f t="shared" si="9"/>
        <v>0</v>
      </c>
      <c r="AN60" s="170">
        <f t="shared" si="9"/>
        <v>0</v>
      </c>
      <c r="AO60" s="170">
        <f t="shared" si="9"/>
        <v>0</v>
      </c>
      <c r="AP60" s="170">
        <f t="shared" si="9"/>
        <v>0</v>
      </c>
      <c r="AQ60" s="170">
        <f t="shared" si="9"/>
        <v>0</v>
      </c>
      <c r="AR60" s="170">
        <f t="shared" si="9"/>
        <v>0</v>
      </c>
      <c r="AS60" s="170">
        <f t="shared" si="9"/>
        <v>0</v>
      </c>
      <c r="AT60" s="170">
        <f t="shared" si="9"/>
        <v>0</v>
      </c>
      <c r="AU60" s="170">
        <f t="shared" si="9"/>
        <v>0</v>
      </c>
      <c r="AV60" s="170">
        <f t="shared" si="9"/>
        <v>0</v>
      </c>
      <c r="AW60" s="170">
        <f t="shared" si="9"/>
        <v>0</v>
      </c>
      <c r="AX60" s="170">
        <f t="shared" si="9"/>
        <v>0</v>
      </c>
      <c r="AY60" s="170">
        <f t="shared" si="9"/>
        <v>0</v>
      </c>
      <c r="AZ60" s="170">
        <f t="shared" si="9"/>
        <v>0</v>
      </c>
      <c r="BA60" s="170">
        <f t="shared" si="9"/>
        <v>0</v>
      </c>
      <c r="BB60" s="170">
        <f t="shared" si="9"/>
        <v>0</v>
      </c>
      <c r="BC60" s="170">
        <f t="shared" si="9"/>
        <v>0</v>
      </c>
      <c r="BD60" s="170">
        <f t="shared" si="9"/>
        <v>0</v>
      </c>
      <c r="BE60" s="195"/>
      <c r="BH60" s="654" t="s">
        <v>1349</v>
      </c>
    </row>
    <row r="61" spans="1:60" ht="14.25" customHeight="1">
      <c r="B61" s="38"/>
      <c r="E61" s="446">
        <v>15</v>
      </c>
      <c r="F61" s="3" t="str" cm="1">
        <f t="array" aca="1" ref="F61" ca="1">OFFSET(E61,-1,1)</f>
        <v>1</v>
      </c>
      <c r="H61" s="38" t="s">
        <v>1040</v>
      </c>
      <c r="T61" s="351" t="b" cm="1">
        <f t="array" ref="T61">T60</f>
        <v>1</v>
      </c>
      <c r="X61" s="1024"/>
      <c r="Z61" s="1008"/>
      <c r="AB61" s="133" t="s">
        <v>1041</v>
      </c>
      <c r="AC61" s="134" t="s">
        <v>1350</v>
      </c>
      <c r="AD61" s="7" t="s">
        <v>859</v>
      </c>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95"/>
      <c r="BH61" s="654" t="s">
        <v>1242</v>
      </c>
    </row>
    <row r="62" spans="1:60" ht="14.25" customHeight="1">
      <c r="B62" s="38"/>
      <c r="E62" s="446">
        <v>15</v>
      </c>
      <c r="F62" s="3" t="str" cm="1">
        <f t="array" aca="1" ref="F62" ca="1">OFFSET(E62,-1,1)</f>
        <v>1</v>
      </c>
      <c r="H62" s="38" t="s">
        <v>1044</v>
      </c>
      <c r="K62" s="40" t="str">
        <f ca="1">F62&amp;"1komm"</f>
        <v>11komm</v>
      </c>
      <c r="L62" s="607" cm="1">
        <f t="array" ref="L62">BE62</f>
        <v>0</v>
      </c>
      <c r="T62" s="351" t="b" cm="1">
        <f t="array" ref="T62">T61</f>
        <v>1</v>
      </c>
      <c r="X62" s="1024"/>
      <c r="Z62" s="1008"/>
      <c r="AB62" s="133" t="s">
        <v>1045</v>
      </c>
      <c r="AC62" s="134" t="s">
        <v>1351</v>
      </c>
      <c r="AD62" s="7" t="s">
        <v>859</v>
      </c>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95"/>
      <c r="BH62" s="654" t="s">
        <v>1352</v>
      </c>
    </row>
    <row r="63" spans="1:60" ht="14.25" customHeight="1">
      <c r="B63" s="38"/>
      <c r="E63" s="446">
        <v>15</v>
      </c>
      <c r="F63" s="3" t="str" cm="1">
        <f t="array" aca="1" ref="F63" ca="1">OFFSET(E63,-1,1)</f>
        <v>1</v>
      </c>
      <c r="H63" s="38" t="s">
        <v>1353</v>
      </c>
      <c r="T63" s="351" t="b" cm="1">
        <f t="array" ref="T63">T62</f>
        <v>1</v>
      </c>
      <c r="X63" s="1024"/>
      <c r="Z63" s="1008"/>
      <c r="AB63" s="133" t="s">
        <v>1354</v>
      </c>
      <c r="AC63" s="134" t="s">
        <v>1355</v>
      </c>
      <c r="AD63" s="7" t="s">
        <v>859</v>
      </c>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95"/>
      <c r="BH63" s="654" t="s">
        <v>1356</v>
      </c>
    </row>
    <row r="64" spans="1:60" ht="14.25" customHeight="1">
      <c r="B64" s="38"/>
      <c r="E64" s="446">
        <v>15</v>
      </c>
      <c r="F64" s="3" t="str" cm="1">
        <f t="array" aca="1" ref="F64" ca="1">OFFSET(E64,-1,1)</f>
        <v>1</v>
      </c>
      <c r="H64" s="38" t="s">
        <v>1357</v>
      </c>
      <c r="T64" s="351" t="b" cm="1">
        <f t="array" ref="T64">T63</f>
        <v>1</v>
      </c>
      <c r="X64" s="1024"/>
      <c r="Z64" s="1008"/>
      <c r="AB64" s="133" t="s">
        <v>1358</v>
      </c>
      <c r="AC64" s="134" t="s">
        <v>1359</v>
      </c>
      <c r="AD64" s="7" t="s">
        <v>859</v>
      </c>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95"/>
      <c r="BH64" s="654" t="s">
        <v>1360</v>
      </c>
    </row>
    <row r="65" spans="2:60" ht="21.75" customHeight="1">
      <c r="B65" s="38"/>
      <c r="E65" s="446">
        <v>22.5</v>
      </c>
      <c r="F65" s="3" t="str" cm="1">
        <f t="array" aca="1" ref="F65" ca="1">OFFSET(E65,-1,1)</f>
        <v>1</v>
      </c>
      <c r="T65" s="351" t="b" cm="1">
        <f t="array" ref="T65">T64</f>
        <v>1</v>
      </c>
      <c r="X65" s="1024"/>
      <c r="Z65" s="1008"/>
      <c r="AB65" s="133" t="s">
        <v>1361</v>
      </c>
      <c r="AC65" s="134" t="s">
        <v>1362</v>
      </c>
      <c r="AD65" s="7" t="s">
        <v>859</v>
      </c>
      <c r="AE65" s="128">
        <f t="shared" ref="AE65:BD65" si="10">AE66+AE67+AE68+AE69</f>
        <v>0</v>
      </c>
      <c r="AF65" s="128">
        <f t="shared" si="10"/>
        <v>0</v>
      </c>
      <c r="AG65" s="128">
        <f t="shared" si="10"/>
        <v>0</v>
      </c>
      <c r="AH65" s="128">
        <f t="shared" si="10"/>
        <v>0</v>
      </c>
      <c r="AI65" s="128">
        <f t="shared" si="10"/>
        <v>0</v>
      </c>
      <c r="AJ65" s="128">
        <f t="shared" si="10"/>
        <v>0</v>
      </c>
      <c r="AK65" s="128">
        <f t="shared" si="10"/>
        <v>0</v>
      </c>
      <c r="AL65" s="128">
        <f t="shared" si="10"/>
        <v>0</v>
      </c>
      <c r="AM65" s="128">
        <f t="shared" si="10"/>
        <v>0</v>
      </c>
      <c r="AN65" s="128">
        <f t="shared" si="10"/>
        <v>0</v>
      </c>
      <c r="AO65" s="128">
        <f t="shared" si="10"/>
        <v>0</v>
      </c>
      <c r="AP65" s="128">
        <f t="shared" si="10"/>
        <v>0</v>
      </c>
      <c r="AQ65" s="128">
        <f t="shared" si="10"/>
        <v>0</v>
      </c>
      <c r="AR65" s="128">
        <f t="shared" si="10"/>
        <v>0</v>
      </c>
      <c r="AS65" s="128">
        <f t="shared" si="10"/>
        <v>0</v>
      </c>
      <c r="AT65" s="128">
        <f t="shared" si="10"/>
        <v>0</v>
      </c>
      <c r="AU65" s="128">
        <f t="shared" si="10"/>
        <v>0</v>
      </c>
      <c r="AV65" s="128">
        <f t="shared" si="10"/>
        <v>0</v>
      </c>
      <c r="AW65" s="128">
        <f t="shared" si="10"/>
        <v>0</v>
      </c>
      <c r="AX65" s="128">
        <f t="shared" si="10"/>
        <v>0</v>
      </c>
      <c r="AY65" s="128">
        <f t="shared" si="10"/>
        <v>0</v>
      </c>
      <c r="AZ65" s="128">
        <f t="shared" si="10"/>
        <v>0</v>
      </c>
      <c r="BA65" s="128">
        <f t="shared" si="10"/>
        <v>0</v>
      </c>
      <c r="BB65" s="128">
        <f t="shared" si="10"/>
        <v>0</v>
      </c>
      <c r="BC65" s="128">
        <f t="shared" si="10"/>
        <v>0</v>
      </c>
      <c r="BD65" s="128">
        <f t="shared" si="10"/>
        <v>0</v>
      </c>
      <c r="BE65" s="195"/>
      <c r="BH65" s="654" t="s">
        <v>1363</v>
      </c>
    </row>
    <row r="66" spans="2:60" ht="44.25" customHeight="1">
      <c r="B66" s="38"/>
      <c r="E66" s="446">
        <v>45.75</v>
      </c>
      <c r="F66" s="3" t="str" cm="1">
        <f t="array" aca="1" ref="F66" ca="1">OFFSET(E66,-1,1)</f>
        <v>1</v>
      </c>
      <c r="T66" s="351" t="b" cm="1">
        <f t="array" ref="T66">T65</f>
        <v>1</v>
      </c>
      <c r="X66" s="1024"/>
      <c r="Z66" s="1008"/>
      <c r="AB66" s="133" t="s">
        <v>1364</v>
      </c>
      <c r="AC66" s="541" t="s">
        <v>1365</v>
      </c>
      <c r="AD66" s="7" t="s">
        <v>859</v>
      </c>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95"/>
      <c r="BH66" s="654" t="s">
        <v>1366</v>
      </c>
    </row>
    <row r="67" spans="2:60" ht="44.25" customHeight="1">
      <c r="B67" s="38"/>
      <c r="E67" s="446">
        <v>45.75</v>
      </c>
      <c r="F67" s="3" t="str" cm="1">
        <f t="array" aca="1" ref="F67" ca="1">OFFSET(E67,-1,1)</f>
        <v>1</v>
      </c>
      <c r="T67" s="351" t="b" cm="1">
        <f t="array" ref="T67">T66</f>
        <v>1</v>
      </c>
      <c r="X67" s="1024"/>
      <c r="Z67" s="1008"/>
      <c r="AB67" s="133" t="s">
        <v>1367</v>
      </c>
      <c r="AC67" s="541" t="s">
        <v>1368</v>
      </c>
      <c r="AD67" s="7" t="s">
        <v>859</v>
      </c>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95"/>
      <c r="BH67" s="654" t="s">
        <v>1369</v>
      </c>
    </row>
    <row r="68" spans="2:60" ht="44.25" customHeight="1">
      <c r="B68" s="38"/>
      <c r="E68" s="446">
        <v>45.75</v>
      </c>
      <c r="F68" s="3" t="str" cm="1">
        <f t="array" aca="1" ref="F68" ca="1">OFFSET(E68,-1,1)</f>
        <v>1</v>
      </c>
      <c r="T68" s="351" t="b" cm="1">
        <f t="array" ref="T68">T67</f>
        <v>1</v>
      </c>
      <c r="X68" s="1024"/>
      <c r="Z68" s="1008"/>
      <c r="AB68" s="133" t="s">
        <v>1370</v>
      </c>
      <c r="AC68" s="541" t="s">
        <v>1371</v>
      </c>
      <c r="AD68" s="7" t="s">
        <v>859</v>
      </c>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95"/>
      <c r="BH68" s="654" t="s">
        <v>1372</v>
      </c>
    </row>
    <row r="69" spans="2:60" ht="21.75" customHeight="1">
      <c r="B69" s="38"/>
      <c r="E69" s="446">
        <v>22.5</v>
      </c>
      <c r="F69" s="3" t="str" cm="1">
        <f t="array" aca="1" ref="F69" ca="1">OFFSET(E69,-1,1)</f>
        <v>1</v>
      </c>
      <c r="T69" s="351" t="b" cm="1">
        <f t="array" ref="T69">T68</f>
        <v>1</v>
      </c>
      <c r="X69" s="1024"/>
      <c r="Z69" s="1008"/>
      <c r="AB69" s="133" t="s">
        <v>1373</v>
      </c>
      <c r="AC69" s="541" t="s">
        <v>1374</v>
      </c>
      <c r="AD69" s="7" t="s">
        <v>859</v>
      </c>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95"/>
      <c r="BH69" s="654" t="s">
        <v>1375</v>
      </c>
    </row>
    <row r="70" spans="2:60" ht="14.25" customHeight="1">
      <c r="B70" s="38"/>
      <c r="E70" s="446">
        <v>15</v>
      </c>
      <c r="F70" s="3" t="str" cm="1">
        <f t="array" aca="1" ref="F70" ca="1">OFFSET(E70,-1,1)</f>
        <v>1</v>
      </c>
      <c r="H70" s="38" t="s">
        <v>511</v>
      </c>
      <c r="T70" s="351" t="b" cm="1">
        <f t="array" ref="T70">T69</f>
        <v>1</v>
      </c>
      <c r="X70" s="1024"/>
      <c r="Z70" s="1008"/>
      <c r="AB70" s="133" t="s">
        <v>939</v>
      </c>
      <c r="AC70" s="127" t="s">
        <v>1376</v>
      </c>
      <c r="AD70" s="7" t="s">
        <v>859</v>
      </c>
      <c r="AE70" s="170">
        <f t="shared" ref="AE70:BD70" si="11">AE71+AE72+AE73</f>
        <v>0</v>
      </c>
      <c r="AF70" s="170">
        <f t="shared" si="11"/>
        <v>0</v>
      </c>
      <c r="AG70" s="170">
        <f t="shared" si="11"/>
        <v>0</v>
      </c>
      <c r="AH70" s="170">
        <f t="shared" si="11"/>
        <v>0</v>
      </c>
      <c r="AI70" s="170">
        <f t="shared" si="11"/>
        <v>0</v>
      </c>
      <c r="AJ70" s="170">
        <f t="shared" si="11"/>
        <v>0</v>
      </c>
      <c r="AK70" s="170">
        <f t="shared" si="11"/>
        <v>0</v>
      </c>
      <c r="AL70" s="170">
        <f t="shared" si="11"/>
        <v>0</v>
      </c>
      <c r="AM70" s="170">
        <f t="shared" si="11"/>
        <v>0</v>
      </c>
      <c r="AN70" s="170">
        <f t="shared" si="11"/>
        <v>0</v>
      </c>
      <c r="AO70" s="170">
        <f t="shared" si="11"/>
        <v>0</v>
      </c>
      <c r="AP70" s="170">
        <f t="shared" si="11"/>
        <v>0</v>
      </c>
      <c r="AQ70" s="170">
        <f t="shared" si="11"/>
        <v>0</v>
      </c>
      <c r="AR70" s="170">
        <f t="shared" si="11"/>
        <v>0</v>
      </c>
      <c r="AS70" s="170">
        <f t="shared" si="11"/>
        <v>0</v>
      </c>
      <c r="AT70" s="170">
        <f t="shared" si="11"/>
        <v>0</v>
      </c>
      <c r="AU70" s="170">
        <f t="shared" si="11"/>
        <v>0</v>
      </c>
      <c r="AV70" s="170">
        <f t="shared" si="11"/>
        <v>0</v>
      </c>
      <c r="AW70" s="170">
        <f t="shared" si="11"/>
        <v>0</v>
      </c>
      <c r="AX70" s="170">
        <f t="shared" si="11"/>
        <v>0</v>
      </c>
      <c r="AY70" s="170">
        <f t="shared" si="11"/>
        <v>0</v>
      </c>
      <c r="AZ70" s="170">
        <f t="shared" si="11"/>
        <v>0</v>
      </c>
      <c r="BA70" s="170">
        <f t="shared" si="11"/>
        <v>0</v>
      </c>
      <c r="BB70" s="170">
        <f t="shared" si="11"/>
        <v>0</v>
      </c>
      <c r="BC70" s="170">
        <f t="shared" si="11"/>
        <v>0</v>
      </c>
      <c r="BD70" s="170">
        <f t="shared" si="11"/>
        <v>0</v>
      </c>
      <c r="BE70" s="195"/>
      <c r="BH70" s="654" t="s">
        <v>1377</v>
      </c>
    </row>
    <row r="71" spans="2:60" ht="14.25" customHeight="1">
      <c r="B71" s="38"/>
      <c r="E71" s="446">
        <v>15</v>
      </c>
      <c r="F71" s="3" t="str" cm="1">
        <f t="array" aca="1" ref="F71" ca="1">OFFSET(E71,-1,1)</f>
        <v>1</v>
      </c>
      <c r="H71" s="38" t="s">
        <v>1378</v>
      </c>
      <c r="T71" s="351" t="b" cm="1">
        <f t="array" ref="T71">T70</f>
        <v>1</v>
      </c>
      <c r="X71" s="1024"/>
      <c r="Z71" s="1008"/>
      <c r="AB71" s="133" t="s">
        <v>1379</v>
      </c>
      <c r="AC71" s="134" t="s">
        <v>1380</v>
      </c>
      <c r="AD71" s="7" t="s">
        <v>859</v>
      </c>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95"/>
      <c r="BH71" s="654" t="s">
        <v>1282</v>
      </c>
    </row>
    <row r="72" spans="2:60" ht="14.25" customHeight="1">
      <c r="B72" s="38"/>
      <c r="E72" s="446">
        <v>15</v>
      </c>
      <c r="F72" s="3" t="str" cm="1">
        <f t="array" aca="1" ref="F72" ca="1">OFFSET(E72,-1,1)</f>
        <v>1</v>
      </c>
      <c r="H72" s="38" t="s">
        <v>1381</v>
      </c>
      <c r="T72" s="351" t="b" cm="1">
        <f t="array" ref="T72">T71</f>
        <v>1</v>
      </c>
      <c r="X72" s="1024"/>
      <c r="Z72" s="1008"/>
      <c r="AB72" s="133" t="s">
        <v>1382</v>
      </c>
      <c r="AC72" s="134" t="s">
        <v>1383</v>
      </c>
      <c r="AD72" s="7" t="s">
        <v>859</v>
      </c>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95"/>
      <c r="BH72" s="654" t="s">
        <v>1384</v>
      </c>
    </row>
    <row r="73" spans="2:60" ht="14.25" customHeight="1">
      <c r="B73" s="38"/>
      <c r="E73" s="446">
        <v>15</v>
      </c>
      <c r="F73" s="3" t="str" cm="1">
        <f t="array" aca="1" ref="F73" ca="1">OFFSET(E73,-1,1)</f>
        <v>1</v>
      </c>
      <c r="H73" s="38" t="s">
        <v>1385</v>
      </c>
      <c r="T73" s="351" t="b" cm="1">
        <f t="array" ref="T73">T72</f>
        <v>1</v>
      </c>
      <c r="X73" s="1024"/>
      <c r="Z73" s="1008"/>
      <c r="AB73" s="133" t="s">
        <v>1386</v>
      </c>
      <c r="AC73" s="134" t="s">
        <v>1387</v>
      </c>
      <c r="AD73" s="7" t="s">
        <v>859</v>
      </c>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95"/>
      <c r="BH73" s="654" t="s">
        <v>1388</v>
      </c>
    </row>
    <row r="74" spans="2:60" ht="14.25" customHeight="1">
      <c r="B74" s="38"/>
      <c r="E74" s="446">
        <v>15</v>
      </c>
      <c r="F74" s="3" t="str" cm="1">
        <f t="array" aca="1" ref="F74" ca="1">OFFSET(E74,-1,1)</f>
        <v>1</v>
      </c>
      <c r="H74" s="38" t="s">
        <v>514</v>
      </c>
      <c r="T74" s="351" t="b" cm="1">
        <f t="array" ref="T74">T73</f>
        <v>1</v>
      </c>
      <c r="X74" s="1024"/>
      <c r="Z74" s="1008"/>
      <c r="AB74" s="133" t="s">
        <v>942</v>
      </c>
      <c r="AC74" s="127" t="s">
        <v>1389</v>
      </c>
      <c r="AD74" s="7" t="s">
        <v>859</v>
      </c>
      <c r="AE74" s="170">
        <f t="shared" ref="AE74:BD74" si="12">AE75+AE76+AE77</f>
        <v>0</v>
      </c>
      <c r="AF74" s="170">
        <f t="shared" si="12"/>
        <v>0</v>
      </c>
      <c r="AG74" s="170">
        <f t="shared" si="12"/>
        <v>0</v>
      </c>
      <c r="AH74" s="170">
        <f t="shared" si="12"/>
        <v>0</v>
      </c>
      <c r="AI74" s="170">
        <f t="shared" si="12"/>
        <v>0</v>
      </c>
      <c r="AJ74" s="170">
        <f t="shared" si="12"/>
        <v>0</v>
      </c>
      <c r="AK74" s="170">
        <f t="shared" si="12"/>
        <v>0</v>
      </c>
      <c r="AL74" s="170">
        <f t="shared" si="12"/>
        <v>0</v>
      </c>
      <c r="AM74" s="170">
        <f t="shared" si="12"/>
        <v>0</v>
      </c>
      <c r="AN74" s="170">
        <f t="shared" si="12"/>
        <v>0</v>
      </c>
      <c r="AO74" s="170">
        <f t="shared" si="12"/>
        <v>0</v>
      </c>
      <c r="AP74" s="170">
        <f t="shared" si="12"/>
        <v>0</v>
      </c>
      <c r="AQ74" s="170">
        <f t="shared" si="12"/>
        <v>0</v>
      </c>
      <c r="AR74" s="170">
        <f t="shared" si="12"/>
        <v>0</v>
      </c>
      <c r="AS74" s="170">
        <f t="shared" si="12"/>
        <v>0</v>
      </c>
      <c r="AT74" s="170">
        <f t="shared" si="12"/>
        <v>0</v>
      </c>
      <c r="AU74" s="170">
        <f t="shared" si="12"/>
        <v>0</v>
      </c>
      <c r="AV74" s="170">
        <f t="shared" si="12"/>
        <v>0</v>
      </c>
      <c r="AW74" s="170">
        <f t="shared" si="12"/>
        <v>0</v>
      </c>
      <c r="AX74" s="170">
        <f t="shared" si="12"/>
        <v>0</v>
      </c>
      <c r="AY74" s="170">
        <f t="shared" si="12"/>
        <v>0</v>
      </c>
      <c r="AZ74" s="170">
        <f t="shared" si="12"/>
        <v>0</v>
      </c>
      <c r="BA74" s="170">
        <f t="shared" si="12"/>
        <v>0</v>
      </c>
      <c r="BB74" s="170">
        <f t="shared" si="12"/>
        <v>0</v>
      </c>
      <c r="BC74" s="170">
        <f t="shared" si="12"/>
        <v>0</v>
      </c>
      <c r="BD74" s="170">
        <f t="shared" si="12"/>
        <v>0</v>
      </c>
      <c r="BE74" s="195"/>
      <c r="BH74" s="654" t="s">
        <v>1390</v>
      </c>
    </row>
    <row r="75" spans="2:60" ht="14.25" customHeight="1">
      <c r="B75" s="38"/>
      <c r="E75" s="446">
        <v>15</v>
      </c>
      <c r="F75" s="3" t="str" cm="1">
        <f t="array" aca="1" ref="F75" ca="1">OFFSET(E75,-1,1)</f>
        <v>1</v>
      </c>
      <c r="H75" s="38" t="s">
        <v>1391</v>
      </c>
      <c r="T75" s="351" t="b" cm="1">
        <f t="array" ref="T75">T74</f>
        <v>1</v>
      </c>
      <c r="X75" s="1024"/>
      <c r="Z75" s="1008"/>
      <c r="AB75" s="133" t="s">
        <v>1392</v>
      </c>
      <c r="AC75" s="134" t="s">
        <v>1393</v>
      </c>
      <c r="AD75" s="7" t="s">
        <v>859</v>
      </c>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95"/>
      <c r="BH75" s="654" t="s">
        <v>1394</v>
      </c>
    </row>
    <row r="76" spans="2:60" ht="14.25" customHeight="1">
      <c r="B76" s="38"/>
      <c r="E76" s="446">
        <v>15</v>
      </c>
      <c r="F76" s="3" t="str" cm="1">
        <f t="array" aca="1" ref="F76" ca="1">OFFSET(E76,-1,1)</f>
        <v>1</v>
      </c>
      <c r="H76" s="38" t="s">
        <v>1395</v>
      </c>
      <c r="T76" s="351" t="b" cm="1">
        <f t="array" ref="T76">T75</f>
        <v>1</v>
      </c>
      <c r="X76" s="1024"/>
      <c r="Z76" s="1008"/>
      <c r="AB76" s="133" t="s">
        <v>1396</v>
      </c>
      <c r="AC76" s="134" t="s">
        <v>1397</v>
      </c>
      <c r="AD76" s="7" t="s">
        <v>859</v>
      </c>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95"/>
      <c r="BH76" s="654" t="s">
        <v>1398</v>
      </c>
    </row>
    <row r="77" spans="2:60" ht="14.25" customHeight="1">
      <c r="B77" s="38"/>
      <c r="E77" s="446">
        <v>15</v>
      </c>
      <c r="F77" s="3" t="str" cm="1">
        <f t="array" aca="1" ref="F77" ca="1">OFFSET(E77,-1,1)</f>
        <v>1</v>
      </c>
      <c r="H77" s="38" t="s">
        <v>1399</v>
      </c>
      <c r="T77" s="351" t="b" cm="1">
        <f t="array" ref="T77">T76</f>
        <v>1</v>
      </c>
      <c r="X77" s="1024"/>
      <c r="Z77" s="1008"/>
      <c r="AB77" s="133" t="s">
        <v>1400</v>
      </c>
      <c r="AC77" s="134" t="s">
        <v>1401</v>
      </c>
      <c r="AD77" s="7" t="s">
        <v>859</v>
      </c>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95"/>
      <c r="BH77" s="654" t="s">
        <v>1402</v>
      </c>
    </row>
    <row r="78" spans="2:60" ht="14.25" customHeight="1">
      <c r="B78" s="38"/>
      <c r="E78" s="446">
        <v>15</v>
      </c>
      <c r="F78" s="3" t="str" cm="1">
        <f t="array" aca="1" ref="F78" ca="1">OFFSET(E78,-1,1)</f>
        <v>1</v>
      </c>
      <c r="H78" s="38" t="s">
        <v>518</v>
      </c>
      <c r="T78" s="351" t="b" cm="1">
        <f t="array" ref="T78">T77</f>
        <v>1</v>
      </c>
      <c r="X78" s="1024"/>
      <c r="Z78" s="1008"/>
      <c r="AB78" s="133" t="s">
        <v>945</v>
      </c>
      <c r="AC78" s="127" t="s">
        <v>1403</v>
      </c>
      <c r="AD78" s="7" t="s">
        <v>859</v>
      </c>
      <c r="AE78" s="170">
        <f t="shared" ref="AE78:BD78" si="13">AE79+AE80+AE81+AE82</f>
        <v>0</v>
      </c>
      <c r="AF78" s="170">
        <f t="shared" si="13"/>
        <v>0</v>
      </c>
      <c r="AG78" s="170">
        <f t="shared" si="13"/>
        <v>0</v>
      </c>
      <c r="AH78" s="170">
        <f t="shared" si="13"/>
        <v>0</v>
      </c>
      <c r="AI78" s="170">
        <f t="shared" si="13"/>
        <v>0</v>
      </c>
      <c r="AJ78" s="170">
        <f t="shared" si="13"/>
        <v>0</v>
      </c>
      <c r="AK78" s="170">
        <f t="shared" si="13"/>
        <v>0</v>
      </c>
      <c r="AL78" s="170">
        <f t="shared" si="13"/>
        <v>0</v>
      </c>
      <c r="AM78" s="170">
        <f t="shared" si="13"/>
        <v>0</v>
      </c>
      <c r="AN78" s="170">
        <f t="shared" si="13"/>
        <v>0</v>
      </c>
      <c r="AO78" s="170">
        <f t="shared" si="13"/>
        <v>0</v>
      </c>
      <c r="AP78" s="170">
        <f t="shared" si="13"/>
        <v>0</v>
      </c>
      <c r="AQ78" s="170">
        <f t="shared" si="13"/>
        <v>0</v>
      </c>
      <c r="AR78" s="170">
        <f t="shared" si="13"/>
        <v>0</v>
      </c>
      <c r="AS78" s="170">
        <f t="shared" si="13"/>
        <v>0</v>
      </c>
      <c r="AT78" s="170">
        <f t="shared" si="13"/>
        <v>0</v>
      </c>
      <c r="AU78" s="170">
        <f t="shared" si="13"/>
        <v>0</v>
      </c>
      <c r="AV78" s="170">
        <f t="shared" si="13"/>
        <v>0</v>
      </c>
      <c r="AW78" s="170">
        <f t="shared" si="13"/>
        <v>0</v>
      </c>
      <c r="AX78" s="170">
        <f t="shared" si="13"/>
        <v>0</v>
      </c>
      <c r="AY78" s="170">
        <f t="shared" si="13"/>
        <v>0</v>
      </c>
      <c r="AZ78" s="170">
        <f t="shared" si="13"/>
        <v>0</v>
      </c>
      <c r="BA78" s="170">
        <f t="shared" si="13"/>
        <v>0</v>
      </c>
      <c r="BB78" s="170">
        <f t="shared" si="13"/>
        <v>0</v>
      </c>
      <c r="BC78" s="170">
        <f t="shared" si="13"/>
        <v>0</v>
      </c>
      <c r="BD78" s="170">
        <f t="shared" si="13"/>
        <v>0</v>
      </c>
      <c r="BE78" s="195"/>
      <c r="BH78" s="654" t="s">
        <v>1404</v>
      </c>
    </row>
    <row r="79" spans="2:60" ht="14.25" customHeight="1">
      <c r="B79" s="38"/>
      <c r="E79" s="446">
        <v>15</v>
      </c>
      <c r="F79" s="3" t="str" cm="1">
        <f t="array" aca="1" ref="F79" ca="1">OFFSET(E79,-1,1)</f>
        <v>1</v>
      </c>
      <c r="H79" s="38" t="s">
        <v>1405</v>
      </c>
      <c r="T79" s="351" t="b" cm="1">
        <f t="array" ref="T79">T78</f>
        <v>1</v>
      </c>
      <c r="X79" s="1024"/>
      <c r="Z79" s="1008"/>
      <c r="AB79" s="133" t="s">
        <v>1057</v>
      </c>
      <c r="AC79" s="134" t="s">
        <v>1051</v>
      </c>
      <c r="AD79" s="7" t="s">
        <v>859</v>
      </c>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95"/>
      <c r="BH79" s="654" t="s">
        <v>1053</v>
      </c>
    </row>
    <row r="80" spans="2:60" ht="21.75" customHeight="1">
      <c r="B80" s="38"/>
      <c r="E80" s="446">
        <v>22.5</v>
      </c>
      <c r="F80" s="3" t="str" cm="1">
        <f t="array" aca="1" ref="F80" ca="1">OFFSET(E80,-1,1)</f>
        <v>1</v>
      </c>
      <c r="H80" s="38" t="s">
        <v>1406</v>
      </c>
      <c r="T80" s="351" t="b" cm="1">
        <f t="array" ref="T80">T79</f>
        <v>1</v>
      </c>
      <c r="X80" s="1024"/>
      <c r="Z80" s="1008"/>
      <c r="AB80" s="133" t="s">
        <v>1060</v>
      </c>
      <c r="AC80" s="134" t="s">
        <v>1407</v>
      </c>
      <c r="AD80" s="7" t="s">
        <v>859</v>
      </c>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95"/>
      <c r="BH80" s="654" t="s">
        <v>1408</v>
      </c>
    </row>
    <row r="81" spans="1:60" ht="21.75" customHeight="1">
      <c r="B81" s="38"/>
      <c r="E81" s="446">
        <v>22.5</v>
      </c>
      <c r="F81" s="3" t="str" cm="1">
        <f t="array" aca="1" ref="F81" ca="1">OFFSET(E81,-1,1)</f>
        <v>1</v>
      </c>
      <c r="H81" s="38" t="s">
        <v>1409</v>
      </c>
      <c r="T81" s="351" t="b" cm="1">
        <f t="array" ref="T81">T80</f>
        <v>1</v>
      </c>
      <c r="X81" s="1024"/>
      <c r="Z81" s="1008"/>
      <c r="AB81" s="133" t="s">
        <v>1410</v>
      </c>
      <c r="AC81" s="134" t="s">
        <v>1411</v>
      </c>
      <c r="AD81" s="7" t="s">
        <v>859</v>
      </c>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95"/>
      <c r="BH81" s="654" t="s">
        <v>1412</v>
      </c>
    </row>
    <row r="82" spans="1:60" ht="14.25" customHeight="1">
      <c r="B82" s="38"/>
      <c r="E82" s="446">
        <v>15</v>
      </c>
      <c r="F82" s="3" t="str" cm="1">
        <f t="array" aca="1" ref="F82" ca="1">OFFSET(E82,-1,1)</f>
        <v>1</v>
      </c>
      <c r="H82" s="38" t="s">
        <v>1413</v>
      </c>
      <c r="T82" s="351" t="b" cm="1">
        <f t="array" ref="T82">T81</f>
        <v>1</v>
      </c>
      <c r="X82" s="1024"/>
      <c r="Z82" s="1008"/>
      <c r="AB82" s="133" t="s">
        <v>1414</v>
      </c>
      <c r="AC82" s="134" t="s">
        <v>1415</v>
      </c>
      <c r="AD82" s="7" t="s">
        <v>859</v>
      </c>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95"/>
      <c r="BH82" s="654" t="s">
        <v>1416</v>
      </c>
    </row>
    <row r="83" spans="1:60" s="891" customFormat="1" ht="21.75" customHeight="1">
      <c r="A83" s="154"/>
      <c r="B83" s="38"/>
      <c r="C83" s="154"/>
      <c r="D83" s="154"/>
      <c r="E83" s="499">
        <v>22.5</v>
      </c>
      <c r="F83" s="3" t="str" cm="1">
        <f t="array" aca="1" ref="F83" ca="1">OFFSET(E83,-1,1)</f>
        <v>1</v>
      </c>
      <c r="G83" s="38"/>
      <c r="H83" s="38" t="s">
        <v>322</v>
      </c>
      <c r="I83" s="154"/>
      <c r="J83" s="154"/>
      <c r="K83" s="154"/>
      <c r="L83" s="154"/>
      <c r="M83" s="154"/>
      <c r="N83" s="154"/>
      <c r="O83" s="154"/>
      <c r="P83" s="154"/>
      <c r="Q83" s="154"/>
      <c r="R83" s="154"/>
      <c r="S83" s="154"/>
      <c r="T83" s="351" t="b" cm="1">
        <f t="array" ref="T83">T82</f>
        <v>1</v>
      </c>
      <c r="U83" s="154"/>
      <c r="V83" s="154"/>
      <c r="W83" s="154"/>
      <c r="X83" s="1024"/>
      <c r="Y83" s="154"/>
      <c r="Z83" s="1008"/>
      <c r="AA83" s="154"/>
      <c r="AB83" s="131" t="s">
        <v>435</v>
      </c>
      <c r="AC83" s="132" t="s">
        <v>1417</v>
      </c>
      <c r="AD83" s="124" t="s">
        <v>859</v>
      </c>
      <c r="AE83" s="126">
        <f t="shared" ref="AE83:BD83" si="14">AE84+AE85+AE86</f>
        <v>0</v>
      </c>
      <c r="AF83" s="126">
        <f t="shared" si="14"/>
        <v>0</v>
      </c>
      <c r="AG83" s="126">
        <f t="shared" si="14"/>
        <v>0</v>
      </c>
      <c r="AH83" s="126">
        <f t="shared" si="14"/>
        <v>0</v>
      </c>
      <c r="AI83" s="126">
        <f t="shared" si="14"/>
        <v>0</v>
      </c>
      <c r="AJ83" s="126">
        <f t="shared" si="14"/>
        <v>0</v>
      </c>
      <c r="AK83" s="126">
        <f t="shared" si="14"/>
        <v>0</v>
      </c>
      <c r="AL83" s="126">
        <f t="shared" si="14"/>
        <v>0</v>
      </c>
      <c r="AM83" s="126">
        <f t="shared" si="14"/>
        <v>0</v>
      </c>
      <c r="AN83" s="126">
        <f t="shared" si="14"/>
        <v>0</v>
      </c>
      <c r="AO83" s="126">
        <f t="shared" si="14"/>
        <v>0</v>
      </c>
      <c r="AP83" s="126">
        <f t="shared" si="14"/>
        <v>0</v>
      </c>
      <c r="AQ83" s="126">
        <f t="shared" si="14"/>
        <v>0</v>
      </c>
      <c r="AR83" s="126">
        <f t="shared" si="14"/>
        <v>0</v>
      </c>
      <c r="AS83" s="126">
        <f t="shared" si="14"/>
        <v>0</v>
      </c>
      <c r="AT83" s="126">
        <f t="shared" si="14"/>
        <v>0</v>
      </c>
      <c r="AU83" s="126">
        <f t="shared" si="14"/>
        <v>0</v>
      </c>
      <c r="AV83" s="126">
        <f t="shared" si="14"/>
        <v>0</v>
      </c>
      <c r="AW83" s="126">
        <f t="shared" si="14"/>
        <v>0</v>
      </c>
      <c r="AX83" s="126">
        <f t="shared" si="14"/>
        <v>0</v>
      </c>
      <c r="AY83" s="126">
        <f t="shared" si="14"/>
        <v>0</v>
      </c>
      <c r="AZ83" s="126">
        <f t="shared" si="14"/>
        <v>0</v>
      </c>
      <c r="BA83" s="126">
        <f t="shared" si="14"/>
        <v>0</v>
      </c>
      <c r="BB83" s="126">
        <f t="shared" si="14"/>
        <v>0</v>
      </c>
      <c r="BC83" s="126">
        <f t="shared" si="14"/>
        <v>0</v>
      </c>
      <c r="BD83" s="126">
        <f t="shared" si="14"/>
        <v>0</v>
      </c>
      <c r="BE83" s="195"/>
      <c r="BF83" s="154"/>
      <c r="BG83" s="154"/>
      <c r="BH83" s="686" t="s">
        <v>1418</v>
      </c>
    </row>
    <row r="84" spans="1:60" ht="14.25" customHeight="1">
      <c r="B84" s="38"/>
      <c r="E84" s="446">
        <v>15</v>
      </c>
      <c r="F84" s="3" t="str" cm="1">
        <f t="array" aca="1" ref="F84" ca="1">OFFSET(E84,-1,1)</f>
        <v>1</v>
      </c>
      <c r="H84" s="38" t="s">
        <v>525</v>
      </c>
      <c r="K84" s="40" t="str">
        <f ca="1">F84&amp;"2komm"</f>
        <v>12komm</v>
      </c>
      <c r="L84" s="40" cm="1">
        <f t="array" ref="L84">BE84</f>
        <v>0</v>
      </c>
      <c r="T84" s="351" t="b" cm="1">
        <f t="array" ref="T84">T83</f>
        <v>1</v>
      </c>
      <c r="X84" s="1024"/>
      <c r="Z84" s="1008"/>
      <c r="AB84" s="133" t="s">
        <v>588</v>
      </c>
      <c r="AC84" s="127" t="s">
        <v>1419</v>
      </c>
      <c r="AD84" s="7" t="s">
        <v>859</v>
      </c>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95"/>
      <c r="BH84" s="654" t="s">
        <v>1420</v>
      </c>
    </row>
    <row r="85" spans="1:60" ht="14.25" customHeight="1">
      <c r="B85" s="38"/>
      <c r="E85" s="446">
        <v>15</v>
      </c>
      <c r="F85" s="3" t="str" cm="1">
        <f t="array" aca="1" ref="F85" ca="1">OFFSET(E85,-1,1)</f>
        <v>1</v>
      </c>
      <c r="H85" s="38" t="s">
        <v>528</v>
      </c>
      <c r="K85" s="40" t="str">
        <f ca="1">F85&amp;"3komm"</f>
        <v>13komm</v>
      </c>
      <c r="L85" s="40" cm="1">
        <f t="array" ref="L85">BE85</f>
        <v>0</v>
      </c>
      <c r="T85" s="351" t="b" cm="1">
        <f t="array" ref="T85">T84</f>
        <v>1</v>
      </c>
      <c r="X85" s="1024"/>
      <c r="Z85" s="1008"/>
      <c r="AB85" s="133" t="s">
        <v>592</v>
      </c>
      <c r="AC85" s="127" t="s">
        <v>1421</v>
      </c>
      <c r="AD85" s="7" t="s">
        <v>859</v>
      </c>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28"/>
      <c r="BD85" s="128"/>
      <c r="BE85" s="195"/>
      <c r="BH85" s="654" t="s">
        <v>1422</v>
      </c>
    </row>
    <row r="86" spans="1:60" ht="14.25" customHeight="1">
      <c r="B86" s="38"/>
      <c r="E86" s="446">
        <v>15</v>
      </c>
      <c r="F86" s="3" t="str" cm="1">
        <f t="array" aca="1" ref="F86" ca="1">OFFSET(E86,-1,1)</f>
        <v>1</v>
      </c>
      <c r="H86" s="38" t="s">
        <v>956</v>
      </c>
      <c r="T86" s="351" t="b" cm="1">
        <f t="array" ref="T86">T85</f>
        <v>1</v>
      </c>
      <c r="X86" s="1024"/>
      <c r="Z86" s="1008"/>
      <c r="AB86" s="133" t="s">
        <v>596</v>
      </c>
      <c r="AC86" s="127" t="s">
        <v>1423</v>
      </c>
      <c r="AD86" s="7" t="s">
        <v>859</v>
      </c>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95"/>
      <c r="BH86" s="654" t="s">
        <v>1424</v>
      </c>
    </row>
    <row r="87" spans="1:60" ht="25.35" customHeight="1">
      <c r="A87" s="314"/>
      <c r="B87" s="477"/>
      <c r="C87" s="314"/>
      <c r="D87" s="314"/>
      <c r="E87" s="478">
        <v>26</v>
      </c>
      <c r="F87" s="314"/>
      <c r="G87" s="314"/>
      <c r="H87" s="314"/>
      <c r="I87" s="314"/>
      <c r="J87" s="314"/>
      <c r="K87" s="314"/>
      <c r="L87" s="314"/>
      <c r="M87" s="314"/>
      <c r="N87" s="314"/>
      <c r="O87" s="314"/>
      <c r="P87" s="314"/>
      <c r="Q87" s="252"/>
      <c r="R87" s="314"/>
      <c r="S87" s="314"/>
      <c r="T87" s="314"/>
      <c r="U87" s="314" t="s">
        <v>175</v>
      </c>
      <c r="V87" s="56" t="s">
        <v>1425</v>
      </c>
      <c r="W87" s="314"/>
      <c r="X87" s="314"/>
      <c r="Y87" s="314"/>
      <c r="Z87" s="314"/>
      <c r="AC87" s="17" t="s">
        <v>1426</v>
      </c>
      <c r="BG87"/>
      <c r="BH87" s="659"/>
    </row>
    <row r="88" spans="1:60" ht="14.65" customHeight="1">
      <c r="E88" s="446">
        <v>15</v>
      </c>
      <c r="AB88" s="1028" t="s">
        <v>396</v>
      </c>
      <c r="AC88" s="1098"/>
      <c r="AD88" s="1098"/>
      <c r="AE88" s="1098"/>
      <c r="AF88" s="1098"/>
      <c r="AG88" s="1098"/>
      <c r="AH88" s="1098"/>
      <c r="AI88" s="1098"/>
      <c r="AJ88" s="1098"/>
      <c r="AK88" s="1098"/>
      <c r="AL88" s="1098"/>
      <c r="AM88" s="1098"/>
      <c r="AN88" s="1098"/>
      <c r="AO88" s="1098"/>
      <c r="AP88" s="1098"/>
      <c r="AQ88" s="1098"/>
      <c r="AR88" s="1098"/>
      <c r="AS88" s="1098"/>
      <c r="AT88" s="1098"/>
      <c r="AU88" s="1098"/>
      <c r="AV88" s="1098"/>
      <c r="AW88" s="1098"/>
      <c r="AX88" s="1098"/>
      <c r="AY88" s="1098"/>
      <c r="AZ88" s="1098"/>
      <c r="BA88" s="1098"/>
      <c r="BB88" s="1098"/>
      <c r="BC88" s="1098"/>
      <c r="BD88" s="1098"/>
      <c r="BE88" s="1098"/>
    </row>
    <row r="89" spans="1:60" ht="14.65" customHeight="1">
      <c r="E89" s="446">
        <v>15</v>
      </c>
      <c r="AA89" s="87"/>
      <c r="AB89" s="1095"/>
      <c r="AC89" s="1095"/>
      <c r="AD89" s="1095"/>
      <c r="AE89" s="1095"/>
      <c r="AF89" s="1095"/>
      <c r="AG89" s="1095"/>
      <c r="AH89" s="1095"/>
      <c r="AI89" s="1095"/>
      <c r="AJ89" s="1095"/>
      <c r="AK89" s="1095"/>
      <c r="AL89" s="1095"/>
      <c r="AM89" s="1095"/>
      <c r="AN89" s="1096"/>
      <c r="AO89" s="1096"/>
      <c r="AP89" s="1096"/>
      <c r="AQ89" s="1096"/>
      <c r="AR89" s="1096"/>
      <c r="AS89" s="1096"/>
      <c r="AT89" s="1096"/>
      <c r="AU89" s="1095"/>
      <c r="AV89" s="1095"/>
      <c r="AW89" s="1095"/>
      <c r="AX89" s="1096"/>
      <c r="AY89" s="1096"/>
      <c r="AZ89" s="1096"/>
      <c r="BA89" s="1096"/>
      <c r="BB89" s="1096"/>
      <c r="BC89" s="1096"/>
      <c r="BD89" s="1096"/>
      <c r="BE89" s="1095"/>
    </row>
    <row r="90" spans="1:60" ht="14.65" hidden="1" customHeight="1">
      <c r="E90" s="446">
        <v>15</v>
      </c>
      <c r="T90" s="351" t="b">
        <f>ROW(W90)&gt;ROW(W$90)</f>
        <v>0</v>
      </c>
      <c r="W90" s="515" t="s">
        <v>171</v>
      </c>
      <c r="AA90" s="319" t="s">
        <v>172</v>
      </c>
      <c r="AB90" s="1096" t="s">
        <v>124</v>
      </c>
      <c r="AC90" s="1096"/>
      <c r="AD90" s="1096"/>
      <c r="AE90" s="1096"/>
      <c r="AF90" s="1096"/>
      <c r="AG90" s="1096"/>
      <c r="AH90" s="1096"/>
      <c r="AI90" s="1096"/>
      <c r="AJ90" s="1096"/>
      <c r="AK90" s="1095"/>
      <c r="AL90" s="1095"/>
      <c r="AM90" s="1095"/>
      <c r="AN90" s="1096"/>
      <c r="AO90" s="1096"/>
      <c r="AP90" s="1096"/>
      <c r="AQ90" s="1096"/>
      <c r="AR90" s="1096"/>
      <c r="AS90" s="1096"/>
      <c r="AT90" s="1096"/>
      <c r="AU90" s="1095"/>
      <c r="AV90" s="1095"/>
      <c r="AW90" s="1095"/>
      <c r="AX90" s="1096"/>
      <c r="AY90" s="1096"/>
      <c r="AZ90" s="1096"/>
      <c r="BA90" s="1096"/>
      <c r="BB90" s="1096"/>
      <c r="BC90" s="1096"/>
      <c r="BD90" s="1096"/>
      <c r="BE90" s="1096"/>
    </row>
    <row r="91" spans="1:60" ht="14.65" customHeight="1">
      <c r="E91" s="446">
        <v>15</v>
      </c>
      <c r="W91" s="515" t="s">
        <v>407</v>
      </c>
      <c r="AB91" s="472"/>
      <c r="AC91" s="380" t="s">
        <v>408</v>
      </c>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186"/>
    </row>
    <row r="92" spans="1:60" ht="10.7" customHeight="1">
      <c r="E92" s="446">
        <v>11</v>
      </c>
      <c r="BF92" s="22"/>
    </row>
  </sheetData>
  <sheetProtection formatColumns="0" formatRows="0" insertRows="0" deleteColumns="0" deleteRows="0" sort="0" autoFilter="0"/>
  <mergeCells count="12">
    <mergeCell ref="X29:X57"/>
    <mergeCell ref="Z29:Z57"/>
    <mergeCell ref="AB24:AC24"/>
    <mergeCell ref="BE26:BE27"/>
    <mergeCell ref="AB88:BE88"/>
    <mergeCell ref="X58:X86"/>
    <mergeCell ref="Z58:Z86"/>
    <mergeCell ref="AB89:BE89"/>
    <mergeCell ref="AB26:AB27"/>
    <mergeCell ref="AC26:AC27"/>
    <mergeCell ref="AD26:AD27"/>
    <mergeCell ref="AB90:BE90"/>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34A8-455E-DAB8-5C58-24A07E7C0968}">
  <sheetPr>
    <tabColor rgb="FF002060"/>
    <outlinePr summaryBelow="0" summaryRight="0"/>
  </sheetPr>
  <dimension ref="A1:BB48"/>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3" width="12.5703125" style="38" customWidth="1"/>
    <col min="34" max="40" width="12.5703125" style="38" hidden="1" customWidth="1"/>
    <col min="41" max="43" width="12.5703125" style="38" customWidth="1"/>
    <col min="44" max="50" width="12.5703125" style="38" hidden="1" customWidth="1"/>
    <col min="51" max="51" width="20" style="38" customWidth="1"/>
    <col min="52" max="52" width="3" style="38" customWidth="1"/>
    <col min="53" max="53" width="9.140625" style="38" hidden="1"/>
    <col min="54" max="54" width="9.140625" style="654" hidden="1"/>
  </cols>
  <sheetData>
    <row r="1" spans="1:54" ht="11.25" hidden="1" customHeight="1">
      <c r="E1" s="38"/>
      <c r="F1" s="38" t="s">
        <v>309</v>
      </c>
      <c r="G1" s="38" t="s">
        <v>320</v>
      </c>
      <c r="T1" s="351" t="s">
        <v>92</v>
      </c>
      <c r="U1" s="351" t="s">
        <v>97</v>
      </c>
      <c r="V1" s="351" t="s">
        <v>93</v>
      </c>
      <c r="W1" s="351" t="s">
        <v>94</v>
      </c>
      <c r="X1" s="351" t="s">
        <v>95</v>
      </c>
      <c r="Y1" s="353" t="s">
        <v>311</v>
      </c>
      <c r="Z1" s="351" t="s">
        <v>99</v>
      </c>
      <c r="AA1" s="352" t="s">
        <v>96</v>
      </c>
      <c r="AB1" s="4"/>
      <c r="AC1" s="352" t="s">
        <v>98</v>
      </c>
      <c r="BB1" s="654" t="s">
        <v>312</v>
      </c>
    </row>
    <row r="2" spans="1:54" s="43" customFormat="1" ht="11.25" hidden="1" customHeight="1">
      <c r="B2" s="341" t="s">
        <v>18</v>
      </c>
      <c r="AE2" s="341" t="b">
        <f t="shared" ref="AE2:AX2" si="0">AE6&lt;=last_year_vis</f>
        <v>1</v>
      </c>
      <c r="AF2" s="341" t="b">
        <f t="shared" si="0"/>
        <v>1</v>
      </c>
      <c r="AG2" s="341" t="b">
        <f t="shared" si="0"/>
        <v>1</v>
      </c>
      <c r="AH2" s="341" t="b">
        <f t="shared" si="0"/>
        <v>0</v>
      </c>
      <c r="AI2" s="341" t="b">
        <f t="shared" si="0"/>
        <v>0</v>
      </c>
      <c r="AJ2" s="341" t="b">
        <f t="shared" si="0"/>
        <v>0</v>
      </c>
      <c r="AK2" s="341" t="b">
        <f t="shared" si="0"/>
        <v>0</v>
      </c>
      <c r="AL2" s="341" t="b">
        <f t="shared" si="0"/>
        <v>0</v>
      </c>
      <c r="AM2" s="341" t="b">
        <f t="shared" si="0"/>
        <v>0</v>
      </c>
      <c r="AN2" s="341" t="b">
        <f t="shared" si="0"/>
        <v>0</v>
      </c>
      <c r="AO2" s="341" t="b">
        <f t="shared" si="0"/>
        <v>1</v>
      </c>
      <c r="AP2" s="341" t="b">
        <f t="shared" si="0"/>
        <v>1</v>
      </c>
      <c r="AQ2" s="341" t="b">
        <f t="shared" si="0"/>
        <v>1</v>
      </c>
      <c r="AR2" s="341" t="b">
        <f t="shared" si="0"/>
        <v>0</v>
      </c>
      <c r="AS2" s="341" t="b">
        <f t="shared" si="0"/>
        <v>0</v>
      </c>
      <c r="AT2" s="341" t="b">
        <f t="shared" si="0"/>
        <v>0</v>
      </c>
      <c r="AU2" s="341" t="b">
        <f t="shared" si="0"/>
        <v>0</v>
      </c>
      <c r="AV2" s="341" t="b">
        <f t="shared" si="0"/>
        <v>0</v>
      </c>
      <c r="AW2" s="341" t="b">
        <f t="shared" si="0"/>
        <v>0</v>
      </c>
      <c r="AX2" s="341" t="b">
        <f t="shared" si="0"/>
        <v>0</v>
      </c>
      <c r="BB2" s="663"/>
    </row>
    <row r="3" spans="1:54" ht="11.25" hidden="1" customHeight="1">
      <c r="E3" s="38"/>
    </row>
    <row r="4" spans="1:54" ht="11.25" hidden="1" customHeight="1">
      <c r="E4" s="38"/>
    </row>
    <row r="5" spans="1:54" s="446" customFormat="1" ht="11.25" hidden="1" customHeight="1">
      <c r="A5" s="38"/>
      <c r="B5" s="43"/>
      <c r="C5" s="38"/>
      <c r="D5" s="38"/>
      <c r="E5" s="446" t="s">
        <v>19</v>
      </c>
      <c r="AA5" s="446">
        <v>3</v>
      </c>
      <c r="AB5" s="446">
        <v>11</v>
      </c>
      <c r="AC5" s="446">
        <v>50</v>
      </c>
      <c r="AD5" s="446">
        <v>10</v>
      </c>
      <c r="AE5" s="446">
        <v>12.57</v>
      </c>
      <c r="AF5" s="446">
        <v>12.57</v>
      </c>
      <c r="AG5" s="446">
        <v>12.57</v>
      </c>
      <c r="AH5" s="446">
        <v>12.57</v>
      </c>
      <c r="AI5" s="446">
        <v>12.57</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20</v>
      </c>
      <c r="AZ5" s="446">
        <v>3</v>
      </c>
      <c r="BB5" s="654"/>
    </row>
    <row r="6" spans="1:54" ht="11.25" hidden="1" customHeight="1">
      <c r="A6" s="38" t="s">
        <v>349</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38" t="s">
        <v>350</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654" customFormat="1" ht="11.25" hidden="1" customHeight="1">
      <c r="A9" s="654" t="s">
        <v>354</v>
      </c>
      <c r="B9" s="663"/>
      <c r="AE9" s="654" cm="1">
        <f t="array" ref="AE9">AE6</f>
        <v>2026</v>
      </c>
      <c r="AF9" s="654" cm="1">
        <f t="array" ref="AF9">AF6</f>
        <v>2027</v>
      </c>
      <c r="AG9" s="654" cm="1">
        <f t="array" ref="AG9">AG6</f>
        <v>2028</v>
      </c>
      <c r="AH9" s="654" cm="1">
        <f t="array" ref="AH9">AH6</f>
        <v>2029</v>
      </c>
      <c r="AI9" s="654" cm="1">
        <f t="array" ref="AI9">AI6</f>
        <v>2030</v>
      </c>
      <c r="AJ9" s="654" cm="1">
        <f t="array" ref="AJ9">AJ6</f>
        <v>2031</v>
      </c>
      <c r="AK9" s="654" cm="1">
        <f t="array" ref="AK9">AK6</f>
        <v>2032</v>
      </c>
      <c r="AL9" s="654" cm="1">
        <f t="array" ref="AL9">AL6</f>
        <v>2033</v>
      </c>
      <c r="AM9" s="654" cm="1">
        <f t="array" ref="AM9">AM6</f>
        <v>2034</v>
      </c>
      <c r="AN9" s="654" cm="1">
        <f t="array" ref="AN9">AN6</f>
        <v>2035</v>
      </c>
      <c r="AO9" s="654" cm="1">
        <f t="array" ref="AO9">AO6</f>
        <v>2026</v>
      </c>
      <c r="AP9" s="654" cm="1">
        <f t="array" ref="AP9">AP6</f>
        <v>2027</v>
      </c>
      <c r="AQ9" s="654" cm="1">
        <f t="array" ref="AQ9">AQ6</f>
        <v>2028</v>
      </c>
      <c r="AR9" s="654" cm="1">
        <f t="array" ref="AR9">AR6</f>
        <v>2029</v>
      </c>
      <c r="AS9" s="654" cm="1">
        <f t="array" ref="AS9">AS6</f>
        <v>2030</v>
      </c>
      <c r="AT9" s="654" cm="1">
        <f t="array" ref="AT9">AT6</f>
        <v>2031</v>
      </c>
      <c r="AU9" s="654" cm="1">
        <f t="array" ref="AU9">AU6</f>
        <v>2032</v>
      </c>
      <c r="AV9" s="654" cm="1">
        <f t="array" ref="AV9">AV6</f>
        <v>2033</v>
      </c>
      <c r="AW9" s="654" cm="1">
        <f t="array" ref="AW9">AW6</f>
        <v>2034</v>
      </c>
      <c r="AX9" s="654" cm="1">
        <f t="array" ref="AX9">AX6</f>
        <v>2035</v>
      </c>
    </row>
    <row r="10" spans="1:54" s="654" customFormat="1" ht="11.25" hidden="1" customHeight="1">
      <c r="A10" s="654" t="s">
        <v>355</v>
      </c>
      <c r="B10" s="663"/>
      <c r="AE10" s="654" t="str" cm="1">
        <f t="array" ref="AE10">AE25</f>
        <v>Предложения организации</v>
      </c>
      <c r="AF10" s="654" t="str" cm="1">
        <f t="array" ref="AF10">AF25</f>
        <v>Предложения организации</v>
      </c>
      <c r="AG10" s="654" t="str" cm="1">
        <f t="array" ref="AG10">AG25</f>
        <v>Предложения организации</v>
      </c>
      <c r="AH10" s="654" t="str" cm="1">
        <f t="array" ref="AH10">AH25</f>
        <v>Предложения организации</v>
      </c>
      <c r="AI10" s="654" t="str" cm="1">
        <f t="array" ref="AI10">AI25</f>
        <v>Предложения организации</v>
      </c>
      <c r="AJ10" s="654" t="str" cm="1">
        <f t="array" ref="AJ10">AJ25</f>
        <v>Предложения организации</v>
      </c>
      <c r="AK10" s="654" t="str" cm="1">
        <f t="array" ref="AK10">AK25</f>
        <v>Предложения организации</v>
      </c>
      <c r="AL10" s="654" t="str" cm="1">
        <f t="array" ref="AL10">AL25</f>
        <v>Предложения организации</v>
      </c>
      <c r="AM10" s="654" t="str" cm="1">
        <f t="array" ref="AM10">AM25</f>
        <v>Предложения организации</v>
      </c>
      <c r="AN10" s="654" t="str" cm="1">
        <f t="array" ref="AN10">AN25</f>
        <v>Предложения организации</v>
      </c>
      <c r="AO10" s="654" t="str" cm="1">
        <f t="array" ref="AO10">AO25</f>
        <v>Принято органом регулирования</v>
      </c>
      <c r="AP10" s="654" t="str" cm="1">
        <f t="array" ref="AP10">AP25</f>
        <v>Принято органом регулирования</v>
      </c>
      <c r="AQ10" s="654" t="str" cm="1">
        <f t="array" ref="AQ10">AQ25</f>
        <v>Принято органом регулирования</v>
      </c>
      <c r="AR10" s="654" t="str" cm="1">
        <f t="array" ref="AR10">AR25</f>
        <v>Принято органом регулирования</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row>
    <row r="11" spans="1:54" s="654" customFormat="1" ht="11.25" hidden="1" customHeight="1">
      <c r="A11" s="654" t="s">
        <v>356</v>
      </c>
      <c r="B11" s="663"/>
      <c r="AY11" s="654"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446">
        <v>15</v>
      </c>
      <c r="AA21" s="324"/>
      <c r="AB21" s="70"/>
      <c r="AC21" s="3" t="str" cm="1">
        <f t="array" ref="AC21">tpl_title</f>
        <v>Кемеровская область / 2026 / МУП "Водоканал" (ИНН:4202043124, КПП:420201001) / ДПР: 2026-2028</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c r="E22" s="446">
        <v>20</v>
      </c>
      <c r="AB22" s="225" t="s">
        <v>71</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4" ht="10.9" customHeight="1">
      <c r="E23" s="446">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c r="E24" s="446">
        <v>21.5</v>
      </c>
      <c r="AB24" s="1025" t="s">
        <v>21</v>
      </c>
      <c r="AC24" s="1099" t="s">
        <v>1427</v>
      </c>
      <c r="AD24" s="1099" t="s">
        <v>359</v>
      </c>
      <c r="AE24" s="724" t="str">
        <f>god&amp;" год"</f>
        <v>2026 год</v>
      </c>
      <c r="AF24" s="724" t="str">
        <f>god+1&amp;" год"</f>
        <v>2027 год</v>
      </c>
      <c r="AG24" s="724" t="str">
        <f>god+2&amp;" год"</f>
        <v>2028 год</v>
      </c>
      <c r="AH24" s="724" t="str">
        <f>god+3&amp;" год"</f>
        <v>2029 год</v>
      </c>
      <c r="AI24" s="724" t="str">
        <f>god+4&amp;" год"</f>
        <v>2030 год</v>
      </c>
      <c r="AJ24" s="724" t="str">
        <f>god+5&amp;" год"</f>
        <v>2031 год</v>
      </c>
      <c r="AK24" s="724" t="str">
        <f>god+6&amp;" год"</f>
        <v>2032 год</v>
      </c>
      <c r="AL24" s="724" t="str">
        <f>god+7&amp;" год"</f>
        <v>2033 год</v>
      </c>
      <c r="AM24" s="724" t="str">
        <f>god+8&amp;" год"</f>
        <v>2034 год</v>
      </c>
      <c r="AN24" s="724"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91" t="s">
        <v>580</v>
      </c>
    </row>
    <row r="25" spans="1:54" ht="56.25" customHeight="1">
      <c r="E25" s="446">
        <v>57.75</v>
      </c>
      <c r="F25" s="22"/>
      <c r="G25" s="22"/>
      <c r="H25" s="22"/>
      <c r="I25" s="22"/>
      <c r="J25" s="22"/>
      <c r="AB25" s="1025"/>
      <c r="AC25" s="1099"/>
      <c r="AD25" s="1099"/>
      <c r="AE25" s="726" t="s">
        <v>1428</v>
      </c>
      <c r="AF25" s="726" t="s">
        <v>1428</v>
      </c>
      <c r="AG25" s="726" t="s">
        <v>1428</v>
      </c>
      <c r="AH25" s="726" t="s">
        <v>1428</v>
      </c>
      <c r="AI25" s="726" t="s">
        <v>1428</v>
      </c>
      <c r="AJ25" s="726" t="s">
        <v>1428</v>
      </c>
      <c r="AK25" s="726" t="s">
        <v>1428</v>
      </c>
      <c r="AL25" s="726" t="s">
        <v>1428</v>
      </c>
      <c r="AM25" s="726" t="s">
        <v>1428</v>
      </c>
      <c r="AN25" s="726" t="s">
        <v>1428</v>
      </c>
      <c r="AO25" s="10" t="s">
        <v>351</v>
      </c>
      <c r="AP25" s="10" t="s">
        <v>351</v>
      </c>
      <c r="AQ25" s="10" t="s">
        <v>351</v>
      </c>
      <c r="AR25" s="10" t="s">
        <v>351</v>
      </c>
      <c r="AS25" s="10" t="s">
        <v>351</v>
      </c>
      <c r="AT25" s="10" t="s">
        <v>351</v>
      </c>
      <c r="AU25" s="10" t="s">
        <v>351</v>
      </c>
      <c r="AV25" s="10" t="s">
        <v>351</v>
      </c>
      <c r="AW25" s="10" t="s">
        <v>351</v>
      </c>
      <c r="AX25" s="10" t="s">
        <v>351</v>
      </c>
      <c r="AY25" s="1091"/>
    </row>
    <row r="26" spans="1:54" ht="11.25" hidden="1" customHeight="1">
      <c r="A26"/>
      <c r="B26" s="326"/>
      <c r="C26"/>
      <c r="D26"/>
      <c r="E26" s="446">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c r="E27" s="446">
        <v>15</v>
      </c>
      <c r="F27" s="59" cm="1">
        <f t="array" ref="F27">X27</f>
        <v>0</v>
      </c>
      <c r="G27" s="22"/>
      <c r="H27" s="22"/>
      <c r="I27" s="22"/>
      <c r="J27" s="22"/>
      <c r="T27" s="351" t="b">
        <f>X27&gt;0</f>
        <v>0</v>
      </c>
      <c r="V27" s="38" t="s">
        <v>266</v>
      </c>
      <c r="X27" s="1024">
        <v>0</v>
      </c>
      <c r="Y27" s="22"/>
      <c r="Z27" s="1047"/>
      <c r="AA27" s="22"/>
      <c r="AB27" s="155" t="str" cm="1">
        <f t="array" ref="AB27">INDEX('Общие сведения'!$AG$179:$AG$208,MATCH($X27,'Общие сведения'!$Z$179:$Z$208,0))</f>
        <v xml:space="preserve">Тариф 0 () - </v>
      </c>
      <c r="AC27" s="560"/>
      <c r="AD27" s="560"/>
      <c r="AE27" s="560"/>
      <c r="AF27" s="560"/>
      <c r="AG27" s="560"/>
      <c r="AH27" s="560"/>
      <c r="AI27" s="560"/>
      <c r="AJ27" s="560"/>
      <c r="AK27" s="560"/>
      <c r="AL27" s="560"/>
      <c r="AM27" s="560"/>
      <c r="AN27" s="560"/>
      <c r="AO27" s="560"/>
      <c r="AP27" s="560"/>
      <c r="AQ27" s="560"/>
      <c r="AR27" s="560"/>
      <c r="AS27" s="560"/>
      <c r="AT27" s="560"/>
      <c r="AU27" s="560"/>
      <c r="AV27" s="560"/>
      <c r="AW27" s="560"/>
      <c r="AX27" s="560"/>
      <c r="AY27" s="560"/>
      <c r="AZ27" s="22"/>
    </row>
    <row r="28" spans="1:54" ht="14.65" hidden="1" customHeight="1">
      <c r="A28" s="154"/>
      <c r="B28" s="327"/>
      <c r="C28" s="154"/>
      <c r="D28" s="154"/>
      <c r="E28" s="499">
        <v>15</v>
      </c>
      <c r="F28" s="3" cm="1">
        <f t="array" aca="1" ref="F28" ca="1">OFFSET(E28,-1,1)</f>
        <v>0</v>
      </c>
      <c r="G28" s="22" t="s">
        <v>321</v>
      </c>
      <c r="H28" s="63"/>
      <c r="I28" s="63"/>
      <c r="J28" s="63"/>
      <c r="K28" s="154"/>
      <c r="L28" s="154"/>
      <c r="M28" s="154"/>
      <c r="N28" s="154"/>
      <c r="O28" s="154"/>
      <c r="P28" s="154"/>
      <c r="Q28" s="154"/>
      <c r="R28" s="154"/>
      <c r="S28" s="154"/>
      <c r="T28" s="351" t="b" cm="1">
        <f t="array" ref="T28">T27</f>
        <v>0</v>
      </c>
      <c r="U28" s="154"/>
      <c r="V28" s="154"/>
      <c r="W28" s="154"/>
      <c r="X28" s="1024"/>
      <c r="Y28" s="63"/>
      <c r="Z28" s="1047"/>
      <c r="AA28" s="63"/>
      <c r="AB28" s="160" t="s">
        <v>277</v>
      </c>
      <c r="AC28" s="159" t="s">
        <v>1429</v>
      </c>
      <c r="AD28" s="160" t="s">
        <v>859</v>
      </c>
      <c r="AE28" s="567">
        <f t="shared" ref="AE28:AX28" si="1">AE29+AE30+AE31</f>
        <v>0</v>
      </c>
      <c r="AF28" s="567">
        <f t="shared" si="1"/>
        <v>0</v>
      </c>
      <c r="AG28" s="567">
        <f t="shared" si="1"/>
        <v>0</v>
      </c>
      <c r="AH28" s="567">
        <f t="shared" si="1"/>
        <v>0</v>
      </c>
      <c r="AI28" s="567">
        <f t="shared" si="1"/>
        <v>0</v>
      </c>
      <c r="AJ28" s="567">
        <f t="shared" si="1"/>
        <v>0</v>
      </c>
      <c r="AK28" s="567">
        <f t="shared" si="1"/>
        <v>0</v>
      </c>
      <c r="AL28" s="567">
        <f t="shared" si="1"/>
        <v>0</v>
      </c>
      <c r="AM28" s="567">
        <f t="shared" si="1"/>
        <v>0</v>
      </c>
      <c r="AN28" s="567">
        <f t="shared" si="1"/>
        <v>0</v>
      </c>
      <c r="AO28" s="567">
        <f t="shared" si="1"/>
        <v>0</v>
      </c>
      <c r="AP28" s="567">
        <f t="shared" si="1"/>
        <v>0</v>
      </c>
      <c r="AQ28" s="567">
        <f t="shared" si="1"/>
        <v>0</v>
      </c>
      <c r="AR28" s="567">
        <f t="shared" si="1"/>
        <v>0</v>
      </c>
      <c r="AS28" s="567">
        <f t="shared" si="1"/>
        <v>0</v>
      </c>
      <c r="AT28" s="567">
        <f t="shared" si="1"/>
        <v>0</v>
      </c>
      <c r="AU28" s="567">
        <f t="shared" si="1"/>
        <v>0</v>
      </c>
      <c r="AV28" s="567">
        <f t="shared" si="1"/>
        <v>0</v>
      </c>
      <c r="AW28" s="567">
        <f t="shared" si="1"/>
        <v>0</v>
      </c>
      <c r="AX28" s="567">
        <f t="shared" si="1"/>
        <v>0</v>
      </c>
      <c r="AY28" s="774"/>
      <c r="AZ28" s="63"/>
      <c r="BB28" s="654" t="s">
        <v>1363</v>
      </c>
    </row>
    <row r="29" spans="1:54" ht="14.65" hidden="1" customHeight="1">
      <c r="E29" s="446">
        <v>15</v>
      </c>
      <c r="F29" s="3" cm="1">
        <f t="array" aca="1" ref="F29" ca="1">OFFSET(E29,-1,1)</f>
        <v>0</v>
      </c>
      <c r="G29" s="22" t="s">
        <v>507</v>
      </c>
      <c r="H29" s="22"/>
      <c r="I29" s="22"/>
      <c r="J29" s="22"/>
      <c r="T29" s="351" t="b" cm="1">
        <f t="array" ref="T29">T28</f>
        <v>0</v>
      </c>
      <c r="X29" s="1024"/>
      <c r="Y29" s="22"/>
      <c r="Z29" s="1047"/>
      <c r="AA29" s="22"/>
      <c r="AB29" s="5" t="s">
        <v>936</v>
      </c>
      <c r="AC29" s="570" t="s">
        <v>1430</v>
      </c>
      <c r="AD29" s="5" t="s">
        <v>859</v>
      </c>
      <c r="AE29" s="141"/>
      <c r="AF29" s="141"/>
      <c r="AG29" s="141"/>
      <c r="AH29" s="780"/>
      <c r="AI29" s="780"/>
      <c r="AJ29" s="780"/>
      <c r="AK29" s="780"/>
      <c r="AL29" s="780"/>
      <c r="AM29" s="780"/>
      <c r="AN29" s="780"/>
      <c r="AO29" s="141"/>
      <c r="AP29" s="141"/>
      <c r="AQ29" s="141"/>
      <c r="AR29" s="780"/>
      <c r="AS29" s="780"/>
      <c r="AT29" s="780"/>
      <c r="AU29" s="780"/>
      <c r="AV29" s="780"/>
      <c r="AW29" s="780"/>
      <c r="AX29" s="780"/>
      <c r="AY29" s="774"/>
      <c r="AZ29" s="22"/>
      <c r="BB29" s="654" t="s">
        <v>1431</v>
      </c>
    </row>
    <row r="30" spans="1:54" ht="23.45" hidden="1" customHeight="1">
      <c r="E30" s="446">
        <v>24</v>
      </c>
      <c r="F30" s="3" cm="1">
        <f t="array" aca="1" ref="F30" ca="1">OFFSET(E30,-1,1)</f>
        <v>0</v>
      </c>
      <c r="G30" s="22" t="s">
        <v>511</v>
      </c>
      <c r="H30" s="22"/>
      <c r="I30" s="22"/>
      <c r="J30" s="22"/>
      <c r="T30" s="351" t="b" cm="1">
        <f t="array" ref="T30">T29</f>
        <v>0</v>
      </c>
      <c r="X30" s="1024"/>
      <c r="Y30" s="22"/>
      <c r="Z30" s="1047"/>
      <c r="AA30" s="22"/>
      <c r="AB30" s="5" t="s">
        <v>939</v>
      </c>
      <c r="AC30" s="570" t="s">
        <v>1432</v>
      </c>
      <c r="AD30" s="5" t="s">
        <v>859</v>
      </c>
      <c r="AE30" s="141"/>
      <c r="AF30" s="141"/>
      <c r="AG30" s="141"/>
      <c r="AH30" s="780"/>
      <c r="AI30" s="780"/>
      <c r="AJ30" s="780"/>
      <c r="AK30" s="780"/>
      <c r="AL30" s="780"/>
      <c r="AM30" s="780"/>
      <c r="AN30" s="780"/>
      <c r="AO30" s="141"/>
      <c r="AP30" s="141"/>
      <c r="AQ30" s="141"/>
      <c r="AR30" s="780"/>
      <c r="AS30" s="780"/>
      <c r="AT30" s="780"/>
      <c r="AU30" s="780"/>
      <c r="AV30" s="780"/>
      <c r="AW30" s="780"/>
      <c r="AX30" s="780"/>
      <c r="AY30" s="774"/>
      <c r="AZ30" s="22"/>
      <c r="BB30" s="654" t="s">
        <v>1433</v>
      </c>
    </row>
    <row r="31" spans="1:54" ht="33.4" hidden="1" customHeight="1">
      <c r="E31" s="446">
        <v>34.200000000000003</v>
      </c>
      <c r="F31" s="764" cm="1">
        <f t="array" aca="1" ref="F31" ca="1">OFFSET(E31,-1,1)</f>
        <v>0</v>
      </c>
      <c r="G31" s="22" t="s">
        <v>514</v>
      </c>
      <c r="H31" s="22"/>
      <c r="I31" s="22"/>
      <c r="J31" s="22"/>
      <c r="T31" s="351" t="b" cm="1">
        <f t="array" ref="T31">T30</f>
        <v>0</v>
      </c>
      <c r="X31" s="1024"/>
      <c r="Y31" s="22"/>
      <c r="Z31" s="1047"/>
      <c r="AA31" s="22"/>
      <c r="AB31" s="5" t="s">
        <v>942</v>
      </c>
      <c r="AC31" s="570" t="s">
        <v>1434</v>
      </c>
      <c r="AD31" s="5" t="s">
        <v>859</v>
      </c>
      <c r="AE31" s="141"/>
      <c r="AF31" s="141"/>
      <c r="AG31" s="141"/>
      <c r="AH31" s="780"/>
      <c r="AI31" s="780"/>
      <c r="AJ31" s="780"/>
      <c r="AK31" s="780"/>
      <c r="AL31" s="780"/>
      <c r="AM31" s="780"/>
      <c r="AN31" s="780"/>
      <c r="AO31" s="141"/>
      <c r="AP31" s="141"/>
      <c r="AQ31" s="141"/>
      <c r="AR31" s="780"/>
      <c r="AS31" s="780"/>
      <c r="AT31" s="780"/>
      <c r="AU31" s="780"/>
      <c r="AV31" s="780"/>
      <c r="AW31" s="780"/>
      <c r="AX31" s="780"/>
      <c r="AY31" s="774"/>
      <c r="AZ31" s="22"/>
      <c r="BA31"/>
      <c r="BB31" s="659" t="s">
        <v>1435</v>
      </c>
    </row>
    <row r="32" spans="1:54" ht="14.65" hidden="1" customHeight="1">
      <c r="E32" s="446">
        <v>15</v>
      </c>
      <c r="F32" s="3" cm="1">
        <f t="array" aca="1" ref="F32" ca="1">OFFSET(E32,-1,1)</f>
        <v>0</v>
      </c>
      <c r="G32" s="22" t="s">
        <v>322</v>
      </c>
      <c r="H32" s="22"/>
      <c r="I32" s="22"/>
      <c r="J32" s="22"/>
      <c r="T32" s="351" t="b" cm="1">
        <f t="array" ref="T32">T31</f>
        <v>0</v>
      </c>
      <c r="X32" s="1024"/>
      <c r="Y32" s="22"/>
      <c r="Z32" s="1047"/>
      <c r="AA32" s="22"/>
      <c r="AB32" s="5" t="s">
        <v>435</v>
      </c>
      <c r="AC32" s="157" t="s">
        <v>1436</v>
      </c>
      <c r="AD32" s="5" t="s">
        <v>501</v>
      </c>
      <c r="AE32" s="571">
        <f ca="1">SUMIFS(Сценарии!AJ$25:AJ$82,Сценарии!$F$25:$F$82,$F32,Сценарии!$AC$25:$AC$82,"Индекс потребительских цен")</f>
        <v>0</v>
      </c>
      <c r="AF32" s="571">
        <f ca="1">SUMIFS(Сценарии!AO$25:AO$82,Сценарии!$F$25:$F$82,$F32,Сценарии!$AC$25:$AC$82,"Индекс потребительских цен")</f>
        <v>0</v>
      </c>
      <c r="AG32" s="571">
        <f ca="1">SUMIFS(Сценарии!AP$25:AP$82,Сценарии!$F$25:$F$82,$F32,Сценарии!$AC$25:$AC$82,"Индекс потребительских цен")</f>
        <v>0</v>
      </c>
      <c r="AH32" s="571">
        <f ca="1">SUMIFS(Сценарии!AQ$25:AQ$82,Сценарии!$F$25:$F$82,$F32,Сценарии!$AC$25:$AC$82,"Индекс потребительских цен")</f>
        <v>0</v>
      </c>
      <c r="AI32" s="571">
        <f ca="1">SUMIFS(Сценарии!AR$25:AR$82,Сценарии!$F$25:$F$82,$F32,Сценарии!$AC$25:$AC$82,"Индекс потребительских цен")</f>
        <v>0</v>
      </c>
      <c r="AJ32" s="571">
        <f ca="1">SUMIFS(Сценарии!AS$25:AS$82,Сценарии!$F$25:$F$82,$F32,Сценарии!$AC$25:$AC$82,"Индекс потребительских цен")</f>
        <v>0</v>
      </c>
      <c r="AK32" s="571">
        <f ca="1">SUMIFS(Сценарии!AT$25:AT$82,Сценарии!$F$25:$F$82,$F32,Сценарии!$AC$25:$AC$82,"Индекс потребительских цен")</f>
        <v>0</v>
      </c>
      <c r="AL32" s="571">
        <f ca="1">SUMIFS(Сценарии!AU$25:AU$82,Сценарии!$F$25:$F$82,$F32,Сценарии!$AC$25:$AC$82,"Индекс потребительских цен")</f>
        <v>0</v>
      </c>
      <c r="AM32" s="571">
        <f ca="1">SUMIFS(Сценарии!AV$25:AV$82,Сценарии!$F$25:$F$82,$F32,Сценарии!$AC$25:$AC$82,"Индекс потребительских цен")</f>
        <v>0</v>
      </c>
      <c r="AN32" s="571">
        <f ca="1">SUMIFS(Сценарии!AW$25:AW$82,Сценарии!$F$25:$F$82,$F32,Сценарии!$AC$25:$AC$82,"Индекс потребительских цен")</f>
        <v>0</v>
      </c>
      <c r="AO32" s="571">
        <f ca="1">SUMIFS(Сценарии!AK$25:AK$82,Сценарии!$F$25:$F$82,$F32,Сценарии!$AC$25:$AC$82,"Индекс потребительских цен")</f>
        <v>0</v>
      </c>
      <c r="AP32" s="571">
        <f ca="1">SUMIFS(Сценарии!AX$25:AX$82,Сценарии!$F$25:$F$82,$F32,Сценарии!$AC$25:$AC$82,"Индекс потребительских цен")</f>
        <v>0</v>
      </c>
      <c r="AQ32" s="571">
        <f ca="1">SUMIFS(Сценарии!AY$25:AY$82,Сценарии!$F$25:$F$82,$F32,Сценарии!$AC$25:$AC$82,"Индекс потребительских цен")</f>
        <v>0</v>
      </c>
      <c r="AR32" s="571">
        <f ca="1">SUMIFS(Сценарии!AZ$25:AZ$82,Сценарии!$F$25:$F$82,$F32,Сценарии!$AC$25:$AC$82,"Индекс потребительских цен")</f>
        <v>0</v>
      </c>
      <c r="AS32" s="571">
        <f ca="1">SUMIFS(Сценарии!BA$25:BA$82,Сценарии!$F$25:$F$82,$F32,Сценарии!$AC$25:$AC$82,"Индекс потребительских цен")</f>
        <v>0</v>
      </c>
      <c r="AT32" s="571">
        <f ca="1">SUMIFS(Сценарии!BB$25:BB$82,Сценарии!$F$25:$F$82,$F32,Сценарии!$AC$25:$AC$82,"Индекс потребительских цен")</f>
        <v>0</v>
      </c>
      <c r="AU32" s="571">
        <f ca="1">SUMIFS(Сценарии!BC$25:BC$82,Сценарии!$F$25:$F$82,$F32,Сценарии!$AC$25:$AC$82,"Индекс потребительских цен")</f>
        <v>0</v>
      </c>
      <c r="AV32" s="571">
        <f ca="1">SUMIFS(Сценарии!BD$25:BD$82,Сценарии!$F$25:$F$82,$F32,Сценарии!$AC$25:$AC$82,"Индекс потребительских цен")</f>
        <v>0</v>
      </c>
      <c r="AW32" s="571">
        <f ca="1">SUMIFS(Сценарии!BE$25:BE$82,Сценарии!$F$25:$F$82,$F32,Сценарии!$AC$25:$AC$82,"Индекс потребительских цен")</f>
        <v>0</v>
      </c>
      <c r="AX32" s="571">
        <f ca="1">SUMIFS(Сценарии!BF$25:BF$82,Сценарии!$F$25:$F$82,$F32,Сценарии!$AC$25:$AC$82,"Индекс потребительских цен")</f>
        <v>0</v>
      </c>
      <c r="AY32" s="774"/>
      <c r="AZ32" s="22"/>
      <c r="BB32" s="654" t="s">
        <v>1437</v>
      </c>
    </row>
    <row r="33" spans="1:54" s="154" customFormat="1" ht="14.65" hidden="1" customHeight="1">
      <c r="A33" s="38"/>
      <c r="B33" s="43"/>
      <c r="C33" s="38"/>
      <c r="D33" s="38"/>
      <c r="E33" s="446">
        <v>15</v>
      </c>
      <c r="F33" s="3" cm="1">
        <f t="array" aca="1" ref="F33" ca="1">OFFSET(E33,-1,1)</f>
        <v>0</v>
      </c>
      <c r="G33" s="22" t="s">
        <v>323</v>
      </c>
      <c r="H33" s="22"/>
      <c r="I33" s="22"/>
      <c r="J33" s="22"/>
      <c r="K33" s="38"/>
      <c r="L33" s="38"/>
      <c r="M33" s="38"/>
      <c r="N33" s="38"/>
      <c r="O33" s="38"/>
      <c r="P33" s="38"/>
      <c r="Q33" s="38"/>
      <c r="R33" s="38"/>
      <c r="S33" s="38"/>
      <c r="T33" s="351" t="b" cm="1">
        <f t="array" ref="T33">T32</f>
        <v>0</v>
      </c>
      <c r="U33" s="38"/>
      <c r="V33" s="38"/>
      <c r="W33" s="38"/>
      <c r="X33" s="1024"/>
      <c r="Y33" s="22"/>
      <c r="Z33" s="1047"/>
      <c r="AA33" s="22"/>
      <c r="AB33" s="9">
        <v>3</v>
      </c>
      <c r="AC33" s="157" t="s">
        <v>1438</v>
      </c>
      <c r="AD33" s="5" t="s">
        <v>501</v>
      </c>
      <c r="AE33" s="572" cm="1">
        <f t="array" aca="1" ref="AE33" ca="1">AE32</f>
        <v>0</v>
      </c>
      <c r="AF33" s="572">
        <f t="shared" ref="AF33:AX33" ca="1" si="2">AE33*AF32/100</f>
        <v>0</v>
      </c>
      <c r="AG33" s="572">
        <f t="shared" ca="1" si="2"/>
        <v>0</v>
      </c>
      <c r="AH33" s="892">
        <f t="shared" ca="1" si="2"/>
        <v>0</v>
      </c>
      <c r="AI33" s="892">
        <f t="shared" ca="1" si="2"/>
        <v>0</v>
      </c>
      <c r="AJ33" s="892">
        <f t="shared" ca="1" si="2"/>
        <v>0</v>
      </c>
      <c r="AK33" s="892">
        <f t="shared" ca="1" si="2"/>
        <v>0</v>
      </c>
      <c r="AL33" s="892">
        <f t="shared" ca="1" si="2"/>
        <v>0</v>
      </c>
      <c r="AM33" s="892">
        <f t="shared" ca="1" si="2"/>
        <v>0</v>
      </c>
      <c r="AN33" s="892">
        <f t="shared" ca="1" si="2"/>
        <v>0</v>
      </c>
      <c r="AO33" s="572">
        <f t="shared" ca="1" si="2"/>
        <v>0</v>
      </c>
      <c r="AP33" s="572">
        <f t="shared" ca="1" si="2"/>
        <v>0</v>
      </c>
      <c r="AQ33" s="572">
        <f t="shared" ca="1" si="2"/>
        <v>0</v>
      </c>
      <c r="AR33" s="892">
        <f t="shared" ca="1" si="2"/>
        <v>0</v>
      </c>
      <c r="AS33" s="892">
        <f t="shared" ca="1" si="2"/>
        <v>0</v>
      </c>
      <c r="AT33" s="892">
        <f t="shared" ca="1" si="2"/>
        <v>0</v>
      </c>
      <c r="AU33" s="892">
        <f t="shared" ca="1" si="2"/>
        <v>0</v>
      </c>
      <c r="AV33" s="892">
        <f t="shared" ca="1" si="2"/>
        <v>0</v>
      </c>
      <c r="AW33" s="892">
        <f t="shared" ca="1" si="2"/>
        <v>0</v>
      </c>
      <c r="AX33" s="892">
        <f t="shared" ca="1" si="2"/>
        <v>0</v>
      </c>
      <c r="AY33" s="774"/>
      <c r="AZ33" s="22"/>
      <c r="BB33" s="686" t="s">
        <v>1439</v>
      </c>
    </row>
    <row r="34" spans="1:54" ht="14.65" hidden="1" customHeight="1">
      <c r="A34" s="154"/>
      <c r="B34" s="327"/>
      <c r="C34" s="154"/>
      <c r="D34" s="154"/>
      <c r="E34" s="499">
        <v>15</v>
      </c>
      <c r="F34" s="3" cm="1">
        <f t="array" aca="1" ref="F34" ca="1">OFFSET(E34,-1,1)</f>
        <v>0</v>
      </c>
      <c r="G34" s="22" t="s">
        <v>325</v>
      </c>
      <c r="H34" s="22" t="s">
        <v>1440</v>
      </c>
      <c r="I34" s="63"/>
      <c r="J34" s="63"/>
      <c r="K34" s="154"/>
      <c r="L34" s="154"/>
      <c r="M34" s="154"/>
      <c r="N34" s="154"/>
      <c r="O34" s="154"/>
      <c r="P34" s="154"/>
      <c r="Q34" s="154"/>
      <c r="R34" s="154"/>
      <c r="S34" s="154"/>
      <c r="T34" s="351" t="b" cm="1">
        <f t="array" ref="T34">T33</f>
        <v>0</v>
      </c>
      <c r="U34" s="154"/>
      <c r="V34" s="154"/>
      <c r="W34" s="154"/>
      <c r="X34" s="1024"/>
      <c r="Y34" s="63"/>
      <c r="Z34" s="1047"/>
      <c r="AA34" s="63"/>
      <c r="AB34" s="160" t="s">
        <v>438</v>
      </c>
      <c r="AC34" s="159" t="s">
        <v>1441</v>
      </c>
      <c r="AD34" s="160" t="s">
        <v>859</v>
      </c>
      <c r="AE34" s="567">
        <f t="shared" ref="AE34:AX34" ca="1" si="3">AE28*AE33/100</f>
        <v>0</v>
      </c>
      <c r="AF34" s="567">
        <f t="shared" ca="1" si="3"/>
        <v>0</v>
      </c>
      <c r="AG34" s="567">
        <f t="shared" ca="1" si="3"/>
        <v>0</v>
      </c>
      <c r="AH34" s="567">
        <f t="shared" ca="1" si="3"/>
        <v>0</v>
      </c>
      <c r="AI34" s="567">
        <f t="shared" ca="1" si="3"/>
        <v>0</v>
      </c>
      <c r="AJ34" s="567">
        <f t="shared" ca="1" si="3"/>
        <v>0</v>
      </c>
      <c r="AK34" s="567">
        <f t="shared" ca="1" si="3"/>
        <v>0</v>
      </c>
      <c r="AL34" s="567">
        <f t="shared" ca="1" si="3"/>
        <v>0</v>
      </c>
      <c r="AM34" s="567">
        <f t="shared" ca="1" si="3"/>
        <v>0</v>
      </c>
      <c r="AN34" s="567">
        <f t="shared" ca="1" si="3"/>
        <v>0</v>
      </c>
      <c r="AO34" s="567">
        <f t="shared" ca="1" si="3"/>
        <v>0</v>
      </c>
      <c r="AP34" s="567">
        <f t="shared" ca="1" si="3"/>
        <v>0</v>
      </c>
      <c r="AQ34" s="567">
        <f t="shared" ca="1" si="3"/>
        <v>0</v>
      </c>
      <c r="AR34" s="567">
        <f t="shared" ca="1" si="3"/>
        <v>0</v>
      </c>
      <c r="AS34" s="567">
        <f t="shared" ca="1" si="3"/>
        <v>0</v>
      </c>
      <c r="AT34" s="567">
        <f t="shared" ca="1" si="3"/>
        <v>0</v>
      </c>
      <c r="AU34" s="567">
        <f t="shared" ca="1" si="3"/>
        <v>0</v>
      </c>
      <c r="AV34" s="567">
        <f t="shared" ca="1" si="3"/>
        <v>0</v>
      </c>
      <c r="AW34" s="567">
        <f t="shared" ca="1" si="3"/>
        <v>0</v>
      </c>
      <c r="AX34" s="567">
        <f t="shared" ca="1" si="3"/>
        <v>0</v>
      </c>
      <c r="AY34" s="774"/>
      <c r="AZ34" s="63"/>
      <c r="BB34" s="654" t="s">
        <v>1442</v>
      </c>
    </row>
    <row r="35" spans="1:54" ht="14.25" customHeight="1">
      <c r="E35" s="446">
        <v>15</v>
      </c>
      <c r="F35" s="59" t="str" cm="1">
        <f t="array" ref="F35">X35</f>
        <v>1</v>
      </c>
      <c r="G35" s="22"/>
      <c r="H35" s="22"/>
      <c r="I35" s="22"/>
      <c r="J35" s="22"/>
      <c r="T35" s="351" t="b">
        <f>X35&gt;0</f>
        <v>1</v>
      </c>
      <c r="V35" s="38" t="str" cm="1">
        <f t="array" ref="V35">'ИП + источники'!$AB$58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35" s="1024" t="s">
        <v>277</v>
      </c>
      <c r="Y35" s="22"/>
      <c r="Z35" s="1047"/>
      <c r="AA35" s="22"/>
      <c r="AB35" s="155" t="str" cm="1">
        <f t="array" ref="AB35">'ИП + источники'!$AB$58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5" s="560"/>
      <c r="AD35" s="560"/>
      <c r="AE35" s="560"/>
      <c r="AF35" s="560"/>
      <c r="AG35" s="560"/>
      <c r="AH35" s="560"/>
      <c r="AI35" s="560"/>
      <c r="AJ35" s="560"/>
      <c r="AK35" s="560"/>
      <c r="AL35" s="560"/>
      <c r="AM35" s="560"/>
      <c r="AN35" s="560"/>
      <c r="AO35" s="560"/>
      <c r="AP35" s="560"/>
      <c r="AQ35" s="560"/>
      <c r="AR35" s="560"/>
      <c r="AS35" s="560"/>
      <c r="AT35" s="560"/>
      <c r="AU35" s="560"/>
      <c r="AV35" s="560"/>
      <c r="AW35" s="560"/>
      <c r="AX35" s="560"/>
      <c r="AY35" s="560"/>
      <c r="AZ35" s="22"/>
    </row>
    <row r="36" spans="1:54" ht="14.25" customHeight="1">
      <c r="A36" s="154"/>
      <c r="B36" s="327"/>
      <c r="C36" s="154"/>
      <c r="D36" s="154"/>
      <c r="E36" s="499">
        <v>15</v>
      </c>
      <c r="F36" s="3" t="str" cm="1">
        <f t="array" aca="1" ref="F36" ca="1">OFFSET(E36,-1,1)</f>
        <v>1</v>
      </c>
      <c r="G36" s="22" t="s">
        <v>321</v>
      </c>
      <c r="H36" s="63"/>
      <c r="I36" s="63"/>
      <c r="J36" s="63"/>
      <c r="K36" s="154"/>
      <c r="L36" s="154"/>
      <c r="M36" s="154"/>
      <c r="N36" s="154"/>
      <c r="O36" s="154"/>
      <c r="P36" s="154"/>
      <c r="Q36" s="154"/>
      <c r="R36" s="154"/>
      <c r="S36" s="154"/>
      <c r="T36" s="351" t="b" cm="1">
        <f t="array" ref="T36">T35</f>
        <v>1</v>
      </c>
      <c r="U36" s="154"/>
      <c r="V36" s="154"/>
      <c r="W36" s="154"/>
      <c r="X36" s="1024"/>
      <c r="Y36" s="63"/>
      <c r="Z36" s="1047"/>
      <c r="AA36" s="63"/>
      <c r="AB36" s="160" t="s">
        <v>277</v>
      </c>
      <c r="AC36" s="159" t="s">
        <v>1429</v>
      </c>
      <c r="AD36" s="160" t="s">
        <v>859</v>
      </c>
      <c r="AE36" s="567">
        <f t="shared" ref="AE36:AX36" si="4">AE37+AE38+AE39</f>
        <v>0</v>
      </c>
      <c r="AF36" s="567">
        <f t="shared" si="4"/>
        <v>0</v>
      </c>
      <c r="AG36" s="567">
        <f t="shared" si="4"/>
        <v>0</v>
      </c>
      <c r="AH36" s="567">
        <f t="shared" si="4"/>
        <v>0</v>
      </c>
      <c r="AI36" s="567">
        <f t="shared" si="4"/>
        <v>0</v>
      </c>
      <c r="AJ36" s="567">
        <f t="shared" si="4"/>
        <v>0</v>
      </c>
      <c r="AK36" s="567">
        <f t="shared" si="4"/>
        <v>0</v>
      </c>
      <c r="AL36" s="567">
        <f t="shared" si="4"/>
        <v>0</v>
      </c>
      <c r="AM36" s="567">
        <f t="shared" si="4"/>
        <v>0</v>
      </c>
      <c r="AN36" s="567">
        <f t="shared" si="4"/>
        <v>0</v>
      </c>
      <c r="AO36" s="567">
        <f t="shared" si="4"/>
        <v>0</v>
      </c>
      <c r="AP36" s="567">
        <f t="shared" si="4"/>
        <v>0</v>
      </c>
      <c r="AQ36" s="567">
        <f t="shared" si="4"/>
        <v>0</v>
      </c>
      <c r="AR36" s="567">
        <f t="shared" si="4"/>
        <v>0</v>
      </c>
      <c r="AS36" s="567">
        <f t="shared" si="4"/>
        <v>0</v>
      </c>
      <c r="AT36" s="567">
        <f t="shared" si="4"/>
        <v>0</v>
      </c>
      <c r="AU36" s="567">
        <f t="shared" si="4"/>
        <v>0</v>
      </c>
      <c r="AV36" s="567">
        <f t="shared" si="4"/>
        <v>0</v>
      </c>
      <c r="AW36" s="567">
        <f t="shared" si="4"/>
        <v>0</v>
      </c>
      <c r="AX36" s="567">
        <f t="shared" si="4"/>
        <v>0</v>
      </c>
      <c r="AY36" s="195"/>
      <c r="AZ36" s="63"/>
      <c r="BB36" s="654" t="s">
        <v>1363</v>
      </c>
    </row>
    <row r="37" spans="1:54" ht="14.25" customHeight="1">
      <c r="E37" s="446">
        <v>15</v>
      </c>
      <c r="F37" s="3" t="str" cm="1">
        <f t="array" aca="1" ref="F37" ca="1">OFFSET(E37,-1,1)</f>
        <v>1</v>
      </c>
      <c r="G37" s="22" t="s">
        <v>507</v>
      </c>
      <c r="H37" s="22"/>
      <c r="I37" s="22"/>
      <c r="J37" s="22"/>
      <c r="T37" s="351" t="b" cm="1">
        <f t="array" ref="T37">T36</f>
        <v>1</v>
      </c>
      <c r="X37" s="1024"/>
      <c r="Y37" s="22"/>
      <c r="Z37" s="1047"/>
      <c r="AA37" s="22"/>
      <c r="AB37" s="5" t="s">
        <v>936</v>
      </c>
      <c r="AC37" s="570" t="s">
        <v>1430</v>
      </c>
      <c r="AD37" s="5" t="s">
        <v>859</v>
      </c>
      <c r="AE37" s="141"/>
      <c r="AF37" s="141"/>
      <c r="AG37" s="141"/>
      <c r="AH37" s="141"/>
      <c r="AI37" s="141"/>
      <c r="AJ37" s="141"/>
      <c r="AK37" s="141"/>
      <c r="AL37" s="141"/>
      <c r="AM37" s="141"/>
      <c r="AN37" s="141"/>
      <c r="AO37" s="141"/>
      <c r="AP37" s="141"/>
      <c r="AQ37" s="141"/>
      <c r="AR37" s="141"/>
      <c r="AS37" s="141"/>
      <c r="AT37" s="141"/>
      <c r="AU37" s="141"/>
      <c r="AV37" s="141"/>
      <c r="AW37" s="141"/>
      <c r="AX37" s="141"/>
      <c r="AY37" s="195"/>
      <c r="AZ37" s="22"/>
      <c r="BB37" s="654" t="s">
        <v>1431</v>
      </c>
    </row>
    <row r="38" spans="1:54" ht="23.25" customHeight="1">
      <c r="E38" s="446">
        <v>24</v>
      </c>
      <c r="F38" s="3" t="str" cm="1">
        <f t="array" aca="1" ref="F38" ca="1">OFFSET(E38,-1,1)</f>
        <v>1</v>
      </c>
      <c r="G38" s="22" t="s">
        <v>511</v>
      </c>
      <c r="H38" s="22"/>
      <c r="I38" s="22"/>
      <c r="J38" s="22"/>
      <c r="T38" s="351" t="b" cm="1">
        <f t="array" ref="T38">T37</f>
        <v>1</v>
      </c>
      <c r="X38" s="1024"/>
      <c r="Y38" s="22"/>
      <c r="Z38" s="1047"/>
      <c r="AA38" s="22"/>
      <c r="AB38" s="5" t="s">
        <v>939</v>
      </c>
      <c r="AC38" s="570" t="s">
        <v>1432</v>
      </c>
      <c r="AD38" s="5" t="s">
        <v>859</v>
      </c>
      <c r="AE38" s="141"/>
      <c r="AF38" s="141"/>
      <c r="AG38" s="141"/>
      <c r="AH38" s="141"/>
      <c r="AI38" s="141"/>
      <c r="AJ38" s="141"/>
      <c r="AK38" s="141"/>
      <c r="AL38" s="141"/>
      <c r="AM38" s="141"/>
      <c r="AN38" s="141"/>
      <c r="AO38" s="141"/>
      <c r="AP38" s="141"/>
      <c r="AQ38" s="141"/>
      <c r="AR38" s="141"/>
      <c r="AS38" s="141"/>
      <c r="AT38" s="141"/>
      <c r="AU38" s="141"/>
      <c r="AV38" s="141"/>
      <c r="AW38" s="141"/>
      <c r="AX38" s="141"/>
      <c r="AY38" s="195"/>
      <c r="AZ38" s="22"/>
      <c r="BB38" s="654" t="s">
        <v>1433</v>
      </c>
    </row>
    <row r="39" spans="1:54" ht="33" customHeight="1">
      <c r="E39" s="446">
        <v>34.200000000000003</v>
      </c>
      <c r="F39" s="764" t="str" cm="1">
        <f t="array" aca="1" ref="F39" ca="1">OFFSET(E39,-1,1)</f>
        <v>1</v>
      </c>
      <c r="G39" s="22" t="s">
        <v>514</v>
      </c>
      <c r="H39" s="22"/>
      <c r="I39" s="22"/>
      <c r="J39" s="22"/>
      <c r="T39" s="351" t="b" cm="1">
        <f t="array" ref="T39">T38</f>
        <v>1</v>
      </c>
      <c r="X39" s="1024"/>
      <c r="Y39" s="22"/>
      <c r="Z39" s="1047"/>
      <c r="AA39" s="22"/>
      <c r="AB39" s="5" t="s">
        <v>942</v>
      </c>
      <c r="AC39" s="570" t="s">
        <v>1434</v>
      </c>
      <c r="AD39" s="5" t="s">
        <v>859</v>
      </c>
      <c r="AE39" s="141"/>
      <c r="AF39" s="141"/>
      <c r="AG39" s="141"/>
      <c r="AH39" s="141"/>
      <c r="AI39" s="141"/>
      <c r="AJ39" s="141"/>
      <c r="AK39" s="141"/>
      <c r="AL39" s="141"/>
      <c r="AM39" s="141"/>
      <c r="AN39" s="141"/>
      <c r="AO39" s="141"/>
      <c r="AP39" s="141"/>
      <c r="AQ39" s="141"/>
      <c r="AR39" s="141"/>
      <c r="AS39" s="141"/>
      <c r="AT39" s="141"/>
      <c r="AU39" s="141"/>
      <c r="AV39" s="141"/>
      <c r="AW39" s="141"/>
      <c r="AX39" s="141"/>
      <c r="AY39" s="195"/>
      <c r="AZ39" s="22"/>
      <c r="BA39"/>
      <c r="BB39" s="659" t="s">
        <v>1435</v>
      </c>
    </row>
    <row r="40" spans="1:54" ht="14.25" customHeight="1">
      <c r="E40" s="446">
        <v>15</v>
      </c>
      <c r="F40" s="3" t="str" cm="1">
        <f t="array" aca="1" ref="F40" ca="1">OFFSET(E40,-1,1)</f>
        <v>1</v>
      </c>
      <c r="G40" s="22" t="s">
        <v>322</v>
      </c>
      <c r="H40" s="22"/>
      <c r="I40" s="22"/>
      <c r="J40" s="22"/>
      <c r="T40" s="351" t="b" cm="1">
        <f t="array" ref="T40">T39</f>
        <v>1</v>
      </c>
      <c r="X40" s="1024"/>
      <c r="Y40" s="22"/>
      <c r="Z40" s="1047"/>
      <c r="AA40" s="22"/>
      <c r="AB40" s="5" t="s">
        <v>435</v>
      </c>
      <c r="AC40" s="157" t="s">
        <v>1436</v>
      </c>
      <c r="AD40" s="5" t="s">
        <v>501</v>
      </c>
      <c r="AE40" s="571">
        <f ca="1">SUMIFS(Сценарии!AJ$25:AJ$82,Сценарии!$F$25:$F$82,$F40,Сценарии!$AC$25:$AC$82,"Индекс потребительских цен")</f>
        <v>5.0999999999999996</v>
      </c>
      <c r="AF40" s="571">
        <f ca="1">SUMIFS(Сценарии!AO$25:AO$82,Сценарии!$F$25:$F$82,$F40,Сценарии!$AC$25:$AC$82,"Индекс потребительских цен")</f>
        <v>4</v>
      </c>
      <c r="AG40" s="571">
        <f ca="1">SUMIFS(Сценарии!AP$25:AP$82,Сценарии!$F$25:$F$82,$F40,Сценарии!$AC$25:$AC$82,"Индекс потребительских цен")</f>
        <v>4</v>
      </c>
      <c r="AH40" s="571">
        <f ca="1">SUMIFS(Сценарии!AQ$25:AQ$82,Сценарии!$F$25:$F$82,$F40,Сценарии!$AC$25:$AC$82,"Индекс потребительских цен")</f>
        <v>0</v>
      </c>
      <c r="AI40" s="571">
        <f ca="1">SUMIFS(Сценарии!AR$25:AR$82,Сценарии!$F$25:$F$82,$F40,Сценарии!$AC$25:$AC$82,"Индекс потребительских цен")</f>
        <v>0</v>
      </c>
      <c r="AJ40" s="571">
        <f ca="1">SUMIFS(Сценарии!AS$25:AS$82,Сценарии!$F$25:$F$82,$F40,Сценарии!$AC$25:$AC$82,"Индекс потребительских цен")</f>
        <v>0</v>
      </c>
      <c r="AK40" s="571">
        <f ca="1">SUMIFS(Сценарии!AT$25:AT$82,Сценарии!$F$25:$F$82,$F40,Сценарии!$AC$25:$AC$82,"Индекс потребительских цен")</f>
        <v>0</v>
      </c>
      <c r="AL40" s="571">
        <f ca="1">SUMIFS(Сценарии!AU$25:AU$82,Сценарии!$F$25:$F$82,$F40,Сценарии!$AC$25:$AC$82,"Индекс потребительских цен")</f>
        <v>0</v>
      </c>
      <c r="AM40" s="571">
        <f ca="1">SUMIFS(Сценарии!AV$25:AV$82,Сценарии!$F$25:$F$82,$F40,Сценарии!$AC$25:$AC$82,"Индекс потребительских цен")</f>
        <v>0</v>
      </c>
      <c r="AN40" s="571">
        <f ca="1">SUMIFS(Сценарии!AW$25:AW$82,Сценарии!$F$25:$F$82,$F40,Сценарии!$AC$25:$AC$82,"Индекс потребительских цен")</f>
        <v>0</v>
      </c>
      <c r="AO40" s="571">
        <f ca="1">SUMIFS(Сценарии!AK$25:AK$82,Сценарии!$F$25:$F$82,$F40,Сценарии!$AC$25:$AC$82,"Индекс потребительских цен")</f>
        <v>5.0999999999999996</v>
      </c>
      <c r="AP40" s="571">
        <f ca="1">SUMIFS(Сценарии!AX$25:AX$82,Сценарии!$F$25:$F$82,$F40,Сценарии!$AC$25:$AC$82,"Индекс потребительских цен")</f>
        <v>4</v>
      </c>
      <c r="AQ40" s="571">
        <f ca="1">SUMIFS(Сценарии!AY$25:AY$82,Сценарии!$F$25:$F$82,$F40,Сценарии!$AC$25:$AC$82,"Индекс потребительских цен")</f>
        <v>4</v>
      </c>
      <c r="AR40" s="571">
        <f ca="1">SUMIFS(Сценарии!AZ$25:AZ$82,Сценарии!$F$25:$F$82,$F40,Сценарии!$AC$25:$AC$82,"Индекс потребительских цен")</f>
        <v>0</v>
      </c>
      <c r="AS40" s="571">
        <f ca="1">SUMIFS(Сценарии!BA$25:BA$82,Сценарии!$F$25:$F$82,$F40,Сценарии!$AC$25:$AC$82,"Индекс потребительских цен")</f>
        <v>0</v>
      </c>
      <c r="AT40" s="571">
        <f ca="1">SUMIFS(Сценарии!BB$25:BB$82,Сценарии!$F$25:$F$82,$F40,Сценарии!$AC$25:$AC$82,"Индекс потребительских цен")</f>
        <v>0</v>
      </c>
      <c r="AU40" s="571">
        <f ca="1">SUMIFS(Сценарии!BC$25:BC$82,Сценарии!$F$25:$F$82,$F40,Сценарии!$AC$25:$AC$82,"Индекс потребительских цен")</f>
        <v>0</v>
      </c>
      <c r="AV40" s="571">
        <f ca="1">SUMIFS(Сценарии!BD$25:BD$82,Сценарии!$F$25:$F$82,$F40,Сценарии!$AC$25:$AC$82,"Индекс потребительских цен")</f>
        <v>0</v>
      </c>
      <c r="AW40" s="571">
        <f ca="1">SUMIFS(Сценарии!BE$25:BE$82,Сценарии!$F$25:$F$82,$F40,Сценарии!$AC$25:$AC$82,"Индекс потребительских цен")</f>
        <v>0</v>
      </c>
      <c r="AX40" s="571">
        <f ca="1">SUMIFS(Сценарии!BF$25:BF$82,Сценарии!$F$25:$F$82,$F40,Сценарии!$AC$25:$AC$82,"Индекс потребительских цен")</f>
        <v>0</v>
      </c>
      <c r="AY40" s="195"/>
      <c r="AZ40" s="22"/>
      <c r="BB40" s="654" t="s">
        <v>1437</v>
      </c>
    </row>
    <row r="41" spans="1:54" s="891" customFormat="1" ht="14.25" customHeight="1">
      <c r="A41" s="38"/>
      <c r="B41" s="43"/>
      <c r="C41" s="38"/>
      <c r="D41" s="38"/>
      <c r="E41" s="446">
        <v>15</v>
      </c>
      <c r="F41" s="3" t="str" cm="1">
        <f t="array" aca="1" ref="F41" ca="1">OFFSET(E41,-1,1)</f>
        <v>1</v>
      </c>
      <c r="G41" s="22" t="s">
        <v>323</v>
      </c>
      <c r="H41" s="22"/>
      <c r="I41" s="22"/>
      <c r="J41" s="22"/>
      <c r="K41" s="38"/>
      <c r="L41" s="38"/>
      <c r="M41" s="38"/>
      <c r="N41" s="38"/>
      <c r="O41" s="38"/>
      <c r="P41" s="38"/>
      <c r="Q41" s="38"/>
      <c r="R41" s="38"/>
      <c r="S41" s="38"/>
      <c r="T41" s="351" t="b" cm="1">
        <f t="array" ref="T41">T40</f>
        <v>1</v>
      </c>
      <c r="U41" s="38"/>
      <c r="V41" s="38"/>
      <c r="W41" s="38"/>
      <c r="X41" s="1024"/>
      <c r="Y41" s="22"/>
      <c r="Z41" s="1047"/>
      <c r="AA41" s="22"/>
      <c r="AB41" s="9">
        <v>3</v>
      </c>
      <c r="AC41" s="157" t="s">
        <v>1438</v>
      </c>
      <c r="AD41" s="5" t="s">
        <v>501</v>
      </c>
      <c r="AE41" s="572" cm="1">
        <f t="array" aca="1" ref="AE41" ca="1">AE40</f>
        <v>5.0999999999999996</v>
      </c>
      <c r="AF41" s="572">
        <f t="shared" ref="AF41:AX41" ca="1" si="5">AE41*AF40/100</f>
        <v>0.20399999999999999</v>
      </c>
      <c r="AG41" s="572">
        <f t="shared" ca="1" si="5"/>
        <v>8.1599999999999989E-3</v>
      </c>
      <c r="AH41" s="572">
        <f t="shared" ca="1" si="5"/>
        <v>0</v>
      </c>
      <c r="AI41" s="572">
        <f t="shared" ca="1" si="5"/>
        <v>0</v>
      </c>
      <c r="AJ41" s="572">
        <f t="shared" ca="1" si="5"/>
        <v>0</v>
      </c>
      <c r="AK41" s="572">
        <f t="shared" ca="1" si="5"/>
        <v>0</v>
      </c>
      <c r="AL41" s="572">
        <f t="shared" ca="1" si="5"/>
        <v>0</v>
      </c>
      <c r="AM41" s="572">
        <f t="shared" ca="1" si="5"/>
        <v>0</v>
      </c>
      <c r="AN41" s="572">
        <f t="shared" ca="1" si="5"/>
        <v>0</v>
      </c>
      <c r="AO41" s="572">
        <f t="shared" ca="1" si="5"/>
        <v>0</v>
      </c>
      <c r="AP41" s="572">
        <f t="shared" ca="1" si="5"/>
        <v>0</v>
      </c>
      <c r="AQ41" s="572">
        <f t="shared" ca="1" si="5"/>
        <v>0</v>
      </c>
      <c r="AR41" s="572">
        <f t="shared" ca="1" si="5"/>
        <v>0</v>
      </c>
      <c r="AS41" s="572">
        <f t="shared" ca="1" si="5"/>
        <v>0</v>
      </c>
      <c r="AT41" s="572">
        <f t="shared" ca="1" si="5"/>
        <v>0</v>
      </c>
      <c r="AU41" s="572">
        <f t="shared" ca="1" si="5"/>
        <v>0</v>
      </c>
      <c r="AV41" s="572">
        <f t="shared" ca="1" si="5"/>
        <v>0</v>
      </c>
      <c r="AW41" s="572">
        <f t="shared" ca="1" si="5"/>
        <v>0</v>
      </c>
      <c r="AX41" s="572">
        <f t="shared" ca="1" si="5"/>
        <v>0</v>
      </c>
      <c r="AY41" s="195"/>
      <c r="AZ41" s="22"/>
      <c r="BA41" s="154"/>
      <c r="BB41" s="686" t="s">
        <v>1439</v>
      </c>
    </row>
    <row r="42" spans="1:54" ht="14.25" customHeight="1">
      <c r="A42" s="154"/>
      <c r="B42" s="327"/>
      <c r="C42" s="154"/>
      <c r="D42" s="154"/>
      <c r="E42" s="499">
        <v>15</v>
      </c>
      <c r="F42" s="3" t="str" cm="1">
        <f t="array" aca="1" ref="F42" ca="1">OFFSET(E42,-1,1)</f>
        <v>1</v>
      </c>
      <c r="G42" s="22" t="s">
        <v>325</v>
      </c>
      <c r="H42" s="22" t="s">
        <v>1440</v>
      </c>
      <c r="I42" s="63"/>
      <c r="J42" s="63"/>
      <c r="K42" s="154"/>
      <c r="L42" s="154"/>
      <c r="M42" s="154"/>
      <c r="N42" s="154"/>
      <c r="O42" s="154"/>
      <c r="P42" s="154"/>
      <c r="Q42" s="154"/>
      <c r="R42" s="154"/>
      <c r="S42" s="154"/>
      <c r="T42" s="351" t="b" cm="1">
        <f t="array" ref="T42">T41</f>
        <v>1</v>
      </c>
      <c r="U42" s="154"/>
      <c r="V42" s="154"/>
      <c r="W42" s="154"/>
      <c r="X42" s="1024"/>
      <c r="Y42" s="63"/>
      <c r="Z42" s="1047"/>
      <c r="AA42" s="63"/>
      <c r="AB42" s="160" t="s">
        <v>438</v>
      </c>
      <c r="AC42" s="159" t="s">
        <v>1441</v>
      </c>
      <c r="AD42" s="160" t="s">
        <v>859</v>
      </c>
      <c r="AE42" s="567">
        <f t="shared" ref="AE42:AX42" ca="1" si="6">AE36*AE41/100</f>
        <v>0</v>
      </c>
      <c r="AF42" s="567">
        <f t="shared" ca="1" si="6"/>
        <v>0</v>
      </c>
      <c r="AG42" s="567">
        <f t="shared" ca="1" si="6"/>
        <v>0</v>
      </c>
      <c r="AH42" s="567">
        <f t="shared" ca="1" si="6"/>
        <v>0</v>
      </c>
      <c r="AI42" s="567">
        <f t="shared" ca="1" si="6"/>
        <v>0</v>
      </c>
      <c r="AJ42" s="567">
        <f t="shared" ca="1" si="6"/>
        <v>0</v>
      </c>
      <c r="AK42" s="567">
        <f t="shared" ca="1" si="6"/>
        <v>0</v>
      </c>
      <c r="AL42" s="567">
        <f t="shared" ca="1" si="6"/>
        <v>0</v>
      </c>
      <c r="AM42" s="567">
        <f t="shared" ca="1" si="6"/>
        <v>0</v>
      </c>
      <c r="AN42" s="567">
        <f t="shared" ca="1" si="6"/>
        <v>0</v>
      </c>
      <c r="AO42" s="567">
        <f t="shared" ca="1" si="6"/>
        <v>0</v>
      </c>
      <c r="AP42" s="567">
        <f t="shared" ca="1" si="6"/>
        <v>0</v>
      </c>
      <c r="AQ42" s="567">
        <f t="shared" ca="1" si="6"/>
        <v>0</v>
      </c>
      <c r="AR42" s="567">
        <f t="shared" ca="1" si="6"/>
        <v>0</v>
      </c>
      <c r="AS42" s="567">
        <f t="shared" ca="1" si="6"/>
        <v>0</v>
      </c>
      <c r="AT42" s="567">
        <f t="shared" ca="1" si="6"/>
        <v>0</v>
      </c>
      <c r="AU42" s="567">
        <f t="shared" ca="1" si="6"/>
        <v>0</v>
      </c>
      <c r="AV42" s="567">
        <f t="shared" ca="1" si="6"/>
        <v>0</v>
      </c>
      <c r="AW42" s="567">
        <f t="shared" ca="1" si="6"/>
        <v>0</v>
      </c>
      <c r="AX42" s="567">
        <f t="shared" ca="1" si="6"/>
        <v>0</v>
      </c>
      <c r="AY42" s="195"/>
      <c r="AZ42" s="63"/>
      <c r="BB42" s="654" t="s">
        <v>1442</v>
      </c>
    </row>
    <row r="43" spans="1:54" ht="10.9" customHeight="1">
      <c r="A43"/>
      <c r="B43" s="326"/>
      <c r="C43"/>
      <c r="D43"/>
      <c r="E43" s="452">
        <v>11.25</v>
      </c>
      <c r="F43"/>
      <c r="G43"/>
      <c r="H43"/>
      <c r="I43"/>
      <c r="J43"/>
      <c r="K43"/>
      <c r="L43"/>
      <c r="M43"/>
      <c r="N43"/>
      <c r="O43"/>
      <c r="P43"/>
      <c r="Q43"/>
      <c r="R43"/>
      <c r="S43"/>
      <c r="T43"/>
      <c r="U43" s="314" t="s">
        <v>175</v>
      </c>
      <c r="V43" s="56" t="s">
        <v>1443</v>
      </c>
      <c r="W43"/>
      <c r="X43"/>
      <c r="Y43"/>
      <c r="Z43"/>
      <c r="AA43"/>
      <c r="AB43"/>
      <c r="AC43" s="18"/>
      <c r="AD43" s="18"/>
      <c r="AE43" s="18"/>
      <c r="AF43" s="18"/>
      <c r="AG43"/>
      <c r="AH43"/>
      <c r="AI43"/>
      <c r="AJ43"/>
      <c r="AK43"/>
      <c r="AL43"/>
      <c r="AM43"/>
      <c r="AN43"/>
      <c r="AO43"/>
      <c r="AP43"/>
      <c r="AQ43" s="19"/>
      <c r="AR43"/>
      <c r="AS43"/>
      <c r="AT43"/>
      <c r="AU43"/>
      <c r="AV43"/>
      <c r="AW43"/>
      <c r="AX43"/>
      <c r="AY43"/>
      <c r="AZ43"/>
    </row>
    <row r="44" spans="1:54" ht="14.65" customHeight="1">
      <c r="E44" s="446">
        <v>15</v>
      </c>
      <c r="F44" s="22"/>
      <c r="G44" s="22"/>
      <c r="H44" s="22"/>
      <c r="I44" s="22"/>
      <c r="J44" s="22"/>
      <c r="AB44" s="1028" t="s">
        <v>396</v>
      </c>
      <c r="AC44" s="1028"/>
      <c r="AD44" s="1028"/>
      <c r="AE44" s="1028"/>
      <c r="AF44" s="1028"/>
      <c r="AG44" s="1028"/>
      <c r="AH44" s="1028"/>
      <c r="AI44" s="1028"/>
      <c r="AJ44" s="1028"/>
      <c r="AK44" s="1028"/>
      <c r="AL44" s="1028"/>
      <c r="AM44" s="1028"/>
      <c r="AN44" s="1028"/>
      <c r="AO44" s="1028"/>
      <c r="AP44" s="1028"/>
      <c r="AQ44" s="1028"/>
      <c r="AR44" s="1028"/>
      <c r="AS44" s="1028"/>
      <c r="AT44" s="1028"/>
      <c r="AU44" s="1028"/>
      <c r="AV44" s="1028"/>
      <c r="AW44" s="1028"/>
      <c r="AX44" s="1048"/>
      <c r="AY44" s="1048"/>
    </row>
    <row r="45" spans="1:54" ht="14.65" customHeight="1">
      <c r="E45" s="446">
        <v>15</v>
      </c>
      <c r="F45" s="22"/>
      <c r="G45" s="22"/>
      <c r="H45" s="22"/>
      <c r="I45" s="22"/>
      <c r="J45" s="22"/>
      <c r="AA45" s="87"/>
      <c r="AB45" s="1095"/>
      <c r="AC45" s="1100"/>
      <c r="AD45" s="1100"/>
      <c r="AE45" s="1100"/>
      <c r="AF45" s="1100"/>
      <c r="AG45" s="1100"/>
      <c r="AH45" s="1100"/>
      <c r="AI45" s="1100"/>
      <c r="AJ45" s="1100"/>
      <c r="AK45" s="1100"/>
      <c r="AL45" s="1100"/>
      <c r="AM45" s="1100"/>
      <c r="AN45" s="1100"/>
      <c r="AO45" s="1100"/>
      <c r="AP45" s="1100"/>
      <c r="AQ45" s="1100"/>
      <c r="AR45" s="1100"/>
      <c r="AS45" s="1100"/>
      <c r="AT45" s="1100"/>
      <c r="AU45" s="1100"/>
      <c r="AV45" s="1100"/>
      <c r="AW45" s="1100"/>
      <c r="AX45" s="1101"/>
      <c r="AY45" s="1101"/>
    </row>
    <row r="46" spans="1:54" ht="14.65" hidden="1" customHeight="1">
      <c r="E46" s="446">
        <v>15</v>
      </c>
      <c r="T46" s="351" t="b">
        <f>ROW(W46)&gt;ROW(W$46)</f>
        <v>0</v>
      </c>
      <c r="W46" s="515" t="s">
        <v>171</v>
      </c>
      <c r="AA46" s="319" t="s">
        <v>172</v>
      </c>
      <c r="AB46" s="1096" t="s">
        <v>124</v>
      </c>
      <c r="AC46" s="1100"/>
      <c r="AD46" s="1100"/>
      <c r="AE46" s="1100"/>
      <c r="AF46" s="1100"/>
      <c r="AG46" s="1100"/>
      <c r="AH46" s="1100"/>
      <c r="AI46" s="1100"/>
      <c r="AJ46" s="1100"/>
      <c r="AK46" s="1100"/>
      <c r="AL46" s="1100"/>
      <c r="AM46" s="1100"/>
      <c r="AN46" s="1100"/>
      <c r="AO46" s="1100"/>
      <c r="AP46" s="1100"/>
      <c r="AQ46" s="1100"/>
      <c r="AR46" s="1100"/>
      <c r="AS46" s="1100"/>
      <c r="AT46" s="1100"/>
      <c r="AU46" s="1100"/>
      <c r="AV46" s="1100"/>
      <c r="AW46" s="1100"/>
      <c r="AX46" s="1101"/>
      <c r="AY46" s="1101"/>
    </row>
    <row r="47" spans="1:54" s="154" customFormat="1" ht="14.65" customHeight="1">
      <c r="A47" s="38"/>
      <c r="B47" s="43"/>
      <c r="C47" s="38"/>
      <c r="D47" s="38"/>
      <c r="E47" s="446">
        <v>15</v>
      </c>
      <c r="F47" s="38"/>
      <c r="G47" s="38"/>
      <c r="H47" s="38"/>
      <c r="I47" s="38"/>
      <c r="J47" s="38"/>
      <c r="K47" s="38"/>
      <c r="L47" s="38"/>
      <c r="M47" s="38"/>
      <c r="N47" s="38"/>
      <c r="O47" s="38"/>
      <c r="P47" s="38"/>
      <c r="Q47" s="38"/>
      <c r="R47" s="38"/>
      <c r="S47" s="38"/>
      <c r="T47" s="38"/>
      <c r="U47" s="38"/>
      <c r="V47" s="38"/>
      <c r="W47" s="515" t="s">
        <v>407</v>
      </c>
      <c r="X47" s="38"/>
      <c r="Y47" s="38"/>
      <c r="Z47" s="38"/>
      <c r="AA47" s="38"/>
      <c r="AB47" s="472"/>
      <c r="AC47" s="380" t="s">
        <v>408</v>
      </c>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186"/>
      <c r="AZ47" s="38"/>
      <c r="BB47" s="686"/>
    </row>
    <row r="48" spans="1:54" ht="10.7" customHeight="1">
      <c r="E48" s="446">
        <v>11</v>
      </c>
      <c r="AZ48" s="22"/>
      <c r="BA48"/>
      <c r="BB48" s="659"/>
    </row>
  </sheetData>
  <sheetProtection formatColumns="0" formatRows="0" insertRows="0" deleteColumns="0" deleteRows="0" sort="0" autoFilter="0"/>
  <mergeCells count="11">
    <mergeCell ref="X27:X34"/>
    <mergeCell ref="Z27:Z34"/>
    <mergeCell ref="AB44:AY44"/>
    <mergeCell ref="AB45:AY45"/>
    <mergeCell ref="X35:X42"/>
    <mergeCell ref="Z35:Z42"/>
    <mergeCell ref="AB24:AB25"/>
    <mergeCell ref="AC24:AC25"/>
    <mergeCell ref="AD24:AD25"/>
    <mergeCell ref="AY24:AY25"/>
    <mergeCell ref="AB46:AY46"/>
  </mergeCells>
  <dataValidations count="1">
    <dataValidation allowBlank="1" showInputMessage="1" showErrorMessage="1" sqref="AY44:AY46"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3418-7465-916D-E9AC-FA9E357CB5C8}">
  <sheetPr>
    <tabColor rgb="FF002060"/>
  </sheetPr>
  <dimension ref="A1:AQ37"/>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274"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54" hidden="1"/>
    <col min="42" max="43" width="9.140625" style="38" hidden="1"/>
  </cols>
  <sheetData>
    <row r="1" spans="1:41" ht="11.25" hidden="1" customHeight="1">
      <c r="E1" s="38"/>
      <c r="F1" s="274" t="s">
        <v>309</v>
      </c>
      <c r="G1" s="38" t="s">
        <v>320</v>
      </c>
      <c r="T1" s="351" t="s">
        <v>92</v>
      </c>
      <c r="U1" s="351" t="s">
        <v>97</v>
      </c>
      <c r="V1" s="351" t="s">
        <v>93</v>
      </c>
      <c r="W1" s="351" t="s">
        <v>94</v>
      </c>
      <c r="X1" s="351" t="s">
        <v>95</v>
      </c>
      <c r="Y1" s="353" t="s">
        <v>311</v>
      </c>
      <c r="Z1" s="351" t="s">
        <v>99</v>
      </c>
      <c r="AA1" s="352" t="s">
        <v>96</v>
      </c>
      <c r="AB1" s="4"/>
      <c r="AC1" s="352" t="s">
        <v>98</v>
      </c>
      <c r="AO1" s="654" t="s">
        <v>312</v>
      </c>
    </row>
    <row r="2" spans="1:41" s="43" customFormat="1" ht="11.25" hidden="1" customHeight="1">
      <c r="B2" s="341" t="s">
        <v>18</v>
      </c>
      <c r="F2" s="533"/>
      <c r="AO2" s="663"/>
    </row>
    <row r="3" spans="1:41" ht="11.25" hidden="1" customHeight="1">
      <c r="E3" s="38"/>
    </row>
    <row r="4" spans="1:41" ht="11.25" hidden="1" customHeight="1">
      <c r="E4" s="38"/>
    </row>
    <row r="5" spans="1:41" s="446" customFormat="1" ht="11.25" hidden="1" customHeight="1">
      <c r="A5" s="38"/>
      <c r="B5" s="43"/>
      <c r="C5" s="38"/>
      <c r="D5" s="38"/>
      <c r="E5" s="446" t="s">
        <v>19</v>
      </c>
      <c r="F5" s="534"/>
      <c r="AA5" s="446">
        <v>3</v>
      </c>
      <c r="AB5" s="446">
        <v>11</v>
      </c>
      <c r="AC5" s="446">
        <v>50</v>
      </c>
      <c r="AD5" s="446">
        <v>10</v>
      </c>
      <c r="AE5" s="446">
        <v>15</v>
      </c>
      <c r="AF5" s="446">
        <v>16.57</v>
      </c>
      <c r="AG5" s="446">
        <v>18.71</v>
      </c>
      <c r="AH5" s="446">
        <v>25.86</v>
      </c>
      <c r="AI5" s="446">
        <v>18.43</v>
      </c>
      <c r="AJ5" s="446">
        <v>29.14</v>
      </c>
      <c r="AK5" s="446">
        <v>18.43</v>
      </c>
      <c r="AL5" s="446">
        <v>15</v>
      </c>
      <c r="AM5" s="446">
        <v>3</v>
      </c>
      <c r="AO5" s="654"/>
    </row>
    <row r="6" spans="1:41" ht="11.25" hidden="1" customHeight="1">
      <c r="A6" s="38" t="s">
        <v>346</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row r="8" spans="1:41" ht="11.25" hidden="1" customHeight="1"/>
    <row r="9" spans="1:41" s="654" customFormat="1" ht="11.25" hidden="1" customHeight="1">
      <c r="A9" s="654" t="s">
        <v>356</v>
      </c>
      <c r="B9" s="663"/>
      <c r="F9" s="664"/>
      <c r="AE9" s="654" t="str" cm="1">
        <f t="array" ref="AE9">AE24</f>
        <v>Начислено в соответствии с пунктом 26(1) Основ ценообразования в сфере водоснабжения и водоотведения</v>
      </c>
      <c r="AF9" s="654" t="str" cm="1">
        <f t="array" ref="AF9">AF24</f>
        <v>Направлено на внесение платы за негативное воздействие на окружающую среду</v>
      </c>
      <c r="AG9" s="654" t="str" cm="1">
        <f t="array" ref="AG9">AG24</f>
        <v>Направлено на компенсацию вреда, причиненного водному объекту</v>
      </c>
      <c r="AH9" s="654"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54" t="str" cm="1">
        <f t="array" ref="AI9">AI24</f>
        <v>Предусмотрено на финансирование мероприятий производственной программы регулируемой организации</v>
      </c>
      <c r="AJ9" s="654"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54" t="str" cm="1">
        <f t="array" ref="AK9">AK24</f>
        <v>Налог на прибыль</v>
      </c>
      <c r="AL9" s="654"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446">
        <v>11.25</v>
      </c>
      <c r="AA21" s="324"/>
      <c r="AB21" s="70"/>
      <c r="AC21" s="70"/>
      <c r="AD21" s="70"/>
      <c r="AE21" s="70"/>
      <c r="AF21" s="70"/>
      <c r="AG21" s="70"/>
      <c r="AH21" s="70"/>
      <c r="AI21" s="70"/>
      <c r="AJ21" s="70"/>
      <c r="AK21" s="70"/>
      <c r="AL21" s="70"/>
    </row>
    <row r="22" spans="1:43" ht="19.5" customHeight="1">
      <c r="E22" s="446">
        <v>20</v>
      </c>
      <c r="AB22" s="225" t="s">
        <v>1444</v>
      </c>
      <c r="AC22" s="149"/>
      <c r="AD22" s="149"/>
      <c r="AE22" s="149"/>
      <c r="AF22" s="149"/>
      <c r="AG22" s="161"/>
      <c r="AH22" s="161"/>
      <c r="AI22" s="161"/>
      <c r="AJ22" s="161"/>
      <c r="AK22" s="161"/>
      <c r="AL22" s="161"/>
    </row>
    <row r="23" spans="1:43" ht="10.9" customHeight="1">
      <c r="E23" s="446">
        <v>11.25</v>
      </c>
      <c r="AB23" s="70"/>
      <c r="AC23" s="70"/>
      <c r="AD23" s="70"/>
      <c r="AE23" s="70"/>
      <c r="AF23" s="70"/>
      <c r="AG23" s="70"/>
      <c r="AH23" s="70"/>
      <c r="AI23" s="70"/>
      <c r="AJ23" s="70"/>
      <c r="AK23" s="70"/>
      <c r="AL23" s="70"/>
    </row>
    <row r="24" spans="1:43" ht="108.95" customHeight="1">
      <c r="E24" s="446">
        <v>111.75</v>
      </c>
      <c r="AB24" s="158" t="s">
        <v>1445</v>
      </c>
      <c r="AC24" s="5" t="s">
        <v>1427</v>
      </c>
      <c r="AD24" s="5" t="s">
        <v>359</v>
      </c>
      <c r="AE24" s="10" t="s">
        <v>1446</v>
      </c>
      <c r="AF24" s="10" t="s">
        <v>1447</v>
      </c>
      <c r="AG24" s="10" t="s">
        <v>1448</v>
      </c>
      <c r="AH24" s="10" t="s">
        <v>1449</v>
      </c>
      <c r="AI24" s="10" t="s">
        <v>1450</v>
      </c>
      <c r="AJ24" s="10" t="s">
        <v>1451</v>
      </c>
      <c r="AK24" s="10" t="s">
        <v>1309</v>
      </c>
      <c r="AL24" s="10" t="s">
        <v>1452</v>
      </c>
    </row>
    <row r="25" spans="1:43" ht="11.25" customHeight="1">
      <c r="A25"/>
      <c r="B25" s="326"/>
      <c r="C25"/>
      <c r="D25"/>
      <c r="E25" s="452" t="s">
        <v>362</v>
      </c>
      <c r="F25" s="708"/>
      <c r="G25"/>
      <c r="H25"/>
      <c r="I25"/>
      <c r="J25"/>
      <c r="K25"/>
      <c r="L25"/>
      <c r="M25"/>
      <c r="N25"/>
      <c r="O25"/>
      <c r="P25"/>
      <c r="Q25"/>
      <c r="R25"/>
      <c r="S25"/>
      <c r="T25"/>
      <c r="U25"/>
      <c r="V25"/>
      <c r="W25"/>
      <c r="X25"/>
      <c r="Y25"/>
      <c r="Z25"/>
      <c r="AA25"/>
      <c r="AB25"/>
      <c r="AC25" s="18"/>
      <c r="AD25" s="18"/>
      <c r="AE25" s="18"/>
      <c r="AF25" s="18"/>
      <c r="AG25"/>
      <c r="AH25"/>
      <c r="AI25"/>
      <c r="AJ25"/>
      <c r="AK25"/>
      <c r="AL25"/>
      <c r="AM25"/>
      <c r="AN25"/>
      <c r="AO25" s="659"/>
      <c r="AP25"/>
      <c r="AQ25" s="19"/>
    </row>
    <row r="26" spans="1:43" ht="14.65" hidden="1" customHeight="1">
      <c r="E26" s="446">
        <v>15</v>
      </c>
      <c r="F26" s="252" cm="1">
        <f t="array" ref="F26">X26</f>
        <v>0</v>
      </c>
      <c r="T26" s="351" t="b">
        <f>X26&gt;0</f>
        <v>0</v>
      </c>
      <c r="V26" s="38" t="s">
        <v>266</v>
      </c>
      <c r="X26" s="1024">
        <v>0</v>
      </c>
      <c r="Z26" s="1008"/>
      <c r="AB26" s="155" t="str" cm="1">
        <f t="array" ref="AB26">INDEX('Общие сведения'!$AG$179:$AG$208,MATCH($X26,'Общие сведения'!$Z$179:$Z$208,0))</f>
        <v xml:space="preserve">Тариф 0 () - </v>
      </c>
      <c r="AC26" s="156"/>
      <c r="AD26" s="156"/>
      <c r="AE26" s="184">
        <f t="shared" ref="AE26:AL26" si="0">AE27+AE28</f>
        <v>0</v>
      </c>
      <c r="AF26" s="184">
        <f t="shared" si="0"/>
        <v>0</v>
      </c>
      <c r="AG26" s="184">
        <f t="shared" si="0"/>
        <v>0</v>
      </c>
      <c r="AH26" s="184">
        <f t="shared" si="0"/>
        <v>0</v>
      </c>
      <c r="AI26" s="184">
        <f t="shared" si="0"/>
        <v>0</v>
      </c>
      <c r="AJ26" s="184">
        <f t="shared" si="0"/>
        <v>0</v>
      </c>
      <c r="AK26" s="184">
        <f t="shared" si="0"/>
        <v>0</v>
      </c>
      <c r="AL26" s="184">
        <f t="shared" si="0"/>
        <v>0</v>
      </c>
    </row>
    <row r="27" spans="1:43" ht="33.4" hidden="1" customHeight="1">
      <c r="B27" s="341" t="b">
        <f>IFERROR(IF(SEARCH("Водоотведение",AB26),TRUE,FALSE),FALSE)</f>
        <v>0</v>
      </c>
      <c r="E27" s="446">
        <v>34.25</v>
      </c>
      <c r="F27" s="3" cm="1">
        <f t="array" aca="1" ref="F27" ca="1">OFFSET(E27,-1,1)</f>
        <v>0</v>
      </c>
      <c r="G27" s="40">
        <v>1</v>
      </c>
      <c r="T27" s="351" t="b" cm="1">
        <f t="array" ref="T27">T26</f>
        <v>0</v>
      </c>
      <c r="X27" s="1024"/>
      <c r="Z27" s="1008"/>
      <c r="AB27" s="5" t="s">
        <v>277</v>
      </c>
      <c r="AC27" s="157" t="s">
        <v>1453</v>
      </c>
      <c r="AD27" s="5" t="s">
        <v>859</v>
      </c>
      <c r="AE27" s="888"/>
      <c r="AF27" s="880"/>
      <c r="AG27" s="880"/>
      <c r="AH27" s="880"/>
      <c r="AI27" s="880"/>
      <c r="AJ27" s="880"/>
      <c r="AK27" s="880"/>
      <c r="AL27" s="880">
        <f>IF(AE27-AF27-AG27-AH27-AI27-AJ27-AK27&lt;0,0,AE27-AF27-AG27-AH27-AI27-AJ27-AK27)</f>
        <v>0</v>
      </c>
      <c r="AO27" s="654" t="s">
        <v>1408</v>
      </c>
    </row>
    <row r="28" spans="1:43" ht="33.4" hidden="1" customHeight="1">
      <c r="B28" s="341" t="b" cm="1">
        <f t="array" ref="B28">B27</f>
        <v>0</v>
      </c>
      <c r="E28" s="446">
        <v>34.25</v>
      </c>
      <c r="F28" s="3" cm="1">
        <f t="array" aca="1" ref="F28" ca="1">OFFSET(E28,-1,1)</f>
        <v>0</v>
      </c>
      <c r="G28" s="40">
        <v>2</v>
      </c>
      <c r="T28" s="351" t="b" cm="1">
        <f t="array" ref="T28">T27</f>
        <v>0</v>
      </c>
      <c r="X28" s="1024"/>
      <c r="Z28" s="1008"/>
      <c r="AB28" s="5" t="s">
        <v>435</v>
      </c>
      <c r="AC28" s="157" t="s">
        <v>1454</v>
      </c>
      <c r="AD28" s="5" t="s">
        <v>859</v>
      </c>
      <c r="AE28" s="888"/>
      <c r="AF28" s="880"/>
      <c r="AG28" s="880"/>
      <c r="AH28" s="880"/>
      <c r="AI28" s="880"/>
      <c r="AJ28" s="880"/>
      <c r="AK28" s="880"/>
      <c r="AL28" s="880">
        <f>IF(AE28-AF28-AG28-AH28-AI28-AJ28-AK28&lt;0,0,AE28-AF28-AG28-AH28-AI28-AJ28-AK28)</f>
        <v>0</v>
      </c>
      <c r="AO28" s="654" t="s">
        <v>1412</v>
      </c>
    </row>
    <row r="29" spans="1:43" ht="14.25" customHeight="1">
      <c r="E29" s="446">
        <v>15</v>
      </c>
      <c r="F29" s="252" t="str" cm="1">
        <f t="array" ref="F29">X29</f>
        <v>1</v>
      </c>
      <c r="T29" s="351" t="b">
        <f>X29&gt;0</f>
        <v>1</v>
      </c>
      <c r="V29" s="38" t="str" cm="1">
        <f t="array" ref="V29">Экономия_корр!$AB$35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29" s="1024" t="s">
        <v>277</v>
      </c>
      <c r="Z29" s="1008"/>
      <c r="AB29" s="155" t="str" cm="1">
        <f t="array" ref="AB29">Экономия_корр!$AB$35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29" s="156"/>
      <c r="AD29" s="156"/>
      <c r="AE29" s="184">
        <f t="shared" ref="AE29:AL29" si="1">AE30+AE31</f>
        <v>0</v>
      </c>
      <c r="AF29" s="184">
        <f t="shared" si="1"/>
        <v>0</v>
      </c>
      <c r="AG29" s="184">
        <f t="shared" si="1"/>
        <v>0</v>
      </c>
      <c r="AH29" s="184">
        <f t="shared" si="1"/>
        <v>0</v>
      </c>
      <c r="AI29" s="184">
        <f t="shared" si="1"/>
        <v>0</v>
      </c>
      <c r="AJ29" s="184">
        <f t="shared" si="1"/>
        <v>0</v>
      </c>
      <c r="AK29" s="184">
        <f t="shared" si="1"/>
        <v>0</v>
      </c>
      <c r="AL29" s="184">
        <f t="shared" si="1"/>
        <v>0</v>
      </c>
    </row>
    <row r="30" spans="1:43" ht="33" hidden="1" customHeight="1">
      <c r="B30" s="341" t="b">
        <f>IFERROR(IF(SEARCH("Водоотведение",AB29),TRUE,FALSE),FALSE)</f>
        <v>0</v>
      </c>
      <c r="E30" s="446">
        <v>34.25</v>
      </c>
      <c r="F30" s="3" t="str" cm="1">
        <f t="array" aca="1" ref="F30" ca="1">OFFSET(E30,-1,1)</f>
        <v>1</v>
      </c>
      <c r="G30" s="40">
        <v>1</v>
      </c>
      <c r="T30" s="351" t="b" cm="1">
        <f t="array" ref="T30">T29</f>
        <v>1</v>
      </c>
      <c r="X30" s="1024"/>
      <c r="Z30" s="1008"/>
      <c r="AB30" s="5" t="s">
        <v>277</v>
      </c>
      <c r="AC30" s="157" t="s">
        <v>1453</v>
      </c>
      <c r="AD30" s="5" t="s">
        <v>859</v>
      </c>
      <c r="AE30" s="888"/>
      <c r="AF30" s="880"/>
      <c r="AG30" s="880"/>
      <c r="AH30" s="880"/>
      <c r="AI30" s="880"/>
      <c r="AJ30" s="880"/>
      <c r="AK30" s="880"/>
      <c r="AL30" s="880">
        <f>IF(AE30-AF30-AG30-AH30-AI30-AJ30-AK30&lt;0,0,AE30-AF30-AG30-AH30-AI30-AJ30-AK30)</f>
        <v>0</v>
      </c>
      <c r="AO30" s="654" t="s">
        <v>1408</v>
      </c>
    </row>
    <row r="31" spans="1:43" ht="33" hidden="1" customHeight="1">
      <c r="B31" s="341" t="b" cm="1">
        <f t="array" ref="B31">B30</f>
        <v>0</v>
      </c>
      <c r="E31" s="446">
        <v>34.25</v>
      </c>
      <c r="F31" s="3" t="str" cm="1">
        <f t="array" aca="1" ref="F31" ca="1">OFFSET(E31,-1,1)</f>
        <v>1</v>
      </c>
      <c r="G31" s="40">
        <v>2</v>
      </c>
      <c r="T31" s="351" t="b" cm="1">
        <f t="array" ref="T31">T30</f>
        <v>1</v>
      </c>
      <c r="X31" s="1024"/>
      <c r="Z31" s="1008"/>
      <c r="AB31" s="5" t="s">
        <v>435</v>
      </c>
      <c r="AC31" s="157" t="s">
        <v>1454</v>
      </c>
      <c r="AD31" s="5" t="s">
        <v>859</v>
      </c>
      <c r="AE31" s="888"/>
      <c r="AF31" s="880"/>
      <c r="AG31" s="880"/>
      <c r="AH31" s="880"/>
      <c r="AI31" s="880"/>
      <c r="AJ31" s="880"/>
      <c r="AK31" s="880"/>
      <c r="AL31" s="880">
        <f>IF(AE31-AF31-AG31-AH31-AI31-AJ31-AK31&lt;0,0,AE31-AF31-AG31-AH31-AI31-AJ31-AK31)</f>
        <v>0</v>
      </c>
      <c r="AO31" s="654" t="s">
        <v>1412</v>
      </c>
    </row>
    <row r="32" spans="1:43" ht="10.9" customHeight="1">
      <c r="A32"/>
      <c r="B32" s="326"/>
      <c r="C32"/>
      <c r="D32"/>
      <c r="E32" s="452">
        <v>11.25</v>
      </c>
      <c r="F32" s="708"/>
      <c r="G32"/>
      <c r="H32"/>
      <c r="I32"/>
      <c r="J32"/>
      <c r="K32"/>
      <c r="L32"/>
      <c r="M32"/>
      <c r="N32"/>
      <c r="O32"/>
      <c r="P32"/>
      <c r="Q32"/>
      <c r="R32"/>
      <c r="S32"/>
      <c r="T32"/>
      <c r="U32" s="314" t="s">
        <v>175</v>
      </c>
      <c r="V32" s="56" t="s">
        <v>1455</v>
      </c>
      <c r="W32"/>
      <c r="X32"/>
      <c r="Y32"/>
      <c r="Z32"/>
      <c r="AA32"/>
      <c r="AB32"/>
      <c r="AC32" s="18"/>
      <c r="AD32" s="18"/>
      <c r="AE32" s="18"/>
      <c r="AF32" s="18"/>
      <c r="AG32"/>
      <c r="AH32"/>
      <c r="AI32"/>
      <c r="AJ32"/>
      <c r="AK32"/>
      <c r="AL32"/>
      <c r="AM32"/>
      <c r="AN32"/>
      <c r="AO32" s="659"/>
      <c r="AP32"/>
      <c r="AQ32" s="19"/>
    </row>
    <row r="33" spans="5:39" ht="14.65" customHeight="1">
      <c r="E33" s="446">
        <v>15</v>
      </c>
      <c r="AB33" s="1028" t="s">
        <v>396</v>
      </c>
      <c r="AC33" s="1028"/>
      <c r="AD33" s="1028"/>
      <c r="AE33" s="1028"/>
      <c r="AF33" s="1028"/>
      <c r="AG33" s="1028"/>
      <c r="AH33" s="1028"/>
      <c r="AI33" s="1028"/>
      <c r="AJ33" s="1028"/>
      <c r="AK33" s="1028"/>
      <c r="AL33" s="1048"/>
    </row>
    <row r="34" spans="5:39" ht="14.65" customHeight="1">
      <c r="E34" s="446">
        <v>15</v>
      </c>
      <c r="AA34" s="87"/>
      <c r="AB34" s="1095"/>
      <c r="AC34" s="1095"/>
      <c r="AD34" s="1095"/>
      <c r="AE34" s="1095"/>
      <c r="AF34" s="1095"/>
      <c r="AG34" s="1095"/>
      <c r="AH34" s="1095"/>
      <c r="AI34" s="1095"/>
      <c r="AJ34" s="1095"/>
      <c r="AK34" s="1095"/>
      <c r="AL34" s="1102"/>
    </row>
    <row r="35" spans="5:39" ht="14.65" hidden="1" customHeight="1">
      <c r="E35" s="446">
        <v>15</v>
      </c>
      <c r="T35" s="351" t="b">
        <f>ROW(W35)&gt;ROW(W$35)</f>
        <v>0</v>
      </c>
      <c r="W35" s="515" t="s">
        <v>171</v>
      </c>
      <c r="AA35" s="319" t="s">
        <v>172</v>
      </c>
      <c r="AB35" s="1096" t="s">
        <v>124</v>
      </c>
      <c r="AC35" s="1096"/>
      <c r="AD35" s="1096"/>
      <c r="AE35" s="1096"/>
      <c r="AF35" s="1096"/>
      <c r="AG35" s="1096"/>
      <c r="AH35" s="1096"/>
      <c r="AI35" s="1096"/>
      <c r="AJ35" s="1096"/>
      <c r="AK35" s="1096"/>
      <c r="AL35" s="1103"/>
    </row>
    <row r="36" spans="5:39" ht="14.65" customHeight="1">
      <c r="E36" s="446">
        <v>15</v>
      </c>
      <c r="W36" s="515" t="s">
        <v>407</v>
      </c>
      <c r="AB36" s="472"/>
      <c r="AC36" s="380" t="s">
        <v>408</v>
      </c>
      <c r="AD36" s="217"/>
      <c r="AE36" s="217"/>
      <c r="AF36" s="217"/>
      <c r="AG36" s="217"/>
      <c r="AH36" s="217"/>
      <c r="AI36" s="217"/>
      <c r="AJ36" s="217"/>
      <c r="AK36" s="217"/>
      <c r="AL36" s="186"/>
    </row>
    <row r="37" spans="5:39" ht="10.9" customHeight="1">
      <c r="E37" s="446">
        <v>11.25</v>
      </c>
      <c r="AM37" s="22"/>
    </row>
  </sheetData>
  <sheetProtection formatColumns="0" formatRows="0" insertRows="0" deleteColumns="0" deleteRows="0" sort="0" autoFilter="0"/>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DC7E-D37D-0CA8-B2C8-090AD508D2DF}">
  <sheetPr>
    <tabColor rgb="FF002060"/>
    <outlinePr summaryBelow="0" summaryRight="0"/>
    <pageSetUpPr fitToPage="1"/>
  </sheetPr>
  <dimension ref="A1:AQ135"/>
  <sheetViews>
    <sheetView showGridLines="0" workbookViewId="0">
      <pane xSplit="31" ySplit="25" topLeftCell="AF122" activePane="bottomRight" state="frozen"/>
      <selection pane="topRight" activeCell="AF1" sqref="AF1"/>
      <selection pane="bottomLeft" activeCell="A26" sqref="A26"/>
      <selection pane="bottomRight" activeCell="AB133" sqref="AB133"/>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72.28515625" style="38" customWidth="1"/>
    <col min="30" max="31" width="12" style="38" customWidth="1"/>
    <col min="32" max="33" width="15" style="38" customWidth="1"/>
    <col min="34" max="34" width="20" style="38" customWidth="1"/>
    <col min="35" max="35" width="3" style="38" customWidth="1"/>
    <col min="36" max="37" width="9.140625" style="38" hidden="1"/>
    <col min="38" max="38" width="9.140625" style="654" hidden="1"/>
    <col min="39" max="43" width="9.140625" style="38" hidden="1"/>
  </cols>
  <sheetData>
    <row r="1" spans="1:38" ht="11.25" hidden="1" customHeight="1">
      <c r="E1" s="38"/>
      <c r="F1" s="38" t="s">
        <v>309</v>
      </c>
      <c r="I1" s="38" t="s">
        <v>320</v>
      </c>
      <c r="T1" s="351" t="s">
        <v>92</v>
      </c>
      <c r="U1" s="351" t="s">
        <v>97</v>
      </c>
      <c r="V1" s="351" t="s">
        <v>93</v>
      </c>
      <c r="W1" s="351" t="s">
        <v>94</v>
      </c>
      <c r="X1" s="351" t="s">
        <v>95</v>
      </c>
      <c r="Y1" s="353" t="s">
        <v>311</v>
      </c>
      <c r="Z1" s="351" t="s">
        <v>99</v>
      </c>
      <c r="AA1" s="352" t="s">
        <v>96</v>
      </c>
      <c r="AC1" s="352" t="s">
        <v>98</v>
      </c>
      <c r="AL1" s="654" t="s">
        <v>312</v>
      </c>
    </row>
    <row r="2" spans="1:38" s="43" customFormat="1" ht="11.25" hidden="1" customHeight="1">
      <c r="B2" s="341" t="s">
        <v>18</v>
      </c>
      <c r="G2" s="372"/>
      <c r="S2" s="326"/>
      <c r="AB2" s="46"/>
      <c r="AL2" s="663"/>
    </row>
    <row r="3" spans="1:38" ht="11.25" hidden="1" customHeight="1">
      <c r="E3" s="38"/>
    </row>
    <row r="4" spans="1:38" ht="11.25" hidden="1" customHeight="1">
      <c r="E4" s="38"/>
    </row>
    <row r="5" spans="1:38" s="446" customFormat="1" ht="11.25" hidden="1" customHeight="1">
      <c r="A5" s="38"/>
      <c r="B5" s="43"/>
      <c r="C5" s="38"/>
      <c r="D5" s="38"/>
      <c r="E5" s="446" t="s">
        <v>19</v>
      </c>
      <c r="G5" s="500"/>
      <c r="S5" s="452"/>
      <c r="AA5" s="446">
        <v>3</v>
      </c>
      <c r="AB5" s="459">
        <v>11</v>
      </c>
      <c r="AC5" s="446">
        <v>72.290000000000006</v>
      </c>
      <c r="AD5" s="446">
        <v>12</v>
      </c>
      <c r="AE5" s="446">
        <v>12</v>
      </c>
      <c r="AF5" s="446">
        <v>15</v>
      </c>
      <c r="AG5" s="446">
        <v>15</v>
      </c>
      <c r="AH5" s="446">
        <v>20</v>
      </c>
      <c r="AI5" s="446">
        <v>3</v>
      </c>
      <c r="AL5" s="654"/>
    </row>
    <row r="6" spans="1:38" ht="11.25" hidden="1" customHeight="1">
      <c r="AF6" s="38">
        <f>god-2</f>
        <v>2024</v>
      </c>
      <c r="AG6" s="38">
        <f>god-2</f>
        <v>2024</v>
      </c>
    </row>
    <row r="7" spans="1:38" ht="11.25" hidden="1" customHeight="1">
      <c r="A7" s="38" t="s">
        <v>350</v>
      </c>
      <c r="AF7" s="38" t="str" cm="1">
        <f t="array" ref="AF7">AF25</f>
        <v>Факт по данным организации</v>
      </c>
      <c r="AG7" s="38" t="str" cm="1">
        <f t="array" ref="AG7">AG25</f>
        <v>Принято органом регулирования</v>
      </c>
    </row>
    <row r="8" spans="1:38" ht="11.25" hidden="1" customHeight="1"/>
    <row r="9" spans="1:38" s="654" customFormat="1" ht="11.25" hidden="1" customHeight="1">
      <c r="A9" s="654" t="s">
        <v>354</v>
      </c>
      <c r="B9" s="663"/>
      <c r="AF9" s="654" cm="1">
        <f t="array" ref="AF9">AF6</f>
        <v>2024</v>
      </c>
      <c r="AG9" s="654" cm="1">
        <f t="array" ref="AG9">AG6</f>
        <v>2024</v>
      </c>
    </row>
    <row r="10" spans="1:38" s="654" customFormat="1" ht="11.25" hidden="1" customHeight="1">
      <c r="A10" s="654" t="s">
        <v>355</v>
      </c>
      <c r="B10" s="663"/>
      <c r="AF10" s="654" t="str" cm="1">
        <f t="array" ref="AF10">AF25</f>
        <v>Факт по данным организации</v>
      </c>
      <c r="AG10" s="654" t="str" cm="1">
        <f t="array" ref="AG10">AG25</f>
        <v>Принято органом регулирования</v>
      </c>
    </row>
    <row r="11" spans="1:38" s="654" customFormat="1" ht="11.25" hidden="1" customHeight="1">
      <c r="A11" s="654" t="s">
        <v>356</v>
      </c>
      <c r="B11" s="663"/>
      <c r="AH11" s="654"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1:43" ht="11.25" hidden="1" customHeight="1"/>
    <row r="18" spans="1:43" ht="11.25" hidden="1" customHeight="1"/>
    <row r="19" spans="1:43" ht="11.25" hidden="1" customHeight="1"/>
    <row r="20" spans="1:43" ht="11.25" hidden="1" customHeight="1"/>
    <row r="21" spans="1:43" ht="14.65" customHeight="1">
      <c r="E21" s="446">
        <v>15</v>
      </c>
      <c r="AA21" s="324"/>
      <c r="AB21" s="162"/>
      <c r="AC21" s="3" t="str" cm="1">
        <f t="array" ref="AC21">tpl_title</f>
        <v>Кемеровская область / 2026 / МУП "Водоканал" (ИНН:4202043124, КПП:420201001) / ДПР: 2026-2028</v>
      </c>
      <c r="AD21" s="70"/>
      <c r="AE21" s="70"/>
      <c r="AF21" s="70"/>
      <c r="AG21" s="70"/>
    </row>
    <row r="22" spans="1:43" ht="21.95" customHeight="1">
      <c r="E22" s="446">
        <v>22.5</v>
      </c>
      <c r="AB22" s="225" t="s">
        <v>75</v>
      </c>
      <c r="AC22" s="139"/>
      <c r="AD22" s="139"/>
      <c r="AE22" s="139"/>
      <c r="AF22" s="139"/>
      <c r="AG22" s="150"/>
      <c r="AH22" s="150"/>
    </row>
    <row r="23" spans="1:43" ht="10.9" customHeight="1">
      <c r="E23" s="446">
        <v>11.25</v>
      </c>
      <c r="AB23" s="162"/>
      <c r="AC23" s="70"/>
      <c r="AD23" s="70"/>
      <c r="AE23" s="70"/>
      <c r="AF23" s="70"/>
      <c r="AG23" s="70"/>
    </row>
    <row r="24" spans="1:43" ht="19.350000000000001" customHeight="1">
      <c r="E24" s="446">
        <v>19.75</v>
      </c>
      <c r="AB24" s="1028" t="s">
        <v>21</v>
      </c>
      <c r="AC24" s="1051" t="s">
        <v>358</v>
      </c>
      <c r="AD24" s="1028" t="s">
        <v>1456</v>
      </c>
      <c r="AE24" s="1051" t="s">
        <v>1033</v>
      </c>
      <c r="AF24" s="729" t="str">
        <f>god-2&amp;" год"</f>
        <v>2024 год</v>
      </c>
      <c r="AG24" s="9" t="str">
        <f>god-2&amp;" год"</f>
        <v>2024 год</v>
      </c>
      <c r="AH24" s="1051" t="s">
        <v>360</v>
      </c>
    </row>
    <row r="25" spans="1:43" ht="31.35" customHeight="1">
      <c r="E25" s="446">
        <v>32.25</v>
      </c>
      <c r="AB25" s="1028"/>
      <c r="AC25" s="1051"/>
      <c r="AD25" s="1028"/>
      <c r="AE25" s="1051"/>
      <c r="AF25" s="729" t="s">
        <v>495</v>
      </c>
      <c r="AG25" s="9" t="s">
        <v>351</v>
      </c>
      <c r="AH25" s="1051"/>
      <c r="AK25" s="38" t="s">
        <v>1445</v>
      </c>
    </row>
    <row r="26" spans="1:43" ht="11.25" customHeight="1">
      <c r="A26"/>
      <c r="B26" s="326"/>
      <c r="C26"/>
      <c r="D26"/>
      <c r="E26" s="452" t="s">
        <v>362</v>
      </c>
      <c r="F26" s="86" t="s">
        <v>1457</v>
      </c>
      <c r="G26" s="366"/>
      <c r="H26"/>
      <c r="I26"/>
      <c r="J26"/>
      <c r="K26"/>
      <c r="L26"/>
      <c r="M26"/>
      <c r="N26"/>
      <c r="O26"/>
      <c r="P26"/>
      <c r="Q26"/>
      <c r="R26"/>
      <c r="S26" t="s">
        <v>1458</v>
      </c>
      <c r="T26"/>
      <c r="U26"/>
      <c r="V26"/>
      <c r="W26"/>
      <c r="X26"/>
      <c r="Y26"/>
      <c r="Z26"/>
      <c r="AA26"/>
      <c r="AB26"/>
      <c r="AC26" s="18"/>
      <c r="AD26" s="18"/>
      <c r="AE26" s="18"/>
      <c r="AF26" s="18"/>
      <c r="AG26"/>
      <c r="AH26"/>
      <c r="AI26"/>
      <c r="AJ26"/>
      <c r="AK26"/>
      <c r="AL26" s="659"/>
      <c r="AM26"/>
      <c r="AN26"/>
      <c r="AO26"/>
      <c r="AP26"/>
      <c r="AQ26" s="19"/>
    </row>
    <row r="27" spans="1:43" ht="14.65" hidden="1" customHeight="1">
      <c r="E27" s="446">
        <v>15</v>
      </c>
      <c r="F27" s="17" cm="1">
        <f t="array" ref="F27">X27</f>
        <v>0</v>
      </c>
      <c r="G27" s="59"/>
      <c r="H27" s="4"/>
      <c r="S27" s="314" cm="1">
        <f t="array" ref="S27">INDEX('Общие сведения'!$AE$179:$AE$208,MATCH($X27,'Общие сведения'!$Z$179:$Z$208,0))</f>
        <v>0</v>
      </c>
      <c r="T27" s="351" t="b">
        <f>X27&gt;0</f>
        <v>0</v>
      </c>
      <c r="V27" s="38" t="s">
        <v>266</v>
      </c>
      <c r="X27" s="1024">
        <v>0</v>
      </c>
      <c r="Z27" s="1008"/>
      <c r="AB27" s="279" t="str" cm="1">
        <f t="array" ref="AB27">INDEX('Общие сведения'!$AG$179:$AG$208,MATCH($X27,'Общие сведения'!$Z$179:$Z$208,0))</f>
        <v xml:space="preserve">Тариф 0 () - </v>
      </c>
      <c r="AC27" s="279"/>
      <c r="AD27" s="279"/>
      <c r="AE27" s="279"/>
      <c r="AF27" s="279"/>
      <c r="AG27" s="279"/>
      <c r="AH27" s="279"/>
    </row>
    <row r="28" spans="1:43" s="154" customFormat="1" ht="43.9" hidden="1" customHeight="1">
      <c r="B28" s="327"/>
      <c r="E28" s="499">
        <v>45</v>
      </c>
      <c r="F28" s="3" cm="1">
        <f t="array" aca="1" ref="F28" ca="1">OFFSET(E28,-1,1)</f>
        <v>0</v>
      </c>
      <c r="G28" s="373"/>
      <c r="I28" s="38" t="s">
        <v>321</v>
      </c>
      <c r="K28" s="40"/>
      <c r="L28" s="610"/>
      <c r="M28" s="373"/>
      <c r="T28" s="351" t="b" cm="1">
        <f t="array" ref="T28">T27</f>
        <v>0</v>
      </c>
      <c r="X28" s="1024"/>
      <c r="Z28" s="1008"/>
      <c r="AB28" s="564" t="s">
        <v>1459</v>
      </c>
      <c r="AC28" s="565" t="s">
        <v>1460</v>
      </c>
      <c r="AD28" s="564" t="s">
        <v>1461</v>
      </c>
      <c r="AE28" s="566" t="s">
        <v>859</v>
      </c>
      <c r="AF28" s="567">
        <f ca="1">AF30-AF29</f>
        <v>0</v>
      </c>
      <c r="AG28" s="567">
        <f ca="1">AG30-AG29</f>
        <v>0</v>
      </c>
      <c r="AH28" s="893"/>
      <c r="AL28" s="686" t="s">
        <v>1462</v>
      </c>
    </row>
    <row r="29" spans="1:43" s="154" customFormat="1" ht="14.65" hidden="1" customHeight="1">
      <c r="B29" s="327"/>
      <c r="E29" s="499">
        <v>15</v>
      </c>
      <c r="F29" s="3" cm="1">
        <f t="array" aca="1" ref="F29" ca="1">OFFSET(E29,-1,1)</f>
        <v>0</v>
      </c>
      <c r="G29" s="373"/>
      <c r="I29" s="38" t="s">
        <v>507</v>
      </c>
      <c r="K29" s="373"/>
      <c r="L29" s="373"/>
      <c r="M29" s="373"/>
      <c r="T29" s="351" t="b" cm="1">
        <f t="array" ref="T29">T28</f>
        <v>0</v>
      </c>
      <c r="X29" s="1024"/>
      <c r="Z29" s="1008"/>
      <c r="AB29" s="131" t="s">
        <v>277</v>
      </c>
      <c r="AC29" s="132" t="s">
        <v>1463</v>
      </c>
      <c r="AD29" s="124" t="s">
        <v>1464</v>
      </c>
      <c r="AE29" s="147" t="s">
        <v>859</v>
      </c>
      <c r="AF29" s="894"/>
      <c r="AG29" s="894"/>
      <c r="AH29" s="893"/>
      <c r="AL29" s="686" t="s">
        <v>1465</v>
      </c>
    </row>
    <row r="30" spans="1:43" s="154" customFormat="1" ht="14.65" hidden="1" customHeight="1">
      <c r="B30" s="327"/>
      <c r="E30" s="499">
        <v>15</v>
      </c>
      <c r="F30" s="3" cm="1">
        <f t="array" aca="1" ref="F30" ca="1">OFFSET(E30,-1,1)</f>
        <v>0</v>
      </c>
      <c r="G30" s="63"/>
      <c r="H30" s="63"/>
      <c r="I30" s="22" t="s">
        <v>511</v>
      </c>
      <c r="K30" s="373"/>
      <c r="L30" s="373"/>
      <c r="M30" s="373"/>
      <c r="T30" s="351" t="b" cm="1">
        <f t="array" ref="T30">T29</f>
        <v>0</v>
      </c>
      <c r="X30" s="1024"/>
      <c r="Z30" s="1008"/>
      <c r="AB30" s="131" t="s">
        <v>435</v>
      </c>
      <c r="AC30" s="125" t="s">
        <v>1466</v>
      </c>
      <c r="AD30" s="124" t="s">
        <v>1467</v>
      </c>
      <c r="AE30" s="147" t="s">
        <v>859</v>
      </c>
      <c r="AF30" s="567">
        <f ca="1">AF31+AF32+AF44+AF48+AF49+AF50+AF51+AF55+AF56+AF57+AF58+AF61+AF62</f>
        <v>0</v>
      </c>
      <c r="AG30" s="567">
        <f ca="1">AG31+AG32+AG44+AG48+AG49+AG50+AG51+AG55+AG56+AG57+AG58+AG61+AG62</f>
        <v>0</v>
      </c>
      <c r="AH30" s="893"/>
      <c r="AL30" s="686" t="s">
        <v>1468</v>
      </c>
    </row>
    <row r="31" spans="1:43" ht="21.95" hidden="1" customHeight="1">
      <c r="E31" s="446">
        <v>22.5</v>
      </c>
      <c r="F31" s="3" cm="1">
        <f t="array" aca="1" ref="F31" ca="1">OFFSET(E31,-1,1)</f>
        <v>0</v>
      </c>
      <c r="G31" s="22" t="s">
        <v>1469</v>
      </c>
      <c r="H31" s="4"/>
      <c r="I31" s="22" t="s">
        <v>1378</v>
      </c>
      <c r="K31" s="40"/>
      <c r="L31" s="40"/>
      <c r="M31" s="40"/>
      <c r="T31" s="351" t="b" cm="1">
        <f t="array" ref="T31">T30</f>
        <v>0</v>
      </c>
      <c r="X31" s="1024"/>
      <c r="Z31" s="1008"/>
      <c r="AB31" s="133" t="s">
        <v>588</v>
      </c>
      <c r="AC31" s="127" t="s">
        <v>1470</v>
      </c>
      <c r="AD31" s="7" t="s">
        <v>1471</v>
      </c>
      <c r="AE31" s="9" t="s">
        <v>859</v>
      </c>
      <c r="AF31" s="780"/>
      <c r="AG31" s="780"/>
      <c r="AH31" s="816"/>
      <c r="AL31" s="654" t="s">
        <v>1472</v>
      </c>
    </row>
    <row r="32" spans="1:43" ht="21.95" hidden="1" customHeight="1">
      <c r="E32" s="446">
        <v>22.5</v>
      </c>
      <c r="F32" s="3" cm="1">
        <f t="array" aca="1" ref="F32" ca="1">OFFSET(E32,-1,1)</f>
        <v>0</v>
      </c>
      <c r="G32" s="22"/>
      <c r="H32" s="4"/>
      <c r="I32" s="22" t="s">
        <v>1381</v>
      </c>
      <c r="K32" s="40"/>
      <c r="L32" s="40"/>
      <c r="M32" s="40"/>
      <c r="T32" s="351" t="b" cm="1">
        <f t="array" ref="T32">T31</f>
        <v>0</v>
      </c>
      <c r="X32" s="1024"/>
      <c r="Z32" s="1008"/>
      <c r="AB32" s="133" t="s">
        <v>592</v>
      </c>
      <c r="AC32" s="127" t="s">
        <v>1473</v>
      </c>
      <c r="AD32" s="7" t="s">
        <v>1474</v>
      </c>
      <c r="AE32" s="9" t="s">
        <v>859</v>
      </c>
      <c r="AF32" s="618">
        <f ca="1">SUM(AF33:AF43)</f>
        <v>0</v>
      </c>
      <c r="AG32" s="618">
        <f ca="1">SUM(AG33:AG43)</f>
        <v>0</v>
      </c>
      <c r="AH32" s="816"/>
      <c r="AL32" s="654" t="s">
        <v>1475</v>
      </c>
    </row>
    <row r="33" spans="5:38" ht="21.95" hidden="1" customHeight="1">
      <c r="E33" s="446">
        <v>22.5</v>
      </c>
      <c r="F33" s="3" cm="1">
        <f t="array" aca="1" ref="F33" ca="1">OFFSET(E33,-1,1)</f>
        <v>0</v>
      </c>
      <c r="G33" s="22"/>
      <c r="H33" s="4"/>
      <c r="I33" s="22" t="s">
        <v>1476</v>
      </c>
      <c r="K33" s="40"/>
      <c r="L33" s="40"/>
      <c r="M33" s="40"/>
      <c r="T33" s="351" t="b" cm="1">
        <f t="array" ref="T33">T32</f>
        <v>0</v>
      </c>
      <c r="X33" s="1024"/>
      <c r="Z33" s="1008"/>
      <c r="AB33" s="549" t="s">
        <v>539</v>
      </c>
      <c r="AC33" s="547" t="s">
        <v>1477</v>
      </c>
      <c r="AD33" s="9"/>
      <c r="AE33" s="9" t="s">
        <v>859</v>
      </c>
      <c r="AF33" s="780">
        <f ca="1">SUMIFS(Покупка!$AF$25:$AF$87,Покупка!$F$25:$F$87,$F33,Покупка!$G$25:$G$87,"Итого")</f>
        <v>0</v>
      </c>
      <c r="AG33" s="780">
        <f ca="1">SUMIFS(Покупка!$AG$25:$AG$87,Покупка!$F$25:$F$87,$F33,Покупка!$G$25:$G$87,"Итого")</f>
        <v>0</v>
      </c>
      <c r="AH33" s="816"/>
      <c r="AL33" s="654" t="s">
        <v>1478</v>
      </c>
    </row>
    <row r="34" spans="5:38" ht="14.65" hidden="1" customHeight="1">
      <c r="E34" s="446">
        <v>15</v>
      </c>
      <c r="F34" s="3" cm="1">
        <f t="array" aca="1" ref="F34" ca="1">OFFSET(E34,-1,1)</f>
        <v>0</v>
      </c>
      <c r="G34" s="22"/>
      <c r="H34" s="4"/>
      <c r="I34" s="22" t="s">
        <v>1479</v>
      </c>
      <c r="K34" s="40"/>
      <c r="L34" s="40"/>
      <c r="M34" s="40"/>
      <c r="T34" s="351" t="b" cm="1">
        <f t="array" ref="T34">T33</f>
        <v>0</v>
      </c>
      <c r="X34" s="1024"/>
      <c r="Z34" s="1008"/>
      <c r="AB34" s="549" t="s">
        <v>1480</v>
      </c>
      <c r="AC34" s="547" t="s">
        <v>1481</v>
      </c>
      <c r="AD34" s="9"/>
      <c r="AE34" s="9" t="s">
        <v>859</v>
      </c>
      <c r="AF34" s="780"/>
      <c r="AG34" s="780">
        <f ca="1">SUMIFS('Сырье и материалы'!AG$25:AG$37,'Сырье и материалы'!$F$25:$F$37,$F34,'Сырье и материалы'!$AC$25:$AC$37,"Всего по тарифу")</f>
        <v>0</v>
      </c>
      <c r="AH34" s="816"/>
      <c r="AL34" s="654" t="s">
        <v>1482</v>
      </c>
    </row>
    <row r="35" spans="5:38" ht="14.65" hidden="1" customHeight="1">
      <c r="E35" s="446">
        <v>15</v>
      </c>
      <c r="F35" s="3" cm="1">
        <f t="array" aca="1" ref="F35" ca="1">OFFSET(E35,-1,1)</f>
        <v>0</v>
      </c>
      <c r="G35" s="22"/>
      <c r="H35" s="4"/>
      <c r="I35" s="22" t="s">
        <v>1483</v>
      </c>
      <c r="K35" s="40"/>
      <c r="L35" s="40"/>
      <c r="M35" s="40"/>
      <c r="T35" s="351" t="b" cm="1">
        <f t="array" ref="T35">T34</f>
        <v>0</v>
      </c>
      <c r="X35" s="1024"/>
      <c r="Z35" s="1008"/>
      <c r="AB35" s="549" t="s">
        <v>1484</v>
      </c>
      <c r="AC35" s="547" t="s">
        <v>1485</v>
      </c>
      <c r="AD35" s="9"/>
      <c r="AE35" s="9" t="s">
        <v>859</v>
      </c>
      <c r="AF35" s="780">
        <f ca="1">SUMIFS(Налоги!AF$25:AF$55,Налоги!$F$25:$F$55,$F35,Налоги!$AB$25:$AB$55,"0")</f>
        <v>0</v>
      </c>
      <c r="AG35" s="780">
        <f ca="1">SUMIFS(Налоги!AG$25:AG$55,Налоги!$F$25:$F$55,$F35,Налоги!$AB$25:$AB$55,"0")</f>
        <v>0</v>
      </c>
      <c r="AH35" s="816"/>
      <c r="AL35" s="654" t="s">
        <v>1486</v>
      </c>
    </row>
    <row r="36" spans="5:38" ht="65.849999999999994" hidden="1" customHeight="1">
      <c r="E36" s="446">
        <v>67.5</v>
      </c>
      <c r="F36" s="3" cm="1">
        <f t="array" aca="1" ref="F36" ca="1">OFFSET(E36,-1,1)</f>
        <v>0</v>
      </c>
      <c r="G36" s="25" t="s">
        <v>1487</v>
      </c>
      <c r="H36" s="4"/>
      <c r="I36" s="59" t="s">
        <v>1488</v>
      </c>
      <c r="K36" s="40"/>
      <c r="L36" s="40"/>
      <c r="M36" s="40"/>
      <c r="T36" s="351" t="b" cm="1">
        <f t="array" ref="T36">T35</f>
        <v>0</v>
      </c>
      <c r="X36" s="1024"/>
      <c r="Z36" s="1008"/>
      <c r="AB36" s="549" t="s">
        <v>1489</v>
      </c>
      <c r="AC36" s="547" t="s">
        <v>1490</v>
      </c>
      <c r="AD36" s="9"/>
      <c r="AE36" s="9" t="s">
        <v>859</v>
      </c>
      <c r="AF36" s="780"/>
      <c r="AG36" s="780">
        <f ca="1">IF(AND(method_reg="Метод индексации",first_year=god),SUMIFS('Калькуляция (МИ)'!$AG$25:$AG$315,'Калькуляция (МИ)'!$F$25:$F$315,$F36,'Калькуляция (МИ)'!$G$25:$G$315,$G36),SUMIFS('Калькуляция (МИ корр)'!$AG$25:$AG$315,'Калькуляция (МИ корр)'!$F$25:$F$315,$F36,'Калькуляция (МИ корр)'!$G$25:$G$315,$G36))</f>
        <v>0</v>
      </c>
      <c r="AH36" s="816"/>
      <c r="AL36" s="654" t="s">
        <v>1491</v>
      </c>
    </row>
    <row r="37" spans="5:38" ht="14.65" hidden="1" customHeight="1">
      <c r="E37" s="446">
        <v>15</v>
      </c>
      <c r="F37" s="3" cm="1">
        <f t="array" aca="1" ref="F37" ca="1">OFFSET(E37,-1,1)</f>
        <v>0</v>
      </c>
      <c r="G37" s="25" t="s">
        <v>1035</v>
      </c>
      <c r="H37" s="4"/>
      <c r="I37" s="59" t="s">
        <v>1492</v>
      </c>
      <c r="K37" s="40"/>
      <c r="L37" s="40"/>
      <c r="M37" s="40"/>
      <c r="T37" s="351" t="b" cm="1">
        <f t="array" ref="T37">T36</f>
        <v>0</v>
      </c>
      <c r="X37" s="1024"/>
      <c r="Z37" s="1008"/>
      <c r="AB37" s="549" t="s">
        <v>1493</v>
      </c>
      <c r="AC37" s="547" t="s">
        <v>1494</v>
      </c>
      <c r="AD37" s="9"/>
      <c r="AE37" s="9" t="s">
        <v>859</v>
      </c>
      <c r="AF37" s="780"/>
      <c r="AG37" s="780">
        <f ca="1">IF(AND(method_reg="Метод индексации",first_year=god),SUMIFS('Калькуляция (МИ)'!$AG$25:$AG$315,'Калькуляция (МИ)'!$F$25:$F$315,$F37,'Калькуляция (МИ)'!$G$25:$G$315,$G37),SUMIFS('Калькуляция (МИ корр)'!$AG$25:$AG$315,'Калькуляция (МИ корр)'!$F$25:$F$315,$F37,'Калькуляция (МИ корр)'!$G$25:$G$315,$G37))</f>
        <v>0</v>
      </c>
      <c r="AH37" s="816"/>
      <c r="AL37" s="654" t="s">
        <v>1495</v>
      </c>
    </row>
    <row r="38" spans="5:38" ht="14.65" hidden="1" customHeight="1">
      <c r="E38" s="446">
        <v>15</v>
      </c>
      <c r="F38" s="3" cm="1">
        <f t="array" aca="1" ref="F38" ca="1">OFFSET(E38,-1,1)</f>
        <v>0</v>
      </c>
      <c r="G38" s="25" t="s">
        <v>1496</v>
      </c>
      <c r="H38" s="4"/>
      <c r="I38" s="59" t="s">
        <v>1497</v>
      </c>
      <c r="K38" s="40"/>
      <c r="L38" s="40"/>
      <c r="M38" s="40"/>
      <c r="T38" s="351" t="b" cm="1">
        <f t="array" ref="T38">T37</f>
        <v>0</v>
      </c>
      <c r="X38" s="1024"/>
      <c r="Z38" s="1008"/>
      <c r="AB38" s="549" t="s">
        <v>1498</v>
      </c>
      <c r="AC38" s="547" t="s">
        <v>1499</v>
      </c>
      <c r="AD38" s="9"/>
      <c r="AE38" s="9" t="s">
        <v>859</v>
      </c>
      <c r="AF38" s="780"/>
      <c r="AG38" s="780">
        <f ca="1">IF(AND(method_reg="Метод индексации",first_year=god),SUMIFS('Калькуляция (МИ)'!$AG$25:$AG$315,'Калькуляция (МИ)'!$F$25:$F$315,$F38,'Калькуляция (МИ)'!$G$25:$G$315,$G38),SUMIFS('Калькуляция (МИ корр)'!$AG$25:$AG$315,'Калькуляция (МИ корр)'!$F$25:$F$315,$F38,'Калькуляция (МИ корр)'!$G$25:$G$315,$G38))</f>
        <v>0</v>
      </c>
      <c r="AH38" s="816"/>
      <c r="AL38" s="654" t="s">
        <v>1500</v>
      </c>
    </row>
    <row r="39" spans="5:38" ht="21.95" hidden="1" customHeight="1">
      <c r="E39" s="446">
        <v>22.5</v>
      </c>
      <c r="F39" s="3" cm="1">
        <f t="array" aca="1" ref="F39" ca="1">OFFSET(E39,-1,1)</f>
        <v>0</v>
      </c>
      <c r="G39" s="25" t="s">
        <v>1501</v>
      </c>
      <c r="H39" s="4"/>
      <c r="I39" s="59" t="s">
        <v>1502</v>
      </c>
      <c r="K39" s="40"/>
      <c r="L39" s="40"/>
      <c r="M39" s="40"/>
      <c r="T39" s="351" t="b" cm="1">
        <f t="array" ref="T39">T38</f>
        <v>0</v>
      </c>
      <c r="X39" s="1024"/>
      <c r="Z39" s="1008"/>
      <c r="AB39" s="549" t="s">
        <v>1503</v>
      </c>
      <c r="AC39" s="547" t="s">
        <v>1504</v>
      </c>
      <c r="AD39" s="9"/>
      <c r="AE39" s="9" t="s">
        <v>859</v>
      </c>
      <c r="AF39" s="780"/>
      <c r="AG39" s="780">
        <f ca="1">IF(AND(method_reg="Метод индексации",first_year=god),SUMIFS('Калькуляция (МИ)'!$AG$25:$AG$315,'Калькуляция (МИ)'!$F$25:$F$315,$F39,'Калькуляция (МИ)'!$G$25:$G$315,$G39),SUMIFS('Калькуляция (МИ корр)'!$AG$25:$AG$315,'Калькуляция (МИ корр)'!$F$25:$F$315,$F39,'Калькуляция (МИ корр)'!$G$25:$G$315,$G39))</f>
        <v>0</v>
      </c>
      <c r="AH39" s="816"/>
      <c r="AL39" s="654" t="s">
        <v>1505</v>
      </c>
    </row>
    <row r="40" spans="5:38" ht="21.95" hidden="1" customHeight="1">
      <c r="E40" s="446">
        <v>22.5</v>
      </c>
      <c r="F40" s="3" cm="1">
        <f t="array" aca="1" ref="F40" ca="1">OFFSET(E40,-1,1)</f>
        <v>0</v>
      </c>
      <c r="G40" s="25" t="s">
        <v>1506</v>
      </c>
      <c r="H40" s="4"/>
      <c r="I40" s="59" t="s">
        <v>1507</v>
      </c>
      <c r="K40" s="40"/>
      <c r="L40" s="40"/>
      <c r="M40" s="40"/>
      <c r="T40" s="351" t="b" cm="1">
        <f t="array" ref="T40">T39</f>
        <v>0</v>
      </c>
      <c r="X40" s="1024"/>
      <c r="Z40" s="1008"/>
      <c r="AB40" s="549" t="s">
        <v>1508</v>
      </c>
      <c r="AC40" s="547" t="s">
        <v>1509</v>
      </c>
      <c r="AD40" s="619"/>
      <c r="AE40" s="9" t="s">
        <v>859</v>
      </c>
      <c r="AF40" s="780"/>
      <c r="AG40" s="780">
        <f ca="1">IF(AND(method_reg="Метод индексации",first_year=god),SUMIFS('Калькуляция (МИ)'!$AG$25:$AG$315,'Калькуляция (МИ)'!$F$25:$F$315,$F40,'Калькуляция (МИ)'!$G$25:$G$315,$G40),SUMIFS('Калькуляция (МИ корр)'!$AG$25:$AG$315,'Калькуляция (МИ корр)'!$F$25:$F$315,$F40,'Калькуляция (МИ корр)'!$G$25:$G$315,$G40))</f>
        <v>0</v>
      </c>
      <c r="AH40" s="816"/>
      <c r="AL40" s="654" t="s">
        <v>1510</v>
      </c>
    </row>
    <row r="41" spans="5:38" ht="21.95" hidden="1" customHeight="1">
      <c r="E41" s="446">
        <v>22.5</v>
      </c>
      <c r="F41" s="3" cm="1">
        <f t="array" aca="1" ref="F41" ca="1">OFFSET(E41,-1,1)</f>
        <v>0</v>
      </c>
      <c r="G41" s="25" t="s">
        <v>1511</v>
      </c>
      <c r="H41" s="4"/>
      <c r="I41" s="59" t="s">
        <v>1512</v>
      </c>
      <c r="K41" s="40"/>
      <c r="L41" s="40"/>
      <c r="M41" s="40"/>
      <c r="T41" s="351" t="b" cm="1">
        <f t="array" ref="T41">T40</f>
        <v>0</v>
      </c>
      <c r="X41" s="1024"/>
      <c r="Z41" s="1008"/>
      <c r="AB41" s="549" t="s">
        <v>1513</v>
      </c>
      <c r="AC41" s="547" t="s">
        <v>1514</v>
      </c>
      <c r="AD41" s="619"/>
      <c r="AE41" s="9" t="s">
        <v>859</v>
      </c>
      <c r="AF41" s="780"/>
      <c r="AG41" s="780">
        <f ca="1">IF(AND(method_reg="Метод индексации",first_year=god),SUMIFS('Калькуляция (МИ)'!$AG$25:$AG$315,'Калькуляция (МИ)'!$F$25:$F$315,$F41,'Калькуляция (МИ)'!$G$25:$G$315,$G41),SUMIFS('Калькуляция (МИ корр)'!$AG$25:$AG$315,'Калькуляция (МИ корр)'!$F$25:$F$315,$F41,'Калькуляция (МИ корр)'!$G$25:$G$315,$G41))</f>
        <v>0</v>
      </c>
      <c r="AH41" s="816"/>
      <c r="AL41" s="654" t="s">
        <v>1515</v>
      </c>
    </row>
    <row r="42" spans="5:38" ht="14.65" hidden="1" customHeight="1">
      <c r="E42" s="446">
        <v>15</v>
      </c>
      <c r="F42" s="3" cm="1">
        <f t="array" aca="1" ref="F42" ca="1">OFFSET(E42,-1,1)</f>
        <v>0</v>
      </c>
      <c r="G42" s="25" t="s">
        <v>1516</v>
      </c>
      <c r="H42" s="4"/>
      <c r="I42" s="59" t="s">
        <v>1517</v>
      </c>
      <c r="K42" s="40"/>
      <c r="L42" s="40"/>
      <c r="M42" s="40"/>
      <c r="T42" s="351" t="b" cm="1">
        <f t="array" ref="T42">T41</f>
        <v>0</v>
      </c>
      <c r="X42" s="1024"/>
      <c r="Z42" s="1008"/>
      <c r="AB42" s="549" t="s">
        <v>1518</v>
      </c>
      <c r="AC42" s="547" t="s">
        <v>1519</v>
      </c>
      <c r="AD42" s="619"/>
      <c r="AE42" s="9" t="s">
        <v>859</v>
      </c>
      <c r="AF42" s="780"/>
      <c r="AG42" s="780">
        <f ca="1">IF(AND(method_reg="Метод индексации",first_year=god),SUMIFS('Калькуляция (МИ)'!$AG$25:$AG$315,'Калькуляция (МИ)'!$F$25:$F$315,$F42,'Калькуляция (МИ)'!$G$25:$G$315,$G42),SUMIFS('Калькуляция (МИ корр)'!$AG$25:$AG$315,'Калькуляция (МИ корр)'!$F$25:$F$315,$F42,'Калькуляция (МИ корр)'!$G$25:$G$315,$G42))</f>
        <v>0</v>
      </c>
      <c r="AH42" s="816"/>
      <c r="AL42" s="654" t="s">
        <v>1520</v>
      </c>
    </row>
    <row r="43" spans="5:38" ht="21.95" hidden="1" customHeight="1">
      <c r="E43" s="446">
        <v>22.5</v>
      </c>
      <c r="F43" s="3" cm="1">
        <f t="array" aca="1" ref="F43" ca="1">OFFSET(E43,-1,1)</f>
        <v>0</v>
      </c>
      <c r="G43" s="25" t="s">
        <v>1521</v>
      </c>
      <c r="H43" s="4"/>
      <c r="I43" s="59" t="s">
        <v>1522</v>
      </c>
      <c r="K43" s="40"/>
      <c r="L43" s="40"/>
      <c r="M43" s="40"/>
      <c r="T43" s="351" t="b" cm="1">
        <f t="array" ref="T43">T42</f>
        <v>0</v>
      </c>
      <c r="X43" s="1024"/>
      <c r="Z43" s="1008"/>
      <c r="AB43" s="549" t="s">
        <v>1523</v>
      </c>
      <c r="AC43" s="547" t="s">
        <v>1524</v>
      </c>
      <c r="AD43" s="619"/>
      <c r="AE43" s="9" t="s">
        <v>859</v>
      </c>
      <c r="AF43" s="780"/>
      <c r="AG43" s="780">
        <f ca="1">IF(AND(method_reg="Метод индексации",first_year=god),SUMIFS('Калькуляция (МИ)'!$AG$25:$AG$315,'Калькуляция (МИ)'!$F$25:$F$315,$F43,'Калькуляция (МИ)'!$G$25:$G$315,$G43),SUMIFS('Калькуляция (МИ корр)'!$AG$25:$AG$315,'Калькуляция (МИ корр)'!$F$25:$F$315,$F43,'Калькуляция (МИ корр)'!$G$25:$G$315,$G43))</f>
        <v>0</v>
      </c>
      <c r="AH43" s="816"/>
      <c r="AL43" s="654" t="s">
        <v>1525</v>
      </c>
    </row>
    <row r="44" spans="5:38" ht="14.65" hidden="1" customHeight="1">
      <c r="E44" s="446">
        <v>15</v>
      </c>
      <c r="F44" s="3" cm="1">
        <f t="array" aca="1" ref="F44" ca="1">OFFSET(E44,-1,1)</f>
        <v>0</v>
      </c>
      <c r="G44" s="22"/>
      <c r="H44" s="4"/>
      <c r="I44" s="22" t="s">
        <v>1385</v>
      </c>
      <c r="K44" s="40"/>
      <c r="L44" s="40"/>
      <c r="M44" s="40"/>
      <c r="T44" s="351" t="b" cm="1">
        <f t="array" ref="T44">T43</f>
        <v>0</v>
      </c>
      <c r="X44" s="1024"/>
      <c r="Z44" s="1008"/>
      <c r="AB44" s="133" t="s">
        <v>596</v>
      </c>
      <c r="AC44" s="127" t="s">
        <v>1526</v>
      </c>
      <c r="AD44" s="7" t="s">
        <v>1527</v>
      </c>
      <c r="AE44" s="9" t="s">
        <v>859</v>
      </c>
      <c r="AF44" s="780">
        <f>AF45*AF46*AF47</f>
        <v>0</v>
      </c>
      <c r="AG44" s="780">
        <f ca="1">AG45*AG46*AG47</f>
        <v>0</v>
      </c>
      <c r="AH44" s="816"/>
      <c r="AL44" s="654" t="s">
        <v>1528</v>
      </c>
    </row>
    <row r="45" spans="5:38" ht="21.95" hidden="1" customHeight="1">
      <c r="E45" s="446">
        <v>22.5</v>
      </c>
      <c r="F45" s="3" cm="1">
        <f t="array" aca="1" ref="F45" ca="1">OFFSET(E45,-1,1)</f>
        <v>0</v>
      </c>
      <c r="G45" s="22"/>
      <c r="H45" s="4"/>
      <c r="I45" s="22" t="s">
        <v>1529</v>
      </c>
      <c r="K45" s="40"/>
      <c r="L45" s="40"/>
      <c r="M45" s="40"/>
      <c r="T45" s="351" t="b" cm="1">
        <f t="array" ref="T45">T44</f>
        <v>0</v>
      </c>
      <c r="X45" s="1024"/>
      <c r="Z45" s="1008"/>
      <c r="AB45" s="133" t="s">
        <v>544</v>
      </c>
      <c r="AC45" s="134" t="s">
        <v>1530</v>
      </c>
      <c r="AD45" s="7" t="s">
        <v>1531</v>
      </c>
      <c r="AE45" s="9" t="s">
        <v>887</v>
      </c>
      <c r="AF45" s="780"/>
      <c r="AG45" s="780">
        <f ca="1">SUMIFS(ЭЭ!AG$25:AG$74,ЭЭ!$F$25:$F$74,$F45,ЭЭ!$AC$25:$AC$74,"Удельный расход электроэнергии")</f>
        <v>0</v>
      </c>
      <c r="AH45" s="816"/>
      <c r="AL45" s="654" t="s">
        <v>1532</v>
      </c>
    </row>
    <row r="46" spans="5:38" ht="14.65" hidden="1" customHeight="1">
      <c r="E46" s="446">
        <v>15</v>
      </c>
      <c r="F46" s="3" cm="1">
        <f t="array" aca="1" ref="F46" ca="1">OFFSET(E46,-1,1)</f>
        <v>0</v>
      </c>
      <c r="G46" s="22"/>
      <c r="H46" s="4"/>
      <c r="I46" s="22" t="s">
        <v>1533</v>
      </c>
      <c r="K46" s="40"/>
      <c r="L46" s="40"/>
      <c r="M46" s="40"/>
      <c r="T46" s="351" t="b" cm="1">
        <f t="array" ref="T46">T45</f>
        <v>0</v>
      </c>
      <c r="X46" s="1024"/>
      <c r="Z46" s="1008"/>
      <c r="AB46" s="133" t="s">
        <v>1534</v>
      </c>
      <c r="AC46" s="134" t="s">
        <v>1535</v>
      </c>
      <c r="AD46" s="7" t="s">
        <v>1536</v>
      </c>
      <c r="AE46" s="9" t="s">
        <v>881</v>
      </c>
      <c r="AF46" s="780"/>
      <c r="AG46" s="780">
        <f ca="1">SUMIFS(ЭЭ!AG$25:AG$74,ЭЭ!$F$25:$F$74,$F45,ЭЭ!$AC$25:$AC$74,"Объём воды/сточных вод")</f>
        <v>0</v>
      </c>
      <c r="AH46" s="816"/>
      <c r="AL46" s="654" t="s">
        <v>1537</v>
      </c>
    </row>
    <row r="47" spans="5:38" ht="21.95" hidden="1" customHeight="1">
      <c r="E47" s="446">
        <v>22.5</v>
      </c>
      <c r="F47" s="3" cm="1">
        <f t="array" aca="1" ref="F47" ca="1">OFFSET(E47,-1,1)</f>
        <v>0</v>
      </c>
      <c r="G47" s="22"/>
      <c r="H47" s="4"/>
      <c r="I47" s="22" t="s">
        <v>1538</v>
      </c>
      <c r="K47" s="40"/>
      <c r="L47" s="40"/>
      <c r="M47" s="40"/>
      <c r="T47" s="351" t="b" cm="1">
        <f t="array" ref="T47">T46</f>
        <v>0</v>
      </c>
      <c r="X47" s="1024"/>
      <c r="Z47" s="1008"/>
      <c r="AB47" s="133" t="s">
        <v>1539</v>
      </c>
      <c r="AC47" s="134" t="s">
        <v>1540</v>
      </c>
      <c r="AD47" s="7" t="s">
        <v>1541</v>
      </c>
      <c r="AE47" s="9" t="s">
        <v>884</v>
      </c>
      <c r="AF47" s="780"/>
      <c r="AG47" s="780">
        <f ca="1">SUMIFS(ЭЭ!AG$25:AG$74,ЭЭ!$F$25:$F$74,$F45,ЭЭ!$AC$25:$AC$74,"Средний (расчетный) тариф")</f>
        <v>0</v>
      </c>
      <c r="AH47" s="816"/>
      <c r="AL47" s="654" t="s">
        <v>1542</v>
      </c>
    </row>
    <row r="48" spans="5:38" ht="21.95" hidden="1" customHeight="1">
      <c r="E48" s="446">
        <v>22.5</v>
      </c>
      <c r="F48" s="3" cm="1">
        <f t="array" aca="1" ref="F48" ca="1">OFFSET(E48,-1,1)</f>
        <v>0</v>
      </c>
      <c r="G48" s="22" t="s">
        <v>1543</v>
      </c>
      <c r="H48" s="4"/>
      <c r="I48" s="22" t="s">
        <v>1544</v>
      </c>
      <c r="K48" s="40"/>
      <c r="L48" s="40"/>
      <c r="M48" s="40"/>
      <c r="T48" s="351" t="b" cm="1">
        <f t="array" ref="T48">T47</f>
        <v>0</v>
      </c>
      <c r="X48" s="1024"/>
      <c r="Z48" s="1008"/>
      <c r="AB48" s="133" t="s">
        <v>959</v>
      </c>
      <c r="AC48" s="127" t="s">
        <v>1545</v>
      </c>
      <c r="AD48" s="7" t="s">
        <v>1546</v>
      </c>
      <c r="AE48" s="9" t="s">
        <v>859</v>
      </c>
      <c r="AF48" s="780"/>
      <c r="AG48" s="780">
        <f ca="1">IF(AND(method_reg="Метод индексации",first_year=god),SUMIFS('Калькуляция (МИ)'!$AG$25:$AG$315,'Калькуляция (МИ)'!$F$25:$F$315,$F48,'Калькуляция (МИ)'!$G$25:$G$315,$G48),SUMIFS('Калькуляция (МИ корр)'!$AG$25:$AG$315,'Калькуляция (МИ корр)'!$F$25:$F$315,$F48,'Калькуляция (МИ корр)'!$G$25:$G$315,$G48))</f>
        <v>0</v>
      </c>
      <c r="AH48" s="816"/>
      <c r="AL48" s="654" t="s">
        <v>1242</v>
      </c>
    </row>
    <row r="49" spans="2:38" ht="14.65" hidden="1" customHeight="1">
      <c r="E49" s="446">
        <v>15</v>
      </c>
      <c r="F49" s="3" cm="1">
        <f t="array" aca="1" ref="F49" ca="1">OFFSET(E49,-1,1)</f>
        <v>0</v>
      </c>
      <c r="G49" s="22" t="s">
        <v>1547</v>
      </c>
      <c r="H49" s="4"/>
      <c r="I49" s="22" t="s">
        <v>1548</v>
      </c>
      <c r="K49" s="40"/>
      <c r="L49" s="40"/>
      <c r="M49" s="40"/>
      <c r="T49" s="351" t="b" cm="1">
        <f t="array" ref="T49">T48</f>
        <v>0</v>
      </c>
      <c r="X49" s="1024"/>
      <c r="Z49" s="1008"/>
      <c r="AB49" s="133" t="s">
        <v>962</v>
      </c>
      <c r="AC49" s="620" t="s">
        <v>1549</v>
      </c>
      <c r="AD49" s="7" t="s">
        <v>1550</v>
      </c>
      <c r="AE49" s="9" t="s">
        <v>859</v>
      </c>
      <c r="AF49" s="780"/>
      <c r="AG49" s="780">
        <f ca="1">IF(AND(method_reg="Метод индексации",first_year=god),SUMIFS('Калькуляция (МИ)'!$AE$25:$AE$315,'Калькуляция (МИ)'!$F$25:$F$315,$F49,'Калькуляция (МИ)'!$G$25:$G$315,"Нормативная прибыль")-SUMIFS('Калькуляция (МИ)'!$AE$25:$AE$315,'Калькуляция (МИ)'!$F$25:$F$315,$F49,'Калькуляция (МИ)'!$G$25:$G$315,"иные экономически обоснованные расходы на социальные нужды")+SUMIFS('Калькуляция (МИ)'!$AG$25:$AG$315,'Калькуляция (МИ)'!$F$25:$F$315,$F49,'Калькуляция (МИ)'!$G$25:$G$315,"иные экономически обоснованные расходы на социальные нужды"),SUMIFS('Калькуляция (МИ корр)'!$AE$25:$AE$315,'Калькуляция (МИ корр)'!$F$25:$F$315,$F49,'Калькуляция (МИ корр)'!$G$25:$G$315,"Нормативная прибыль")-SUMIFS('Калькуляция (МИ корр)'!$AE$25:$AE$315,'Калькуляция (МИ корр)'!$F$25:$F$315,$F49,'Калькуляция (МИ корр)'!$G$25:$G$315,"иные экономически обоснованные расходы на социальные нужды")+SUMIFS('Калькуляция (МИ корр)'!$AG$25:$AG$315,'Калькуляция (МИ корр)'!$F$25:$F$315,$F49,'Калькуляция (МИ корр)'!$G$25:$G$315,"иные экономически обоснованные расходы на социальные нужды"))</f>
        <v>0</v>
      </c>
      <c r="AH49" s="816"/>
      <c r="AL49" s="654" t="s">
        <v>1551</v>
      </c>
    </row>
    <row r="50" spans="2:38" ht="14.65" hidden="1" customHeight="1">
      <c r="E50" s="446">
        <v>15</v>
      </c>
      <c r="F50" s="3" cm="1">
        <f t="array" aca="1" ref="F50" ca="1">OFFSET(E50,-1,1)</f>
        <v>0</v>
      </c>
      <c r="G50" s="25" t="s">
        <v>1552</v>
      </c>
      <c r="H50" s="4"/>
      <c r="I50" s="59" t="s">
        <v>1553</v>
      </c>
      <c r="K50" s="40"/>
      <c r="L50" s="40"/>
      <c r="M50" s="40"/>
      <c r="T50" s="351" t="b" cm="1">
        <f t="array" ref="T50">T49</f>
        <v>0</v>
      </c>
      <c r="X50" s="1024"/>
      <c r="Z50" s="1008"/>
      <c r="AB50" s="133" t="s">
        <v>1554</v>
      </c>
      <c r="AC50" s="127" t="s">
        <v>1555</v>
      </c>
      <c r="AD50" s="7" t="s">
        <v>1556</v>
      </c>
      <c r="AE50" s="9" t="s">
        <v>859</v>
      </c>
      <c r="AF50" s="780"/>
      <c r="AG50" s="780">
        <f ca="1">IF(AND(method_reg="Метод индексации",first_year=god),SUMIFS('Калькуляция (МИ)'!$AG$25:$AG$315,'Калькуляция (МИ)'!$F$25:$F$315,$F50,'Калькуляция (МИ)'!$G$25:$G$315,$G50),SUMIFS('Калькуляция (МИ корр)'!$AG$25:$AG$315,'Калькуляция (МИ корр)'!$F$25:$F$315,$F50,'Калькуляция (МИ корр)'!$G$25:$G$315,$G50))</f>
        <v>0</v>
      </c>
      <c r="AH50" s="816"/>
      <c r="AL50" s="654" t="s">
        <v>1557</v>
      </c>
    </row>
    <row r="51" spans="2:38" ht="21.95" hidden="1" customHeight="1">
      <c r="E51" s="446">
        <v>22.5</v>
      </c>
      <c r="F51" s="3" cm="1">
        <f t="array" aca="1" ref="F51" ca="1">OFFSET(E51,-1,1)</f>
        <v>0</v>
      </c>
      <c r="G51" s="25"/>
      <c r="H51" s="4"/>
      <c r="I51" s="22" t="s">
        <v>1558</v>
      </c>
      <c r="K51" s="40"/>
      <c r="L51" s="40"/>
      <c r="M51" s="40"/>
      <c r="T51" s="351" t="b" cm="1">
        <f t="array" ref="T51">T50</f>
        <v>0</v>
      </c>
      <c r="X51" s="1024"/>
      <c r="Z51" s="1008"/>
      <c r="AB51" s="133" t="s">
        <v>1559</v>
      </c>
      <c r="AC51" s="127" t="s">
        <v>1560</v>
      </c>
      <c r="AD51" s="7"/>
      <c r="AE51" s="9" t="s">
        <v>859</v>
      </c>
      <c r="AF51" s="780">
        <f>AF52+AF53+AF54</f>
        <v>0</v>
      </c>
      <c r="AG51" s="780">
        <f>AG52+AG53+AG54</f>
        <v>0</v>
      </c>
      <c r="AH51" s="816"/>
      <c r="AL51" s="654" t="s">
        <v>1561</v>
      </c>
    </row>
    <row r="52" spans="2:38" ht="21.95" hidden="1" customHeight="1">
      <c r="E52" s="446">
        <v>22.5</v>
      </c>
      <c r="F52" s="3" cm="1">
        <f t="array" aca="1" ref="F52" ca="1">OFFSET(E52,-1,1)</f>
        <v>0</v>
      </c>
      <c r="G52" s="22"/>
      <c r="H52" s="4"/>
      <c r="I52" s="22" t="s">
        <v>1562</v>
      </c>
      <c r="K52" s="40"/>
      <c r="L52" s="40"/>
      <c r="M52" s="40"/>
      <c r="T52" s="351" t="b" cm="1">
        <f t="array" ref="T52">T51</f>
        <v>0</v>
      </c>
      <c r="X52" s="1024"/>
      <c r="Z52" s="1008"/>
      <c r="AB52" s="133" t="s">
        <v>1563</v>
      </c>
      <c r="AC52" s="134" t="s">
        <v>1564</v>
      </c>
      <c r="AD52" s="7" t="s">
        <v>1565</v>
      </c>
      <c r="AE52" s="9" t="s">
        <v>859</v>
      </c>
      <c r="AF52" s="780"/>
      <c r="AG52" s="780"/>
      <c r="AH52" s="816"/>
      <c r="AL52" s="654" t="s">
        <v>1566</v>
      </c>
    </row>
    <row r="53" spans="2:38" ht="14.65" hidden="1" customHeight="1">
      <c r="E53" s="446">
        <v>15</v>
      </c>
      <c r="F53" s="3" cm="1">
        <f t="array" aca="1" ref="F53" ca="1">OFFSET(E53,-1,1)</f>
        <v>0</v>
      </c>
      <c r="G53" s="22"/>
      <c r="H53" s="4"/>
      <c r="I53" s="22" t="s">
        <v>1567</v>
      </c>
      <c r="K53" s="40"/>
      <c r="L53" s="40"/>
      <c r="M53" s="40"/>
      <c r="T53" s="351" t="b" cm="1">
        <f t="array" ref="T53">T52</f>
        <v>0</v>
      </c>
      <c r="X53" s="1024"/>
      <c r="Z53" s="1008"/>
      <c r="AB53" s="133" t="s">
        <v>1568</v>
      </c>
      <c r="AC53" s="134" t="s">
        <v>1569</v>
      </c>
      <c r="AD53" s="7" t="s">
        <v>1570</v>
      </c>
      <c r="AE53" s="9" t="s">
        <v>859</v>
      </c>
      <c r="AF53" s="780"/>
      <c r="AG53" s="780"/>
      <c r="AH53" s="816"/>
      <c r="AL53" s="654" t="s">
        <v>1571</v>
      </c>
    </row>
    <row r="54" spans="2:38" ht="43.9" hidden="1" customHeight="1">
      <c r="E54" s="446">
        <v>45</v>
      </c>
      <c r="F54" s="3" cm="1">
        <f t="array" aca="1" ref="F54" ca="1">OFFSET(E54,-1,1)</f>
        <v>0</v>
      </c>
      <c r="G54" s="22"/>
      <c r="H54" s="4"/>
      <c r="I54" s="22" t="s">
        <v>1572</v>
      </c>
      <c r="K54" s="40"/>
      <c r="L54" s="40"/>
      <c r="M54" s="40"/>
      <c r="T54" s="351" t="b" cm="1">
        <f t="array" ref="T54">T53</f>
        <v>0</v>
      </c>
      <c r="X54" s="1024"/>
      <c r="Z54" s="1008"/>
      <c r="AB54" s="133" t="s">
        <v>1573</v>
      </c>
      <c r="AC54" s="134" t="s">
        <v>1574</v>
      </c>
      <c r="AD54" s="9" t="s">
        <v>1575</v>
      </c>
      <c r="AE54" s="9" t="s">
        <v>859</v>
      </c>
      <c r="AF54" s="780"/>
      <c r="AG54" s="780"/>
      <c r="AH54" s="816"/>
      <c r="AL54" s="654" t="s">
        <v>1576</v>
      </c>
    </row>
    <row r="55" spans="2:38" ht="21.95" hidden="1" customHeight="1">
      <c r="E55" s="446">
        <v>22.5</v>
      </c>
      <c r="F55" s="3" cm="1">
        <f t="array" aca="1" ref="F55" ca="1">OFFSET(E55,-1,1)</f>
        <v>0</v>
      </c>
      <c r="G55" s="22"/>
      <c r="H55" s="4"/>
      <c r="I55" s="22" t="s">
        <v>1577</v>
      </c>
      <c r="K55" s="40"/>
      <c r="L55" s="40"/>
      <c r="M55" s="40"/>
      <c r="T55" s="351" t="b" cm="1">
        <f t="array" ref="T55">T54</f>
        <v>0</v>
      </c>
      <c r="X55" s="1024"/>
      <c r="Z55" s="1008"/>
      <c r="AB55" s="133" t="s">
        <v>1578</v>
      </c>
      <c r="AC55" s="127" t="s">
        <v>1579</v>
      </c>
      <c r="AD55" s="9" t="s">
        <v>1580</v>
      </c>
      <c r="AE55" s="9" t="s">
        <v>859</v>
      </c>
      <c r="AF55" s="780"/>
      <c r="AG55" s="780"/>
      <c r="AH55" s="816"/>
      <c r="AL55" s="654" t="s">
        <v>1581</v>
      </c>
    </row>
    <row r="56" spans="2:38" ht="76.7" hidden="1" customHeight="1">
      <c r="B56" s="43" t="b">
        <f>S27="Водоотведение"</f>
        <v>0</v>
      </c>
      <c r="E56" s="446">
        <v>78.75</v>
      </c>
      <c r="F56" s="3" cm="1">
        <f t="array" aca="1" ref="F56" ca="1">OFFSET(E56,-1,1)</f>
        <v>0</v>
      </c>
      <c r="G56" s="22"/>
      <c r="H56" s="4"/>
      <c r="I56" s="22"/>
      <c r="K56" s="40"/>
      <c r="L56" s="40"/>
      <c r="M56" s="40"/>
      <c r="T56" s="351" t="b" cm="1">
        <f t="array" ref="T56">T55</f>
        <v>0</v>
      </c>
      <c r="X56" s="1024"/>
      <c r="Z56" s="1008"/>
      <c r="AB56" s="133" t="s">
        <v>1582</v>
      </c>
      <c r="AC56" s="127" t="s">
        <v>1583</v>
      </c>
      <c r="AD56" s="9"/>
      <c r="AE56" s="9" t="s">
        <v>859</v>
      </c>
      <c r="AF56" s="780"/>
      <c r="AG56" s="780"/>
      <c r="AH56" s="816"/>
      <c r="AL56" s="654" t="s">
        <v>1584</v>
      </c>
    </row>
    <row r="57" spans="2:38" ht="54.75" hidden="1" customHeight="1">
      <c r="B57" s="43" t="b" cm="1">
        <f t="array" ref="B57">B56</f>
        <v>0</v>
      </c>
      <c r="E57" s="446">
        <v>56.25</v>
      </c>
      <c r="F57" s="3" cm="1">
        <f t="array" aca="1" ref="F57" ca="1">OFFSET(E57,-1,1)</f>
        <v>0</v>
      </c>
      <c r="G57" s="22"/>
      <c r="H57" s="4"/>
      <c r="I57" s="22"/>
      <c r="K57" s="40"/>
      <c r="L57" s="40"/>
      <c r="M57" s="40"/>
      <c r="T57" s="351" t="b" cm="1">
        <f t="array" ref="T57">T56</f>
        <v>0</v>
      </c>
      <c r="X57" s="1024"/>
      <c r="Z57" s="1008"/>
      <c r="AB57" s="133" t="s">
        <v>1585</v>
      </c>
      <c r="AC57" s="127" t="s">
        <v>1586</v>
      </c>
      <c r="AD57" s="9"/>
      <c r="AE57" s="9" t="s">
        <v>859</v>
      </c>
      <c r="AF57" s="780"/>
      <c r="AG57" s="780"/>
      <c r="AH57" s="816"/>
      <c r="AL57" s="654" t="s">
        <v>1412</v>
      </c>
    </row>
    <row r="58" spans="2:38" ht="14.65" hidden="1" customHeight="1">
      <c r="E58" s="446">
        <v>15</v>
      </c>
      <c r="F58" s="3" cm="1">
        <f t="array" aca="1" ref="F58" ca="1">OFFSET(E58,-1,1)</f>
        <v>0</v>
      </c>
      <c r="G58" s="22"/>
      <c r="H58" s="4"/>
      <c r="I58" s="22"/>
      <c r="K58" s="40"/>
      <c r="L58" s="40"/>
      <c r="M58" s="40"/>
      <c r="T58" s="351" t="b" cm="1">
        <f t="array" ref="T58">T57</f>
        <v>0</v>
      </c>
      <c r="X58" s="1024"/>
      <c r="Z58" s="1008"/>
      <c r="AB58" s="7" t="str">
        <f>IF(B57,"2.12","2.10")</f>
        <v>2.10</v>
      </c>
      <c r="AC58" s="127" t="s">
        <v>1587</v>
      </c>
      <c r="AD58" s="9" t="s">
        <v>1588</v>
      </c>
      <c r="AE58" s="9" t="s">
        <v>859</v>
      </c>
      <c r="AF58" s="780">
        <f>AF59+AF60</f>
        <v>0</v>
      </c>
      <c r="AG58" s="780">
        <f>AG59+AG60</f>
        <v>0</v>
      </c>
      <c r="AH58" s="816"/>
      <c r="AL58" s="654" t="s">
        <v>1589</v>
      </c>
    </row>
    <row r="59" spans="2:38" ht="21.95" hidden="1" customHeight="1">
      <c r="E59" s="446">
        <v>22.5</v>
      </c>
      <c r="F59" s="3" cm="1">
        <f t="array" aca="1" ref="F59" ca="1">OFFSET(E59,-1,1)</f>
        <v>0</v>
      </c>
      <c r="G59" s="22"/>
      <c r="H59" s="4"/>
      <c r="I59" s="22"/>
      <c r="K59" s="40"/>
      <c r="L59" s="40"/>
      <c r="M59" s="40"/>
      <c r="T59" s="351" t="b" cm="1">
        <f t="array" ref="T59">T58</f>
        <v>0</v>
      </c>
      <c r="X59" s="1024"/>
      <c r="Z59" s="1008"/>
      <c r="AB59" s="7" t="str">
        <f>AB58&amp;".1"</f>
        <v>2.10.1</v>
      </c>
      <c r="AC59" s="127" t="s">
        <v>1590</v>
      </c>
      <c r="AD59" s="9" t="s">
        <v>1588</v>
      </c>
      <c r="AE59" s="9" t="s">
        <v>859</v>
      </c>
      <c r="AF59" s="780"/>
      <c r="AG59" s="780"/>
      <c r="AH59" s="816"/>
      <c r="AL59" s="654" t="s">
        <v>1591</v>
      </c>
    </row>
    <row r="60" spans="2:38" ht="21.95" hidden="1" customHeight="1">
      <c r="E60" s="446">
        <v>22.5</v>
      </c>
      <c r="F60" s="3" cm="1">
        <f t="array" aca="1" ref="F60" ca="1">OFFSET(E60,-1,1)</f>
        <v>0</v>
      </c>
      <c r="G60" s="22"/>
      <c r="H60" s="4"/>
      <c r="I60" s="22"/>
      <c r="K60" s="40"/>
      <c r="L60" s="40"/>
      <c r="M60" s="40"/>
      <c r="T60" s="351" t="b" cm="1">
        <f t="array" ref="T60">T59</f>
        <v>0</v>
      </c>
      <c r="X60" s="1024"/>
      <c r="Z60" s="1008"/>
      <c r="AB60" s="7" t="str">
        <f>AB58&amp;".2"</f>
        <v>2.10.2</v>
      </c>
      <c r="AC60" s="127" t="s">
        <v>1592</v>
      </c>
      <c r="AD60" s="9" t="s">
        <v>1588</v>
      </c>
      <c r="AE60" s="9" t="s">
        <v>859</v>
      </c>
      <c r="AF60" s="780"/>
      <c r="AG60" s="780"/>
      <c r="AH60" s="816"/>
      <c r="AL60" s="654" t="s">
        <v>1593</v>
      </c>
    </row>
    <row r="61" spans="2:38" ht="14.65" hidden="1" customHeight="1">
      <c r="E61" s="446">
        <v>15</v>
      </c>
      <c r="F61" s="3" cm="1">
        <f t="array" aca="1" ref="F61" ca="1">OFFSET(E61,-1,1)</f>
        <v>0</v>
      </c>
      <c r="G61" s="22"/>
      <c r="H61" s="4"/>
      <c r="I61" s="22"/>
      <c r="K61" s="40"/>
      <c r="L61" s="40"/>
      <c r="M61" s="40"/>
      <c r="T61" s="351" t="b" cm="1">
        <f t="array" ref="T61">T60</f>
        <v>0</v>
      </c>
      <c r="X61" s="1024"/>
      <c r="Z61" s="1008"/>
      <c r="AB61" s="7" t="str">
        <f>IF(B57,"2.13","2.11")</f>
        <v>2.11</v>
      </c>
      <c r="AC61" s="127" t="s">
        <v>1594</v>
      </c>
      <c r="AD61" s="9" t="s">
        <v>1588</v>
      </c>
      <c r="AE61" s="9" t="s">
        <v>859</v>
      </c>
      <c r="AF61" s="780"/>
      <c r="AG61" s="780"/>
      <c r="AH61" s="816"/>
      <c r="AL61" s="654" t="s">
        <v>1595</v>
      </c>
    </row>
    <row r="62" spans="2:38" ht="14.65" hidden="1" customHeight="1">
      <c r="E62" s="446">
        <v>15</v>
      </c>
      <c r="F62" s="3" cm="1">
        <f t="array" aca="1" ref="F62" ca="1">OFFSET(E62,-1,1)</f>
        <v>0</v>
      </c>
      <c r="G62" s="22"/>
      <c r="H62" s="4"/>
      <c r="I62" s="22"/>
      <c r="K62" s="40"/>
      <c r="L62" s="40"/>
      <c r="M62" s="40"/>
      <c r="T62" s="351" t="b" cm="1">
        <f t="array" ref="T62">T61</f>
        <v>0</v>
      </c>
      <c r="X62" s="1024"/>
      <c r="Z62" s="1008"/>
      <c r="AB62" s="7" t="str">
        <f>IF(B57,"2.14","2.12")</f>
        <v>2.12</v>
      </c>
      <c r="AC62" s="127" t="s">
        <v>1596</v>
      </c>
      <c r="AD62" s="9" t="s">
        <v>1588</v>
      </c>
      <c r="AE62" s="9" t="s">
        <v>859</v>
      </c>
      <c r="AF62" s="780"/>
      <c r="AG62" s="780"/>
      <c r="AH62" s="816"/>
      <c r="AL62" s="654" t="s">
        <v>1597</v>
      </c>
    </row>
    <row r="63" spans="2:38" s="154" customFormat="1" ht="21.95" hidden="1" customHeight="1">
      <c r="B63" s="327"/>
      <c r="E63" s="499">
        <v>22.5</v>
      </c>
      <c r="F63" s="3" cm="1">
        <f t="array" aca="1" ref="F63" ca="1">OFFSET(E63,-1,1)</f>
        <v>0</v>
      </c>
      <c r="G63" s="63"/>
      <c r="H63" s="63"/>
      <c r="I63" s="22" t="s">
        <v>322</v>
      </c>
      <c r="K63" s="373"/>
      <c r="L63" s="373"/>
      <c r="M63" s="373"/>
      <c r="T63" s="351" t="b" cm="1">
        <f t="array" ref="T63">T62</f>
        <v>0</v>
      </c>
      <c r="X63" s="1024"/>
      <c r="Z63" s="1008"/>
      <c r="AB63" s="124" t="s">
        <v>1598</v>
      </c>
      <c r="AC63" s="125" t="s">
        <v>1599</v>
      </c>
      <c r="AD63" s="124" t="s">
        <v>1461</v>
      </c>
      <c r="AE63" s="147" t="s">
        <v>859</v>
      </c>
      <c r="AF63" s="567" cm="1">
        <f t="array" ref="AF63">AF64</f>
        <v>0</v>
      </c>
      <c r="AG63" s="567" cm="1">
        <f t="array" ref="AG63">AG64</f>
        <v>0</v>
      </c>
      <c r="AH63" s="893"/>
      <c r="AL63" s="686" t="s">
        <v>1600</v>
      </c>
    </row>
    <row r="64" spans="2:38" ht="32.85" hidden="1" customHeight="1">
      <c r="E64" s="446">
        <v>33.75</v>
      </c>
      <c r="F64" s="3" cm="1">
        <f t="array" aca="1" ref="F64" ca="1">OFFSET(E64,-1,1)</f>
        <v>0</v>
      </c>
      <c r="G64" s="22"/>
      <c r="H64" s="4"/>
      <c r="I64" s="22" t="s">
        <v>525</v>
      </c>
      <c r="K64" s="40"/>
      <c r="L64" s="40"/>
      <c r="M64" s="40"/>
      <c r="T64" s="351" t="b" cm="1">
        <f t="array" ref="T64">T63</f>
        <v>0</v>
      </c>
      <c r="X64" s="1024"/>
      <c r="Z64" s="1008"/>
      <c r="AB64" s="133" t="s">
        <v>277</v>
      </c>
      <c r="AC64" s="345" t="s">
        <v>1601</v>
      </c>
      <c r="AD64" s="7" t="s">
        <v>1602</v>
      </c>
      <c r="AE64" s="9" t="s">
        <v>859</v>
      </c>
      <c r="AF64" s="618">
        <f>AF65+AF66</f>
        <v>0</v>
      </c>
      <c r="AG64" s="618">
        <f>AG65+AG66</f>
        <v>0</v>
      </c>
      <c r="AH64" s="816"/>
      <c r="AL64" s="654" t="s">
        <v>1603</v>
      </c>
    </row>
    <row r="65" spans="1:43" ht="43.9" hidden="1" customHeight="1">
      <c r="E65" s="446">
        <v>45</v>
      </c>
      <c r="F65" s="3" cm="1">
        <f t="array" aca="1" ref="F65" ca="1">OFFSET(E65,-1,1)</f>
        <v>0</v>
      </c>
      <c r="G65" s="22"/>
      <c r="H65" s="4"/>
      <c r="I65" s="22" t="s">
        <v>1604</v>
      </c>
      <c r="K65" s="40"/>
      <c r="L65" s="40"/>
      <c r="M65" s="40"/>
      <c r="T65" s="351" t="b" cm="1">
        <f t="array" ref="T65">T64</f>
        <v>0</v>
      </c>
      <c r="X65" s="1024"/>
      <c r="Z65" s="1008"/>
      <c r="AB65" s="133" t="s">
        <v>936</v>
      </c>
      <c r="AC65" s="127" t="s">
        <v>1605</v>
      </c>
      <c r="AD65" s="7" t="s">
        <v>1606</v>
      </c>
      <c r="AE65" s="9" t="s">
        <v>859</v>
      </c>
      <c r="AF65" s="780"/>
      <c r="AG65" s="780"/>
      <c r="AH65" s="816"/>
      <c r="AL65" s="654" t="s">
        <v>1607</v>
      </c>
    </row>
    <row r="66" spans="1:43" ht="32.85" hidden="1" customHeight="1">
      <c r="E66" s="446">
        <v>33.75</v>
      </c>
      <c r="F66" s="3" cm="1">
        <f t="array" aca="1" ref="F66" ca="1">OFFSET(E66,-1,1)</f>
        <v>0</v>
      </c>
      <c r="G66" s="22"/>
      <c r="H66" s="4"/>
      <c r="I66" s="22" t="s">
        <v>1608</v>
      </c>
      <c r="K66" s="40"/>
      <c r="L66" s="40"/>
      <c r="M66" s="40"/>
      <c r="T66" s="351" t="b" cm="1">
        <f t="array" ref="T66">T65</f>
        <v>0</v>
      </c>
      <c r="X66" s="1024"/>
      <c r="Z66" s="1008"/>
      <c r="AB66" s="133" t="s">
        <v>939</v>
      </c>
      <c r="AC66" s="127" t="s">
        <v>1609</v>
      </c>
      <c r="AD66" s="7" t="s">
        <v>1610</v>
      </c>
      <c r="AE66" s="9" t="s">
        <v>859</v>
      </c>
      <c r="AF66" s="780"/>
      <c r="AG66" s="780"/>
      <c r="AH66" s="816"/>
      <c r="AL66" s="654" t="s">
        <v>1611</v>
      </c>
    </row>
    <row r="67" spans="1:43" ht="34.15" hidden="1" customHeight="1">
      <c r="E67" s="446">
        <v>35</v>
      </c>
      <c r="F67" s="3" cm="1">
        <f t="array" aca="1" ref="F67" ca="1">OFFSET(E67,-1,1)</f>
        <v>0</v>
      </c>
      <c r="G67" s="22"/>
      <c r="H67" s="4"/>
      <c r="I67" s="22" t="s">
        <v>323</v>
      </c>
      <c r="K67" s="40" t="str">
        <f ca="1">F67&amp;"1komm"</f>
        <v>01komm</v>
      </c>
      <c r="L67" s="607" cm="1">
        <f t="array" ref="L67">AH67</f>
        <v>0</v>
      </c>
      <c r="M67" s="40"/>
      <c r="T67" s="351" t="b" cm="1">
        <f t="array" ref="T67">T66</f>
        <v>0</v>
      </c>
      <c r="X67" s="1024"/>
      <c r="Z67" s="1008"/>
      <c r="AB67" s="147" t="s">
        <v>1612</v>
      </c>
      <c r="AC67" s="125" t="s">
        <v>1613</v>
      </c>
      <c r="AD67" s="124" t="s">
        <v>1614</v>
      </c>
      <c r="AE67" s="147" t="s">
        <v>859</v>
      </c>
      <c r="AF67" s="894"/>
      <c r="AG67" s="894"/>
      <c r="AH67" s="816"/>
      <c r="AL67" s="654" t="s">
        <v>1615</v>
      </c>
    </row>
    <row r="68" spans="1:43" ht="107.25" hidden="1" customHeight="1">
      <c r="E68" s="446">
        <v>110</v>
      </c>
      <c r="F68" s="3" cm="1">
        <f t="array" aca="1" ref="F68" ca="1">OFFSET(E68,-1,1)</f>
        <v>0</v>
      </c>
      <c r="G68" s="22"/>
      <c r="H68" s="4"/>
      <c r="I68" s="22" t="s">
        <v>325</v>
      </c>
      <c r="K68" s="40" t="str">
        <f ca="1">F68&amp;"2komm"</f>
        <v>02komm</v>
      </c>
      <c r="L68" s="607" cm="1">
        <f t="array" ref="L68">AH68</f>
        <v>0</v>
      </c>
      <c r="M68" s="40"/>
      <c r="T68" s="351" t="b" cm="1">
        <f t="array" ref="T68">T67</f>
        <v>0</v>
      </c>
      <c r="X68" s="1024"/>
      <c r="Z68" s="1008"/>
      <c r="AB68" s="147" t="s">
        <v>1616</v>
      </c>
      <c r="AC68" s="125" t="s">
        <v>1617</v>
      </c>
      <c r="AD68" s="124" t="s">
        <v>1618</v>
      </c>
      <c r="AE68" s="147" t="s">
        <v>859</v>
      </c>
      <c r="AF68" s="894"/>
      <c r="AG68" s="894"/>
      <c r="AH68" s="816"/>
      <c r="AL68" s="654" t="s">
        <v>1050</v>
      </c>
    </row>
    <row r="69" spans="1:43" ht="76.7" hidden="1" customHeight="1">
      <c r="B69" s="43" t="b">
        <f>S27="Водоотведение"</f>
        <v>0</v>
      </c>
      <c r="E69" s="446">
        <v>78.75</v>
      </c>
      <c r="F69" s="3" cm="1">
        <f t="array" aca="1" ref="F69" ca="1">OFFSET(E69,-1,1)</f>
        <v>0</v>
      </c>
      <c r="H69" s="2"/>
      <c r="I69" s="38" t="s">
        <v>324</v>
      </c>
      <c r="K69" s="40" t="str">
        <f ca="1">F69&amp;"3komm"</f>
        <v>03komm</v>
      </c>
      <c r="L69" s="607" cm="1">
        <f t="array" ref="L69">AH69</f>
        <v>0</v>
      </c>
      <c r="M69" s="40"/>
      <c r="T69" s="351" t="b" cm="1">
        <f t="array" ref="T69">T68</f>
        <v>0</v>
      </c>
      <c r="X69" s="1024"/>
      <c r="Z69" s="1008"/>
      <c r="AB69" s="147" t="s">
        <v>1619</v>
      </c>
      <c r="AC69" s="125" t="s">
        <v>1620</v>
      </c>
      <c r="AD69" s="124"/>
      <c r="AE69" s="147" t="s">
        <v>859</v>
      </c>
      <c r="AF69" s="894"/>
      <c r="AG69" s="773">
        <f ca="1">IFERROR(SUMIFS('Плата за негативное возд'!$AL$24:$AL$32,'Плата за негативное возд'!$F$24:$F$32,F69,'Плата за негативное возд'!$AB$24:$AB$32,"1"),0)</f>
        <v>0</v>
      </c>
      <c r="AH69" s="816"/>
      <c r="AL69" s="654" t="s">
        <v>1621</v>
      </c>
    </row>
    <row r="70" spans="1:43" ht="54.75" hidden="1" customHeight="1">
      <c r="B70" s="43" t="b" cm="1">
        <f t="array" ref="B70">B69</f>
        <v>0</v>
      </c>
      <c r="E70" s="446">
        <v>56.25</v>
      </c>
      <c r="F70" s="3" cm="1">
        <f t="array" aca="1" ref="F70" ca="1">OFFSET(E70,-1,1)</f>
        <v>0</v>
      </c>
      <c r="H70" s="2"/>
      <c r="I70" s="38" t="s">
        <v>557</v>
      </c>
      <c r="K70" s="40" t="str">
        <f ca="1">F70&amp;"4komm"</f>
        <v>04komm</v>
      </c>
      <c r="L70" s="607" cm="1">
        <f t="array" ref="L70">AH70</f>
        <v>0</v>
      </c>
      <c r="M70" s="40"/>
      <c r="T70" s="351" t="b" cm="1">
        <f t="array" ref="T70">T69</f>
        <v>0</v>
      </c>
      <c r="X70" s="1024"/>
      <c r="Z70" s="1008"/>
      <c r="AB70" s="147" t="s">
        <v>1622</v>
      </c>
      <c r="AC70" s="125" t="s">
        <v>1623</v>
      </c>
      <c r="AD70" s="124"/>
      <c r="AE70" s="147" t="s">
        <v>859</v>
      </c>
      <c r="AF70" s="894"/>
      <c r="AG70" s="773">
        <f ca="1">IFERROR(SUMIFS('Плата за негативное возд'!$AL$24:$AL$32,'Плата за негативное возд'!$F$24:$F$32,F70,'Плата за негативное возд'!$AB$24:$AB$32,"2"),0)</f>
        <v>0</v>
      </c>
      <c r="AH70" s="816"/>
      <c r="AL70" s="654" t="s">
        <v>1624</v>
      </c>
    </row>
    <row r="71" spans="1:43" ht="14.65" hidden="1" customHeight="1">
      <c r="E71" s="446">
        <v>15</v>
      </c>
      <c r="F71" s="3" cm="1">
        <f t="array" aca="1" ref="F71" ca="1">OFFSET(E71,-1,1)</f>
        <v>0</v>
      </c>
      <c r="H71" s="4"/>
      <c r="I71" s="38" t="s">
        <v>560</v>
      </c>
      <c r="K71" s="40" t="str">
        <f ca="1">F71&amp;"5komm"</f>
        <v>05komm</v>
      </c>
      <c r="L71" s="607" cm="1">
        <f t="array" ref="L71">AH71</f>
        <v>0</v>
      </c>
      <c r="M71" s="40"/>
      <c r="T71" s="351" t="b" cm="1">
        <f t="array" ref="T71">T70</f>
        <v>0</v>
      </c>
      <c r="X71" s="1024"/>
      <c r="Z71" s="1008"/>
      <c r="AB71" s="147" t="str">
        <f>IF(B70,"VII","V")</f>
        <v>V</v>
      </c>
      <c r="AC71" s="125" t="s">
        <v>1625</v>
      </c>
      <c r="AD71" s="124"/>
      <c r="AE71" s="147" t="s">
        <v>859</v>
      </c>
      <c r="AF71" s="894"/>
      <c r="AG71" s="894"/>
      <c r="AH71" s="816"/>
      <c r="AL71" s="654" t="s">
        <v>1626</v>
      </c>
    </row>
    <row r="72" spans="1:43" s="154" customFormat="1" ht="14.65" hidden="1" customHeight="1">
      <c r="B72" s="327"/>
      <c r="E72" s="499">
        <v>15</v>
      </c>
      <c r="F72" s="3" cm="1">
        <f t="array" aca="1" ref="F72" ca="1">OFFSET(E72,-1,1)</f>
        <v>0</v>
      </c>
      <c r="G72" s="373"/>
      <c r="I72" s="154" t="s">
        <v>613</v>
      </c>
      <c r="K72" s="40" t="str">
        <f ca="1">F72&amp;"6komm"</f>
        <v>06komm</v>
      </c>
      <c r="L72" s="607" cm="1">
        <f t="array" ref="L72">AH72</f>
        <v>0</v>
      </c>
      <c r="M72" s="373"/>
      <c r="T72" s="351" t="b" cm="1">
        <f t="array" ref="T72">T71</f>
        <v>0</v>
      </c>
      <c r="X72" s="1024"/>
      <c r="Z72" s="1008"/>
      <c r="AB72" s="147" t="str">
        <f>IF(B70,"VIII","VI")</f>
        <v>VI</v>
      </c>
      <c r="AC72" s="125" t="s">
        <v>1587</v>
      </c>
      <c r="AD72" s="124"/>
      <c r="AE72" s="147" t="s">
        <v>859</v>
      </c>
      <c r="AF72" s="894">
        <f>AF73+AF74</f>
        <v>0</v>
      </c>
      <c r="AG72" s="894">
        <f>AG73+AG74</f>
        <v>0</v>
      </c>
      <c r="AH72" s="816"/>
      <c r="AL72" s="686" t="s">
        <v>1627</v>
      </c>
    </row>
    <row r="73" spans="1:43" ht="21.95" hidden="1" customHeight="1">
      <c r="E73" s="446">
        <v>22.5</v>
      </c>
      <c r="F73" s="3" cm="1">
        <f t="array" aca="1" ref="F73" ca="1">OFFSET(E73,-1,1)</f>
        <v>0</v>
      </c>
      <c r="H73" s="4"/>
      <c r="I73" s="38" t="s">
        <v>616</v>
      </c>
      <c r="K73" s="40" t="str">
        <f ca="1">F73&amp;"7komm"</f>
        <v>07komm</v>
      </c>
      <c r="L73" s="607" cm="1">
        <f t="array" ref="L73">AH73</f>
        <v>0</v>
      </c>
      <c r="M73" s="40"/>
      <c r="T73" s="351" t="b" cm="1">
        <f t="array" ref="T73">T72</f>
        <v>0</v>
      </c>
      <c r="X73" s="1024"/>
      <c r="Z73" s="1008"/>
      <c r="AB73" s="9">
        <v>1</v>
      </c>
      <c r="AC73" s="127" t="s">
        <v>1590</v>
      </c>
      <c r="AD73" s="7"/>
      <c r="AE73" s="9" t="s">
        <v>859</v>
      </c>
      <c r="AF73" s="780"/>
      <c r="AG73" s="780"/>
      <c r="AH73" s="816"/>
      <c r="AL73" s="654" t="s">
        <v>1628</v>
      </c>
    </row>
    <row r="74" spans="1:43" ht="21.95" hidden="1" customHeight="1">
      <c r="E74" s="446">
        <v>22.5</v>
      </c>
      <c r="F74" s="3" cm="1">
        <f t="array" aca="1" ref="F74" ca="1">OFFSET(E74,-1,1)</f>
        <v>0</v>
      </c>
      <c r="H74" s="4"/>
      <c r="I74" s="38" t="s">
        <v>620</v>
      </c>
      <c r="K74" s="40" t="str">
        <f ca="1">F74&amp;"8komm"</f>
        <v>08komm</v>
      </c>
      <c r="L74" s="607" cm="1">
        <f t="array" ref="L74">AH74</f>
        <v>0</v>
      </c>
      <c r="M74" s="40"/>
      <c r="T74" s="351" t="b" cm="1">
        <f t="array" ref="T74">T73</f>
        <v>0</v>
      </c>
      <c r="X74" s="1024"/>
      <c r="Z74" s="1008"/>
      <c r="AB74" s="9">
        <v>2</v>
      </c>
      <c r="AC74" s="127" t="s">
        <v>1592</v>
      </c>
      <c r="AD74" s="7"/>
      <c r="AE74" s="9" t="s">
        <v>859</v>
      </c>
      <c r="AF74" s="780"/>
      <c r="AG74" s="780"/>
      <c r="AH74" s="816"/>
      <c r="AL74" s="654" t="s">
        <v>1629</v>
      </c>
    </row>
    <row r="75" spans="1:43" ht="14.65" hidden="1" customHeight="1">
      <c r="E75" s="446">
        <v>15</v>
      </c>
      <c r="F75" s="3" cm="1">
        <f t="array" aca="1" ref="F75" ca="1">OFFSET(E75,-1,1)</f>
        <v>0</v>
      </c>
      <c r="H75" s="4"/>
      <c r="I75" s="38" t="s">
        <v>628</v>
      </c>
      <c r="K75" s="40" t="str">
        <f ca="1">F75&amp;"9komm"</f>
        <v>09komm</v>
      </c>
      <c r="L75" s="607" cm="1">
        <f t="array" ref="L75">AH75</f>
        <v>0</v>
      </c>
      <c r="M75" s="40"/>
      <c r="T75" s="351" t="b" cm="1">
        <f t="array" ref="T75">T74</f>
        <v>0</v>
      </c>
      <c r="X75" s="1024"/>
      <c r="Z75" s="1008"/>
      <c r="AB75" s="147" t="str">
        <f>IF(B70,"IX","VIII")</f>
        <v>VIII</v>
      </c>
      <c r="AC75" s="125" t="s">
        <v>1594</v>
      </c>
      <c r="AD75" s="124"/>
      <c r="AE75" s="147" t="s">
        <v>859</v>
      </c>
      <c r="AF75" s="894"/>
      <c r="AG75" s="894"/>
      <c r="AH75" s="816"/>
      <c r="AL75" s="654" t="s">
        <v>1630</v>
      </c>
    </row>
    <row r="76" spans="1:43" ht="14.65" hidden="1" customHeight="1">
      <c r="E76" s="446">
        <v>15</v>
      </c>
      <c r="F76" s="3" cm="1">
        <f t="array" aca="1" ref="F76" ca="1">OFFSET(E76,-1,1)</f>
        <v>0</v>
      </c>
      <c r="H76" s="4"/>
      <c r="I76" s="38" t="s">
        <v>635</v>
      </c>
      <c r="K76" s="40" t="str">
        <f ca="1">F76&amp;"10komm"</f>
        <v>010komm</v>
      </c>
      <c r="L76" s="607" cm="1">
        <f t="array" ref="L76">AH76</f>
        <v>0</v>
      </c>
      <c r="M76" s="40"/>
      <c r="T76" s="351" t="b" cm="1">
        <f t="array" ref="T76">T75</f>
        <v>0</v>
      </c>
      <c r="X76" s="1024"/>
      <c r="Z76" s="1008"/>
      <c r="AB76" s="147" t="str">
        <f>IF(B70,"X","IX")</f>
        <v>IX</v>
      </c>
      <c r="AC76" s="125" t="s">
        <v>1596</v>
      </c>
      <c r="AD76" s="124"/>
      <c r="AE76" s="147" t="s">
        <v>859</v>
      </c>
      <c r="AF76" s="894"/>
      <c r="AG76" s="894"/>
      <c r="AH76" s="816"/>
      <c r="AL76" s="654" t="s">
        <v>1631</v>
      </c>
    </row>
    <row r="77" spans="1:43" s="154" customFormat="1" ht="14.65" hidden="1" customHeight="1">
      <c r="B77" s="327"/>
      <c r="E77" s="499">
        <v>15</v>
      </c>
      <c r="F77" s="3" cm="1">
        <f t="array" aca="1" ref="F77" ca="1">OFFSET(E77,-1,1)</f>
        <v>0</v>
      </c>
      <c r="G77" s="373"/>
      <c r="I77" s="154" t="s">
        <v>792</v>
      </c>
      <c r="K77" s="40" t="str">
        <f ca="1">F77&amp;"11komm"</f>
        <v>011komm</v>
      </c>
      <c r="L77" s="607" cm="1">
        <f t="array" ref="L77">AH77</f>
        <v>0</v>
      </c>
      <c r="M77" s="373"/>
      <c r="T77" s="351" t="b" cm="1">
        <f t="array" ref="T77">T76</f>
        <v>0</v>
      </c>
      <c r="X77" s="1024"/>
      <c r="Z77" s="1008"/>
      <c r="AB77" s="147" t="str">
        <f>IF(B70,"XI","X")</f>
        <v>X</v>
      </c>
      <c r="AC77" s="132" t="s">
        <v>1632</v>
      </c>
      <c r="AD77" s="124"/>
      <c r="AE77" s="147" t="s">
        <v>859</v>
      </c>
      <c r="AF77" s="567">
        <f ca="1">AF28+AF63+AF67+AF68+AF69+AF70+AF71+AF72+AF75+AF76</f>
        <v>0</v>
      </c>
      <c r="AG77" s="567">
        <f ca="1">AG28+AG63+AG67+AG68+AG69+AG70+AG71+AG72+AG75+AG76</f>
        <v>0</v>
      </c>
      <c r="AH77" s="816"/>
      <c r="AL77" s="686" t="s">
        <v>1633</v>
      </c>
    </row>
    <row r="78" spans="1:43" ht="29.45" customHeight="1">
      <c r="E78" s="446">
        <v>15</v>
      </c>
      <c r="F78" s="17" t="str" cm="1">
        <f t="array" ref="F78">X78</f>
        <v>1</v>
      </c>
      <c r="G78" s="59"/>
      <c r="H78" s="4"/>
      <c r="S78" s="314" t="str" cm="1">
        <f t="array" ref="S78">INDEX('Общие сведения'!$AE$179:$AE$208,MATCH($X78,'Общие сведения'!$Z$179:$Z$208,0))</f>
        <v>Водоснабжение</v>
      </c>
      <c r="T78" s="351" t="b">
        <f>X78&gt;0</f>
        <v>1</v>
      </c>
      <c r="V78" s="38" t="str" cm="1">
        <f t="array" ref="V78">'Плата за негативное возд'!$AB$29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78" s="1024" t="s">
        <v>277</v>
      </c>
      <c r="Z78" s="1008"/>
      <c r="AB78" s="279" t="str" cm="1">
        <f t="array" ref="AB78">'Плата за негативное возд'!$AB$29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78" s="279"/>
      <c r="AD78" s="279"/>
      <c r="AE78" s="279"/>
      <c r="AF78" s="279"/>
      <c r="AG78" s="279"/>
      <c r="AH78" s="279"/>
    </row>
    <row r="79" spans="1:43" s="891" customFormat="1" ht="43.5" customHeight="1">
      <c r="A79" s="154"/>
      <c r="B79" s="327"/>
      <c r="C79" s="154"/>
      <c r="D79" s="154"/>
      <c r="E79" s="499">
        <v>45</v>
      </c>
      <c r="F79" s="3" t="str" cm="1">
        <f t="array" aca="1" ref="F79" ca="1">OFFSET(E79,-1,1)</f>
        <v>1</v>
      </c>
      <c r="G79" s="373"/>
      <c r="H79" s="154"/>
      <c r="I79" s="38" t="s">
        <v>321</v>
      </c>
      <c r="J79" s="154"/>
      <c r="K79" s="40"/>
      <c r="L79" s="610"/>
      <c r="M79" s="373"/>
      <c r="N79" s="154"/>
      <c r="O79" s="154"/>
      <c r="P79" s="154"/>
      <c r="Q79" s="154"/>
      <c r="R79" s="154"/>
      <c r="S79" s="154"/>
      <c r="T79" s="351" t="b" cm="1">
        <f t="array" ref="T79">T78</f>
        <v>1</v>
      </c>
      <c r="U79" s="154"/>
      <c r="V79" s="154"/>
      <c r="W79" s="154"/>
      <c r="X79" s="1024"/>
      <c r="Y79" s="154"/>
      <c r="Z79" s="1008"/>
      <c r="AA79" s="154"/>
      <c r="AB79" s="564" t="s">
        <v>1459</v>
      </c>
      <c r="AC79" s="565" t="s">
        <v>1460</v>
      </c>
      <c r="AD79" s="564" t="s">
        <v>1461</v>
      </c>
      <c r="AE79" s="566" t="s">
        <v>859</v>
      </c>
      <c r="AF79" s="567">
        <f ca="1">AF81-AF80</f>
        <v>841.61</v>
      </c>
      <c r="AG79" s="567">
        <f ca="1">AG81-AG80</f>
        <v>12305.45</v>
      </c>
      <c r="AH79" s="568"/>
      <c r="AI79" s="154"/>
      <c r="AJ79" s="154"/>
      <c r="AK79" s="154"/>
      <c r="AL79" s="686" t="s">
        <v>1462</v>
      </c>
      <c r="AM79" s="154"/>
      <c r="AN79" s="154"/>
      <c r="AO79" s="154"/>
      <c r="AP79" s="154"/>
      <c r="AQ79" s="154"/>
    </row>
    <row r="80" spans="1:43" s="891" customFormat="1" ht="14.25" customHeight="1">
      <c r="A80" s="154"/>
      <c r="B80" s="327"/>
      <c r="C80" s="154"/>
      <c r="D80" s="154"/>
      <c r="E80" s="499">
        <v>15</v>
      </c>
      <c r="F80" s="3" t="str" cm="1">
        <f t="array" aca="1" ref="F80" ca="1">OFFSET(E80,-1,1)</f>
        <v>1</v>
      </c>
      <c r="G80" s="373"/>
      <c r="H80" s="154"/>
      <c r="I80" s="38" t="s">
        <v>507</v>
      </c>
      <c r="J80" s="154"/>
      <c r="K80" s="373"/>
      <c r="L80" s="373"/>
      <c r="M80" s="373"/>
      <c r="N80" s="154"/>
      <c r="O80" s="154"/>
      <c r="P80" s="154"/>
      <c r="Q80" s="154"/>
      <c r="R80" s="154"/>
      <c r="S80" s="154"/>
      <c r="T80" s="351" t="b" cm="1">
        <f t="array" ref="T80">T79</f>
        <v>1</v>
      </c>
      <c r="U80" s="154"/>
      <c r="V80" s="154"/>
      <c r="W80" s="154"/>
      <c r="X80" s="1024"/>
      <c r="Y80" s="154"/>
      <c r="Z80" s="1008"/>
      <c r="AA80" s="154"/>
      <c r="AB80" s="131" t="s">
        <v>277</v>
      </c>
      <c r="AC80" s="132" t="s">
        <v>1463</v>
      </c>
      <c r="AD80" s="124" t="s">
        <v>1464</v>
      </c>
      <c r="AE80" s="147" t="s">
        <v>859</v>
      </c>
      <c r="AF80" s="280"/>
      <c r="AG80" s="280"/>
      <c r="AH80" s="568"/>
      <c r="AI80" s="154"/>
      <c r="AJ80" s="154"/>
      <c r="AK80" s="154"/>
      <c r="AL80" s="686" t="s">
        <v>1465</v>
      </c>
      <c r="AM80" s="154"/>
      <c r="AN80" s="154"/>
      <c r="AO80" s="154"/>
      <c r="AP80" s="154"/>
      <c r="AQ80" s="154"/>
    </row>
    <row r="81" spans="1:43" s="891" customFormat="1" ht="14.25" customHeight="1">
      <c r="A81" s="154"/>
      <c r="B81" s="327"/>
      <c r="C81" s="154"/>
      <c r="D81" s="154"/>
      <c r="E81" s="499">
        <v>15</v>
      </c>
      <c r="F81" s="3" t="str" cm="1">
        <f t="array" aca="1" ref="F81" ca="1">OFFSET(E81,-1,1)</f>
        <v>1</v>
      </c>
      <c r="G81" s="63"/>
      <c r="H81" s="63"/>
      <c r="I81" s="22" t="s">
        <v>511</v>
      </c>
      <c r="J81" s="154"/>
      <c r="K81" s="373"/>
      <c r="L81" s="373"/>
      <c r="M81" s="373"/>
      <c r="N81" s="154"/>
      <c r="O81" s="154"/>
      <c r="P81" s="154"/>
      <c r="Q81" s="154"/>
      <c r="R81" s="154"/>
      <c r="S81" s="154"/>
      <c r="T81" s="351" t="b" cm="1">
        <f t="array" ref="T81">T80</f>
        <v>1</v>
      </c>
      <c r="U81" s="154"/>
      <c r="V81" s="154"/>
      <c r="W81" s="154"/>
      <c r="X81" s="1024"/>
      <c r="Y81" s="154"/>
      <c r="Z81" s="1008"/>
      <c r="AA81" s="154"/>
      <c r="AB81" s="131" t="s">
        <v>435</v>
      </c>
      <c r="AC81" s="125" t="s">
        <v>1466</v>
      </c>
      <c r="AD81" s="124" t="s">
        <v>1467</v>
      </c>
      <c r="AE81" s="147" t="s">
        <v>859</v>
      </c>
      <c r="AF81" s="567">
        <f ca="1">AF82+AF83+AF95+AF99+AF100+AF101+AF102+AF106+AF107+AF108+AF109+AF112+AF113</f>
        <v>841.61</v>
      </c>
      <c r="AG81" s="567">
        <f ca="1">AG82+AG83+AG95+AG99+AG100+AG101+AG102+AG106+AG107+AG108+AG109+AG112+AG113</f>
        <v>12305.45</v>
      </c>
      <c r="AH81" s="568"/>
      <c r="AI81" s="154"/>
      <c r="AJ81" s="154"/>
      <c r="AK81" s="154"/>
      <c r="AL81" s="686" t="s">
        <v>1468</v>
      </c>
      <c r="AM81" s="154"/>
      <c r="AN81" s="154"/>
      <c r="AO81" s="154"/>
      <c r="AP81" s="154"/>
      <c r="AQ81" s="154"/>
    </row>
    <row r="82" spans="1:43" ht="21.75" customHeight="1">
      <c r="E82" s="446">
        <v>22.5</v>
      </c>
      <c r="F82" s="3" t="str" cm="1">
        <f t="array" aca="1" ref="F82" ca="1">OFFSET(E82,-1,1)</f>
        <v>1</v>
      </c>
      <c r="G82" s="22" t="s">
        <v>1469</v>
      </c>
      <c r="H82" s="4"/>
      <c r="I82" s="22" t="s">
        <v>1378</v>
      </c>
      <c r="K82" s="40"/>
      <c r="L82" s="40"/>
      <c r="M82" s="40"/>
      <c r="T82" s="351" t="b" cm="1">
        <f t="array" ref="T82">T81</f>
        <v>1</v>
      </c>
      <c r="X82" s="1024"/>
      <c r="Z82" s="1008"/>
      <c r="AB82" s="133" t="s">
        <v>588</v>
      </c>
      <c r="AC82" s="127" t="s">
        <v>1470</v>
      </c>
      <c r="AD82" s="7" t="s">
        <v>1471</v>
      </c>
      <c r="AE82" s="9" t="s">
        <v>859</v>
      </c>
      <c r="AF82" s="141"/>
      <c r="AG82" s="141"/>
      <c r="AH82" s="103"/>
      <c r="AL82" s="654" t="s">
        <v>1472</v>
      </c>
    </row>
    <row r="83" spans="1:43" ht="21.75" customHeight="1">
      <c r="E83" s="446">
        <v>22.5</v>
      </c>
      <c r="F83" s="3" t="str" cm="1">
        <f t="array" aca="1" ref="F83" ca="1">OFFSET(E83,-1,1)</f>
        <v>1</v>
      </c>
      <c r="G83" s="22"/>
      <c r="H83" s="4"/>
      <c r="I83" s="22" t="s">
        <v>1381</v>
      </c>
      <c r="K83" s="40"/>
      <c r="L83" s="40"/>
      <c r="M83" s="40"/>
      <c r="T83" s="351" t="b" cm="1">
        <f t="array" ref="T83">T82</f>
        <v>1</v>
      </c>
      <c r="X83" s="1024"/>
      <c r="Z83" s="1008"/>
      <c r="AB83" s="133" t="s">
        <v>592</v>
      </c>
      <c r="AC83" s="127" t="s">
        <v>1473</v>
      </c>
      <c r="AD83" s="7" t="s">
        <v>1474</v>
      </c>
      <c r="AE83" s="9" t="s">
        <v>859</v>
      </c>
      <c r="AF83" s="618">
        <f ca="1">SUM(AF84:AF94)</f>
        <v>841.61</v>
      </c>
      <c r="AG83" s="618">
        <f ca="1">SUM(AG84:AG94)</f>
        <v>897.95</v>
      </c>
      <c r="AH83" s="103"/>
      <c r="AL83" s="654" t="s">
        <v>1475</v>
      </c>
    </row>
    <row r="84" spans="1:43" ht="21.75" customHeight="1">
      <c r="E84" s="446">
        <v>22.5</v>
      </c>
      <c r="F84" s="3" t="str" cm="1">
        <f t="array" aca="1" ref="F84" ca="1">OFFSET(E84,-1,1)</f>
        <v>1</v>
      </c>
      <c r="G84" s="22"/>
      <c r="H84" s="4"/>
      <c r="I84" s="22" t="s">
        <v>1476</v>
      </c>
      <c r="K84" s="40"/>
      <c r="L84" s="40"/>
      <c r="M84" s="40"/>
      <c r="T84" s="351" t="b" cm="1">
        <f t="array" ref="T84">T83</f>
        <v>1</v>
      </c>
      <c r="X84" s="1024"/>
      <c r="Z84" s="1008"/>
      <c r="AB84" s="549" t="s">
        <v>539</v>
      </c>
      <c r="AC84" s="547" t="s">
        <v>1477</v>
      </c>
      <c r="AD84" s="9"/>
      <c r="AE84" s="9" t="s">
        <v>859</v>
      </c>
      <c r="AF84" s="141">
        <f ca="1">SUMIFS(Покупка!$AF$25:$AF$87,Покупка!$F$25:$F$87,$F84,Покупка!$G$25:$G$87,"Итого")</f>
        <v>0</v>
      </c>
      <c r="AG84" s="141">
        <f ca="1">SUMIFS(Покупка!$AG$25:$AG$87,Покупка!$F$25:$F$87,$F84,Покупка!$G$25:$G$87,"Итого")</f>
        <v>0</v>
      </c>
      <c r="AH84" s="103"/>
      <c r="AL84" s="654" t="s">
        <v>1478</v>
      </c>
    </row>
    <row r="85" spans="1:43" ht="14.25" customHeight="1">
      <c r="E85" s="446">
        <v>15</v>
      </c>
      <c r="F85" s="3" t="str" cm="1">
        <f t="array" aca="1" ref="F85" ca="1">OFFSET(E85,-1,1)</f>
        <v>1</v>
      </c>
      <c r="G85" s="22"/>
      <c r="H85" s="4"/>
      <c r="I85" s="22" t="s">
        <v>1479</v>
      </c>
      <c r="K85" s="40"/>
      <c r="L85" s="40"/>
      <c r="M85" s="40"/>
      <c r="T85" s="351" t="b" cm="1">
        <f t="array" ref="T85">T84</f>
        <v>1</v>
      </c>
      <c r="X85" s="1024"/>
      <c r="Z85" s="1008"/>
      <c r="AB85" s="549" t="s">
        <v>1480</v>
      </c>
      <c r="AC85" s="547" t="s">
        <v>1481</v>
      </c>
      <c r="AD85" s="9"/>
      <c r="AE85" s="9" t="s">
        <v>859</v>
      </c>
      <c r="AF85" s="141"/>
      <c r="AG85" s="141">
        <f ca="1">SUMIFS('Сырье и материалы'!AG$25:AG$37,'Сырье и материалы'!$F$25:$F$37,$F85,'Сырье и материалы'!$AC$25:$AC$37,"Всего по тарифу")</f>
        <v>56.34</v>
      </c>
      <c r="AH85" s="103"/>
      <c r="AL85" s="654" t="s">
        <v>1482</v>
      </c>
    </row>
    <row r="86" spans="1:43" ht="14.25" customHeight="1">
      <c r="E86" s="446">
        <v>15</v>
      </c>
      <c r="F86" s="3" t="str" cm="1">
        <f t="array" aca="1" ref="F86" ca="1">OFFSET(E86,-1,1)</f>
        <v>1</v>
      </c>
      <c r="G86" s="22"/>
      <c r="H86" s="4"/>
      <c r="I86" s="22" t="s">
        <v>1483</v>
      </c>
      <c r="K86" s="40"/>
      <c r="L86" s="40"/>
      <c r="M86" s="40"/>
      <c r="T86" s="351" t="b" cm="1">
        <f t="array" ref="T86">T85</f>
        <v>1</v>
      </c>
      <c r="X86" s="1024"/>
      <c r="Z86" s="1008"/>
      <c r="AB86" s="549" t="s">
        <v>1484</v>
      </c>
      <c r="AC86" s="547" t="s">
        <v>1485</v>
      </c>
      <c r="AD86" s="9"/>
      <c r="AE86" s="9" t="s">
        <v>859</v>
      </c>
      <c r="AF86" s="141">
        <f ca="1">SUMIFS(Налоги!AF$25:AF$55,Налоги!$F$25:$F$55,$F86,Налоги!$AB$25:$AB$55,"0")</f>
        <v>841.61</v>
      </c>
      <c r="AG86" s="141">
        <f ca="1">SUMIFS(Налоги!AG$25:AG$55,Налоги!$F$25:$F$55,$F86,Налоги!$AB$25:$AB$55,"0")</f>
        <v>841.61</v>
      </c>
      <c r="AH86" s="103"/>
      <c r="AL86" s="654" t="s">
        <v>1486</v>
      </c>
    </row>
    <row r="87" spans="1:43" ht="65.25" customHeight="1">
      <c r="E87" s="446">
        <v>67.5</v>
      </c>
      <c r="F87" s="3" t="str" cm="1">
        <f t="array" aca="1" ref="F87" ca="1">OFFSET(E87,-1,1)</f>
        <v>1</v>
      </c>
      <c r="G87" s="25" t="s">
        <v>1487</v>
      </c>
      <c r="H87" s="4"/>
      <c r="I87" s="59" t="s">
        <v>1488</v>
      </c>
      <c r="K87" s="40"/>
      <c r="L87" s="40"/>
      <c r="M87" s="40"/>
      <c r="T87" s="351" t="b" cm="1">
        <f t="array" ref="T87">T86</f>
        <v>1</v>
      </c>
      <c r="X87" s="1024"/>
      <c r="Z87" s="1008"/>
      <c r="AB87" s="549" t="s">
        <v>1489</v>
      </c>
      <c r="AC87" s="547" t="s">
        <v>1490</v>
      </c>
      <c r="AD87" s="9"/>
      <c r="AE87" s="9" t="s">
        <v>859</v>
      </c>
      <c r="AF87" s="141"/>
      <c r="AG87" s="141">
        <f ca="1">IF(AND(method_reg="Метод индексации",first_year=god),SUMIFS('Калькуляция (МИ)'!$AG$25:$AG$315,'Калькуляция (МИ)'!$F$25:$F$315,$F87,'Калькуляция (МИ)'!$G$25:$G$315,$G87),SUMIFS('Калькуляция (МИ корр)'!$AG$25:$AG$315,'Калькуляция (МИ корр)'!$F$25:$F$315,$F87,'Калькуляция (МИ корр)'!$G$25:$G$315,$G87))</f>
        <v>0</v>
      </c>
      <c r="AH87" s="103"/>
      <c r="AL87" s="654" t="s">
        <v>1491</v>
      </c>
    </row>
    <row r="88" spans="1:43" ht="14.25" customHeight="1">
      <c r="E88" s="446">
        <v>15</v>
      </c>
      <c r="F88" s="3" t="str" cm="1">
        <f t="array" aca="1" ref="F88" ca="1">OFFSET(E88,-1,1)</f>
        <v>1</v>
      </c>
      <c r="G88" s="25" t="s">
        <v>1035</v>
      </c>
      <c r="H88" s="4"/>
      <c r="I88" s="59" t="s">
        <v>1492</v>
      </c>
      <c r="K88" s="40"/>
      <c r="L88" s="40"/>
      <c r="M88" s="40"/>
      <c r="T88" s="351" t="b" cm="1">
        <f t="array" ref="T88">T87</f>
        <v>1</v>
      </c>
      <c r="X88" s="1024"/>
      <c r="Z88" s="1008"/>
      <c r="AB88" s="549" t="s">
        <v>1493</v>
      </c>
      <c r="AC88" s="547" t="s">
        <v>1494</v>
      </c>
      <c r="AD88" s="9"/>
      <c r="AE88" s="9" t="s">
        <v>859</v>
      </c>
      <c r="AF88" s="141"/>
      <c r="AG88" s="141">
        <f ca="1">IF(AND(method_reg="Метод индексации",first_year=god),SUMIFS('Калькуляция (МИ)'!$AG$25:$AG$315,'Калькуляция (МИ)'!$F$25:$F$315,$F88,'Калькуляция (МИ)'!$G$25:$G$315,$G88),SUMIFS('Калькуляция (МИ корр)'!$AG$25:$AG$315,'Калькуляция (МИ корр)'!$F$25:$F$315,$F88,'Калькуляция (МИ корр)'!$G$25:$G$315,$G88))</f>
        <v>0</v>
      </c>
      <c r="AH88" s="103"/>
      <c r="AL88" s="654" t="s">
        <v>1495</v>
      </c>
    </row>
    <row r="89" spans="1:43" ht="14.25" customHeight="1">
      <c r="E89" s="446">
        <v>15</v>
      </c>
      <c r="F89" s="3" t="str" cm="1">
        <f t="array" aca="1" ref="F89" ca="1">OFFSET(E89,-1,1)</f>
        <v>1</v>
      </c>
      <c r="G89" s="25" t="s">
        <v>1496</v>
      </c>
      <c r="H89" s="4"/>
      <c r="I89" s="59" t="s">
        <v>1497</v>
      </c>
      <c r="K89" s="40"/>
      <c r="L89" s="40"/>
      <c r="M89" s="40"/>
      <c r="T89" s="351" t="b" cm="1">
        <f t="array" ref="T89">T88</f>
        <v>1</v>
      </c>
      <c r="X89" s="1024"/>
      <c r="Z89" s="1008"/>
      <c r="AB89" s="549" t="s">
        <v>1498</v>
      </c>
      <c r="AC89" s="547" t="s">
        <v>1499</v>
      </c>
      <c r="AD89" s="9"/>
      <c r="AE89" s="9" t="s">
        <v>859</v>
      </c>
      <c r="AF89" s="141"/>
      <c r="AG89" s="141">
        <f ca="1">IF(AND(method_reg="Метод индексации",first_year=god),SUMIFS('Калькуляция (МИ)'!$AG$25:$AG$315,'Калькуляция (МИ)'!$F$25:$F$315,$F89,'Калькуляция (МИ)'!$G$25:$G$315,$G89),SUMIFS('Калькуляция (МИ корр)'!$AG$25:$AG$315,'Калькуляция (МИ корр)'!$F$25:$F$315,$F89,'Калькуляция (МИ корр)'!$G$25:$G$315,$G89))</f>
        <v>0</v>
      </c>
      <c r="AH89" s="103"/>
      <c r="AL89" s="654" t="s">
        <v>1500</v>
      </c>
    </row>
    <row r="90" spans="1:43" ht="21.75" customHeight="1">
      <c r="E90" s="446">
        <v>22.5</v>
      </c>
      <c r="F90" s="3" t="str" cm="1">
        <f t="array" aca="1" ref="F90" ca="1">OFFSET(E90,-1,1)</f>
        <v>1</v>
      </c>
      <c r="G90" s="25" t="s">
        <v>1501</v>
      </c>
      <c r="H90" s="4"/>
      <c r="I90" s="59" t="s">
        <v>1502</v>
      </c>
      <c r="K90" s="40"/>
      <c r="L90" s="40"/>
      <c r="M90" s="40"/>
      <c r="T90" s="351" t="b" cm="1">
        <f t="array" ref="T90">T89</f>
        <v>1</v>
      </c>
      <c r="X90" s="1024"/>
      <c r="Z90" s="1008"/>
      <c r="AB90" s="549" t="s">
        <v>1503</v>
      </c>
      <c r="AC90" s="547" t="s">
        <v>1504</v>
      </c>
      <c r="AD90" s="9"/>
      <c r="AE90" s="9" t="s">
        <v>859</v>
      </c>
      <c r="AF90" s="141"/>
      <c r="AG90" s="141">
        <f ca="1">IF(AND(method_reg="Метод индексации",first_year=god),SUMIFS('Калькуляция (МИ)'!$AG$25:$AG$315,'Калькуляция (МИ)'!$F$25:$F$315,$F90,'Калькуляция (МИ)'!$G$25:$G$315,$G90),SUMIFS('Калькуляция (МИ корр)'!$AG$25:$AG$315,'Калькуляция (МИ корр)'!$F$25:$F$315,$F90,'Калькуляция (МИ корр)'!$G$25:$G$315,$G90))</f>
        <v>0</v>
      </c>
      <c r="AH90" s="103"/>
      <c r="AL90" s="654" t="s">
        <v>1505</v>
      </c>
    </row>
    <row r="91" spans="1:43" ht="21.75" customHeight="1">
      <c r="E91" s="446">
        <v>22.5</v>
      </c>
      <c r="F91" s="3" t="str" cm="1">
        <f t="array" aca="1" ref="F91" ca="1">OFFSET(E91,-1,1)</f>
        <v>1</v>
      </c>
      <c r="G91" s="25" t="s">
        <v>1506</v>
      </c>
      <c r="H91" s="4"/>
      <c r="I91" s="59" t="s">
        <v>1507</v>
      </c>
      <c r="K91" s="40"/>
      <c r="L91" s="40"/>
      <c r="M91" s="40"/>
      <c r="T91" s="351" t="b" cm="1">
        <f t="array" ref="T91">T90</f>
        <v>1</v>
      </c>
      <c r="X91" s="1024"/>
      <c r="Z91" s="1008"/>
      <c r="AB91" s="549" t="s">
        <v>1508</v>
      </c>
      <c r="AC91" s="547" t="s">
        <v>1509</v>
      </c>
      <c r="AD91" s="619"/>
      <c r="AE91" s="9" t="s">
        <v>859</v>
      </c>
      <c r="AF91" s="141"/>
      <c r="AG91" s="141">
        <f ca="1">IF(AND(method_reg="Метод индексации",first_year=god),SUMIFS('Калькуляция (МИ)'!$AG$25:$AG$315,'Калькуляция (МИ)'!$F$25:$F$315,$F91,'Калькуляция (МИ)'!$G$25:$G$315,$G91),SUMIFS('Калькуляция (МИ корр)'!$AG$25:$AG$315,'Калькуляция (МИ корр)'!$F$25:$F$315,$F91,'Калькуляция (МИ корр)'!$G$25:$G$315,$G91))</f>
        <v>0</v>
      </c>
      <c r="AH91" s="103"/>
      <c r="AL91" s="654" t="s">
        <v>1510</v>
      </c>
    </row>
    <row r="92" spans="1:43" ht="21.75" customHeight="1">
      <c r="E92" s="446">
        <v>22.5</v>
      </c>
      <c r="F92" s="3" t="str" cm="1">
        <f t="array" aca="1" ref="F92" ca="1">OFFSET(E92,-1,1)</f>
        <v>1</v>
      </c>
      <c r="G92" s="25" t="s">
        <v>1511</v>
      </c>
      <c r="H92" s="4"/>
      <c r="I92" s="59" t="s">
        <v>1512</v>
      </c>
      <c r="K92" s="40"/>
      <c r="L92" s="40"/>
      <c r="M92" s="40"/>
      <c r="T92" s="351" t="b" cm="1">
        <f t="array" ref="T92">T91</f>
        <v>1</v>
      </c>
      <c r="X92" s="1024"/>
      <c r="Z92" s="1008"/>
      <c r="AB92" s="549" t="s">
        <v>1513</v>
      </c>
      <c r="AC92" s="547" t="s">
        <v>1514</v>
      </c>
      <c r="AD92" s="619"/>
      <c r="AE92" s="9" t="s">
        <v>859</v>
      </c>
      <c r="AF92" s="141"/>
      <c r="AG92" s="141">
        <f ca="1">IF(AND(method_reg="Метод индексации",first_year=god),SUMIFS('Калькуляция (МИ)'!$AG$25:$AG$315,'Калькуляция (МИ)'!$F$25:$F$315,$F92,'Калькуляция (МИ)'!$G$25:$G$315,$G92),SUMIFS('Калькуляция (МИ корр)'!$AG$25:$AG$315,'Калькуляция (МИ корр)'!$F$25:$F$315,$F92,'Калькуляция (МИ корр)'!$G$25:$G$315,$G92))</f>
        <v>0</v>
      </c>
      <c r="AH92" s="103"/>
      <c r="AL92" s="654" t="s">
        <v>1515</v>
      </c>
    </row>
    <row r="93" spans="1:43" ht="14.25" customHeight="1">
      <c r="E93" s="446">
        <v>15</v>
      </c>
      <c r="F93" s="3" t="str" cm="1">
        <f t="array" aca="1" ref="F93" ca="1">OFFSET(E93,-1,1)</f>
        <v>1</v>
      </c>
      <c r="G93" s="25" t="s">
        <v>1516</v>
      </c>
      <c r="H93" s="4"/>
      <c r="I93" s="59" t="s">
        <v>1517</v>
      </c>
      <c r="K93" s="40"/>
      <c r="L93" s="40"/>
      <c r="M93" s="40"/>
      <c r="T93" s="351" t="b" cm="1">
        <f t="array" ref="T93">T92</f>
        <v>1</v>
      </c>
      <c r="X93" s="1024"/>
      <c r="Z93" s="1008"/>
      <c r="AB93" s="549" t="s">
        <v>1518</v>
      </c>
      <c r="AC93" s="547" t="s">
        <v>1519</v>
      </c>
      <c r="AD93" s="619"/>
      <c r="AE93" s="9" t="s">
        <v>859</v>
      </c>
      <c r="AF93" s="141"/>
      <c r="AG93" s="141">
        <f ca="1">IF(AND(method_reg="Метод индексации",first_year=god),SUMIFS('Калькуляция (МИ)'!$AG$25:$AG$315,'Калькуляция (МИ)'!$F$25:$F$315,$F93,'Калькуляция (МИ)'!$G$25:$G$315,$G93),SUMIFS('Калькуляция (МИ корр)'!$AG$25:$AG$315,'Калькуляция (МИ корр)'!$F$25:$F$315,$F93,'Калькуляция (МИ корр)'!$G$25:$G$315,$G93))</f>
        <v>0</v>
      </c>
      <c r="AH93" s="103"/>
      <c r="AL93" s="654" t="s">
        <v>1520</v>
      </c>
    </row>
    <row r="94" spans="1:43" ht="21.75" customHeight="1">
      <c r="E94" s="446">
        <v>22.5</v>
      </c>
      <c r="F94" s="3" t="str" cm="1">
        <f t="array" aca="1" ref="F94" ca="1">OFFSET(E94,-1,1)</f>
        <v>1</v>
      </c>
      <c r="G94" s="25" t="s">
        <v>1521</v>
      </c>
      <c r="H94" s="4"/>
      <c r="I94" s="59" t="s">
        <v>1522</v>
      </c>
      <c r="K94" s="40"/>
      <c r="L94" s="40"/>
      <c r="M94" s="40"/>
      <c r="T94" s="351" t="b" cm="1">
        <f t="array" ref="T94">T93</f>
        <v>1</v>
      </c>
      <c r="X94" s="1024"/>
      <c r="Z94" s="1008"/>
      <c r="AB94" s="549" t="s">
        <v>1523</v>
      </c>
      <c r="AC94" s="547" t="s">
        <v>1524</v>
      </c>
      <c r="AD94" s="619"/>
      <c r="AE94" s="9" t="s">
        <v>859</v>
      </c>
      <c r="AF94" s="141"/>
      <c r="AG94" s="141">
        <f ca="1">IF(AND(method_reg="Метод индексации",first_year=god),SUMIFS('Калькуляция (МИ)'!$AG$25:$AG$315,'Калькуляция (МИ)'!$F$25:$F$315,$F94,'Калькуляция (МИ)'!$G$25:$G$315,$G94),SUMIFS('Калькуляция (МИ корр)'!$AG$25:$AG$315,'Калькуляция (МИ корр)'!$F$25:$F$315,$F94,'Калькуляция (МИ корр)'!$G$25:$G$315,$G94))</f>
        <v>0</v>
      </c>
      <c r="AH94" s="103"/>
      <c r="AL94" s="654" t="s">
        <v>1525</v>
      </c>
    </row>
    <row r="95" spans="1:43" ht="14.25" customHeight="1">
      <c r="E95" s="446">
        <v>15</v>
      </c>
      <c r="F95" s="3" t="str" cm="1">
        <f t="array" aca="1" ref="F95" ca="1">OFFSET(E95,-1,1)</f>
        <v>1</v>
      </c>
      <c r="G95" s="22"/>
      <c r="H95" s="4"/>
      <c r="I95" s="22" t="s">
        <v>1385</v>
      </c>
      <c r="K95" s="40"/>
      <c r="L95" s="40"/>
      <c r="M95" s="40"/>
      <c r="T95" s="351" t="b" cm="1">
        <f t="array" ref="T95">T94</f>
        <v>1</v>
      </c>
      <c r="X95" s="1024"/>
      <c r="Z95" s="1008"/>
      <c r="AB95" s="133" t="s">
        <v>596</v>
      </c>
      <c r="AC95" s="127" t="s">
        <v>1526</v>
      </c>
      <c r="AD95" s="7" t="s">
        <v>1527</v>
      </c>
      <c r="AE95" s="9" t="s">
        <v>859</v>
      </c>
      <c r="AF95" s="141">
        <f>AF96*AF97*AF98</f>
        <v>0</v>
      </c>
      <c r="AG95" s="141">
        <f ca="1">AG96*AG97*AG98</f>
        <v>11407.5</v>
      </c>
      <c r="AH95" s="103"/>
      <c r="AL95" s="654" t="s">
        <v>1528</v>
      </c>
    </row>
    <row r="96" spans="1:43" ht="21.75" customHeight="1">
      <c r="E96" s="446">
        <v>22.5</v>
      </c>
      <c r="F96" s="3" t="str" cm="1">
        <f t="array" aca="1" ref="F96" ca="1">OFFSET(E96,-1,1)</f>
        <v>1</v>
      </c>
      <c r="G96" s="22"/>
      <c r="H96" s="4"/>
      <c r="I96" s="22" t="s">
        <v>1529</v>
      </c>
      <c r="K96" s="40"/>
      <c r="L96" s="40"/>
      <c r="M96" s="40"/>
      <c r="T96" s="351" t="b" cm="1">
        <f t="array" ref="T96">T95</f>
        <v>1</v>
      </c>
      <c r="X96" s="1024"/>
      <c r="Z96" s="1008"/>
      <c r="AB96" s="133" t="s">
        <v>544</v>
      </c>
      <c r="AC96" s="134" t="s">
        <v>1530</v>
      </c>
      <c r="AD96" s="7" t="s">
        <v>1531</v>
      </c>
      <c r="AE96" s="9" t="s">
        <v>887</v>
      </c>
      <c r="AF96" s="141"/>
      <c r="AG96" s="141">
        <f ca="1">SUMIFS(ЭЭ!AG$25:AG$74,ЭЭ!$F$25:$F$74,$F96,ЭЭ!$AC$25:$AC$74,"Удельный расход электроэнергии")</f>
        <v>1.1789810598818826</v>
      </c>
      <c r="AH96" s="103"/>
      <c r="AL96" s="654" t="s">
        <v>1532</v>
      </c>
    </row>
    <row r="97" spans="2:38" ht="14.25" customHeight="1">
      <c r="E97" s="446">
        <v>15</v>
      </c>
      <c r="F97" s="3" t="str" cm="1">
        <f t="array" aca="1" ref="F97" ca="1">OFFSET(E97,-1,1)</f>
        <v>1</v>
      </c>
      <c r="G97" s="22"/>
      <c r="H97" s="4"/>
      <c r="I97" s="22" t="s">
        <v>1533</v>
      </c>
      <c r="K97" s="40"/>
      <c r="L97" s="40"/>
      <c r="M97" s="40"/>
      <c r="T97" s="351" t="b" cm="1">
        <f t="array" ref="T97">T96</f>
        <v>1</v>
      </c>
      <c r="X97" s="1024"/>
      <c r="Z97" s="1008"/>
      <c r="AB97" s="133" t="s">
        <v>1534</v>
      </c>
      <c r="AC97" s="134" t="s">
        <v>1535</v>
      </c>
      <c r="AD97" s="7" t="s">
        <v>1536</v>
      </c>
      <c r="AE97" s="9" t="s">
        <v>881</v>
      </c>
      <c r="AF97" s="141"/>
      <c r="AG97" s="141">
        <f ca="1">SUMIFS(ЭЭ!AG$25:AG$74,ЭЭ!$F$25:$F$74,$F96,ЭЭ!$AC$25:$AC$74,"Объём воды/сточных вод")</f>
        <v>1537.7940000000001</v>
      </c>
      <c r="AH97" s="103"/>
      <c r="AL97" s="654" t="s">
        <v>1537</v>
      </c>
    </row>
    <row r="98" spans="2:38" ht="21.75" customHeight="1">
      <c r="E98" s="446">
        <v>22.5</v>
      </c>
      <c r="F98" s="3" t="str" cm="1">
        <f t="array" aca="1" ref="F98" ca="1">OFFSET(E98,-1,1)</f>
        <v>1</v>
      </c>
      <c r="G98" s="22"/>
      <c r="H98" s="4"/>
      <c r="I98" s="22" t="s">
        <v>1538</v>
      </c>
      <c r="K98" s="40"/>
      <c r="L98" s="40"/>
      <c r="M98" s="40"/>
      <c r="T98" s="351" t="b" cm="1">
        <f t="array" ref="T98">T97</f>
        <v>1</v>
      </c>
      <c r="X98" s="1024"/>
      <c r="Z98" s="1008"/>
      <c r="AB98" s="133" t="s">
        <v>1539</v>
      </c>
      <c r="AC98" s="134" t="s">
        <v>1540</v>
      </c>
      <c r="AD98" s="7" t="s">
        <v>1541</v>
      </c>
      <c r="AE98" s="9" t="s">
        <v>884</v>
      </c>
      <c r="AF98" s="141"/>
      <c r="AG98" s="141">
        <f ca="1">SUMIFS(ЭЭ!AG$25:AG$74,ЭЭ!$F$25:$F$74,$F96,ЭЭ!$AC$25:$AC$74,"Средний (расчетный) тариф")</f>
        <v>6.2919532495325505</v>
      </c>
      <c r="AH98" s="103"/>
      <c r="AL98" s="654" t="s">
        <v>1542</v>
      </c>
    </row>
    <row r="99" spans="2:38" ht="21.75" customHeight="1">
      <c r="E99" s="446">
        <v>22.5</v>
      </c>
      <c r="F99" s="3" t="str" cm="1">
        <f t="array" aca="1" ref="F99" ca="1">OFFSET(E99,-1,1)</f>
        <v>1</v>
      </c>
      <c r="G99" s="22" t="s">
        <v>1543</v>
      </c>
      <c r="H99" s="4"/>
      <c r="I99" s="22" t="s">
        <v>1544</v>
      </c>
      <c r="K99" s="40"/>
      <c r="L99" s="40"/>
      <c r="M99" s="40"/>
      <c r="T99" s="351" t="b" cm="1">
        <f t="array" ref="T99">T98</f>
        <v>1</v>
      </c>
      <c r="X99" s="1024"/>
      <c r="Z99" s="1008"/>
      <c r="AB99" s="133" t="s">
        <v>959</v>
      </c>
      <c r="AC99" s="127" t="s">
        <v>1545</v>
      </c>
      <c r="AD99" s="7" t="s">
        <v>1546</v>
      </c>
      <c r="AE99" s="9" t="s">
        <v>859</v>
      </c>
      <c r="AF99" s="141"/>
      <c r="AG99" s="141">
        <f ca="1">IF(AND(method_reg="Метод индексации",first_year=god),SUMIFS('Калькуляция (МИ)'!$AG$25:$AG$315,'Калькуляция (МИ)'!$F$25:$F$315,$F99,'Калькуляция (МИ)'!$G$25:$G$315,$G99),SUMIFS('Калькуляция (МИ корр)'!$AG$25:$AG$315,'Калькуляция (МИ корр)'!$F$25:$F$315,$F99,'Калькуляция (МИ корр)'!$G$25:$G$315,$G99))</f>
        <v>0</v>
      </c>
      <c r="AH99" s="103"/>
      <c r="AL99" s="654" t="s">
        <v>1242</v>
      </c>
    </row>
    <row r="100" spans="2:38" ht="14.25" customHeight="1">
      <c r="E100" s="446">
        <v>15</v>
      </c>
      <c r="F100" s="3" t="str" cm="1">
        <f t="array" aca="1" ref="F100" ca="1">OFFSET(E100,-1,1)</f>
        <v>1</v>
      </c>
      <c r="G100" s="22" t="s">
        <v>1547</v>
      </c>
      <c r="H100" s="4"/>
      <c r="I100" s="22" t="s">
        <v>1548</v>
      </c>
      <c r="K100" s="40"/>
      <c r="L100" s="40"/>
      <c r="M100" s="40"/>
      <c r="T100" s="351" t="b" cm="1">
        <f t="array" ref="T100">T99</f>
        <v>1</v>
      </c>
      <c r="X100" s="1024"/>
      <c r="Z100" s="1008"/>
      <c r="AB100" s="133" t="s">
        <v>962</v>
      </c>
      <c r="AC100" s="620" t="s">
        <v>1549</v>
      </c>
      <c r="AD100" s="7" t="s">
        <v>1550</v>
      </c>
      <c r="AE100" s="9" t="s">
        <v>859</v>
      </c>
      <c r="AF100" s="141"/>
      <c r="AG100" s="141">
        <f ca="1">IF(AND(method_reg="Метод индексации",first_year=god),SUMIFS('Калькуляция (МИ)'!$AE$25:$AE$315,'Калькуляция (МИ)'!$F$25:$F$315,$F100,'Калькуляция (МИ)'!$G$25:$G$315,"Нормативная прибыль")-SUMIFS('Калькуляция (МИ)'!$AE$25:$AE$315,'Калькуляция (МИ)'!$F$25:$F$315,$F100,'Калькуляция (МИ)'!$G$25:$G$315,"иные экономически обоснованные расходы на социальные нужды")+SUMIFS('Калькуляция (МИ)'!$AG$25:$AG$315,'Калькуляция (МИ)'!$F$25:$F$315,$F100,'Калькуляция (МИ)'!$G$25:$G$315,"иные экономически обоснованные расходы на социальные нужды"),SUMIFS('Калькуляция (МИ корр)'!$AE$25:$AE$315,'Калькуляция (МИ корр)'!$F$25:$F$315,$F100,'Калькуляция (МИ корр)'!$G$25:$G$315,"Нормативная прибыль")-SUMIFS('Калькуляция (МИ корр)'!$AE$25:$AE$315,'Калькуляция (МИ корр)'!$F$25:$F$315,$F100,'Калькуляция (МИ корр)'!$G$25:$G$315,"иные экономически обоснованные расходы на социальные нужды")+SUMIFS('Калькуляция (МИ корр)'!$AG$25:$AG$315,'Калькуляция (МИ корр)'!$F$25:$F$315,$F100,'Калькуляция (МИ корр)'!$G$25:$G$315,"иные экономически обоснованные расходы на социальные нужды"))</f>
        <v>0</v>
      </c>
      <c r="AH100" s="103"/>
      <c r="AL100" s="654" t="s">
        <v>1551</v>
      </c>
    </row>
    <row r="101" spans="2:38" ht="14.25" customHeight="1">
      <c r="E101" s="446">
        <v>15</v>
      </c>
      <c r="F101" s="3" t="str" cm="1">
        <f t="array" aca="1" ref="F101" ca="1">OFFSET(E101,-1,1)</f>
        <v>1</v>
      </c>
      <c r="G101" s="25" t="s">
        <v>1552</v>
      </c>
      <c r="H101" s="4"/>
      <c r="I101" s="59" t="s">
        <v>1553</v>
      </c>
      <c r="K101" s="40"/>
      <c r="L101" s="40"/>
      <c r="M101" s="40"/>
      <c r="T101" s="351" t="b" cm="1">
        <f t="array" ref="T101">T100</f>
        <v>1</v>
      </c>
      <c r="X101" s="1024"/>
      <c r="Z101" s="1008"/>
      <c r="AB101" s="133" t="s">
        <v>1554</v>
      </c>
      <c r="AC101" s="127" t="s">
        <v>1555</v>
      </c>
      <c r="AD101" s="7" t="s">
        <v>1556</v>
      </c>
      <c r="AE101" s="9" t="s">
        <v>859</v>
      </c>
      <c r="AF101" s="141"/>
      <c r="AG101" s="141">
        <f ca="1">IF(AND(method_reg="Метод индексации",first_year=god),SUMIFS('Калькуляция (МИ)'!$AG$25:$AG$315,'Калькуляция (МИ)'!$F$25:$F$315,$F101,'Калькуляция (МИ)'!$G$25:$G$315,$G101),SUMIFS('Калькуляция (МИ корр)'!$AG$25:$AG$315,'Калькуляция (МИ корр)'!$F$25:$F$315,$F101,'Калькуляция (МИ корр)'!$G$25:$G$315,$G101))</f>
        <v>0</v>
      </c>
      <c r="AH101" s="103"/>
      <c r="AL101" s="654" t="s">
        <v>1557</v>
      </c>
    </row>
    <row r="102" spans="2:38" ht="21.75" customHeight="1">
      <c r="E102" s="446">
        <v>22.5</v>
      </c>
      <c r="F102" s="3" t="str" cm="1">
        <f t="array" aca="1" ref="F102" ca="1">OFFSET(E102,-1,1)</f>
        <v>1</v>
      </c>
      <c r="G102" s="25"/>
      <c r="H102" s="4"/>
      <c r="I102" s="22" t="s">
        <v>1558</v>
      </c>
      <c r="K102" s="40"/>
      <c r="L102" s="40"/>
      <c r="M102" s="40"/>
      <c r="T102" s="351" t="b" cm="1">
        <f t="array" ref="T102">T101</f>
        <v>1</v>
      </c>
      <c r="X102" s="1024"/>
      <c r="Z102" s="1008"/>
      <c r="AB102" s="133" t="s">
        <v>1559</v>
      </c>
      <c r="AC102" s="127" t="s">
        <v>1560</v>
      </c>
      <c r="AD102" s="7"/>
      <c r="AE102" s="9" t="s">
        <v>859</v>
      </c>
      <c r="AF102" s="141">
        <f>AF103+AF104+AF105</f>
        <v>0</v>
      </c>
      <c r="AG102" s="141">
        <f>AG103+AG104+AG105</f>
        <v>0</v>
      </c>
      <c r="AH102" s="103"/>
      <c r="AL102" s="654" t="s">
        <v>1561</v>
      </c>
    </row>
    <row r="103" spans="2:38" ht="21.75" customHeight="1">
      <c r="E103" s="446">
        <v>22.5</v>
      </c>
      <c r="F103" s="3" t="str" cm="1">
        <f t="array" aca="1" ref="F103" ca="1">OFFSET(E103,-1,1)</f>
        <v>1</v>
      </c>
      <c r="G103" s="22"/>
      <c r="H103" s="4"/>
      <c r="I103" s="22" t="s">
        <v>1562</v>
      </c>
      <c r="K103" s="40"/>
      <c r="L103" s="40"/>
      <c r="M103" s="40"/>
      <c r="T103" s="351" t="b" cm="1">
        <f t="array" ref="T103">T102</f>
        <v>1</v>
      </c>
      <c r="X103" s="1024"/>
      <c r="Z103" s="1008"/>
      <c r="AB103" s="133" t="s">
        <v>1563</v>
      </c>
      <c r="AC103" s="134" t="s">
        <v>1564</v>
      </c>
      <c r="AD103" s="7" t="s">
        <v>1565</v>
      </c>
      <c r="AE103" s="9" t="s">
        <v>859</v>
      </c>
      <c r="AF103" s="141"/>
      <c r="AG103" s="141"/>
      <c r="AH103" s="103"/>
      <c r="AL103" s="654" t="s">
        <v>1566</v>
      </c>
    </row>
    <row r="104" spans="2:38" ht="14.25" customHeight="1">
      <c r="E104" s="446">
        <v>15</v>
      </c>
      <c r="F104" s="3" t="str" cm="1">
        <f t="array" aca="1" ref="F104" ca="1">OFFSET(E104,-1,1)</f>
        <v>1</v>
      </c>
      <c r="G104" s="22"/>
      <c r="H104" s="4"/>
      <c r="I104" s="22" t="s">
        <v>1567</v>
      </c>
      <c r="K104" s="40"/>
      <c r="L104" s="40"/>
      <c r="M104" s="40"/>
      <c r="T104" s="351" t="b" cm="1">
        <f t="array" ref="T104">T103</f>
        <v>1</v>
      </c>
      <c r="X104" s="1024"/>
      <c r="Z104" s="1008"/>
      <c r="AB104" s="133" t="s">
        <v>1568</v>
      </c>
      <c r="AC104" s="134" t="s">
        <v>1569</v>
      </c>
      <c r="AD104" s="7" t="s">
        <v>1570</v>
      </c>
      <c r="AE104" s="9" t="s">
        <v>859</v>
      </c>
      <c r="AF104" s="141"/>
      <c r="AG104" s="141"/>
      <c r="AH104" s="103"/>
      <c r="AL104" s="654" t="s">
        <v>1571</v>
      </c>
    </row>
    <row r="105" spans="2:38" ht="43.5" customHeight="1">
      <c r="E105" s="446">
        <v>45</v>
      </c>
      <c r="F105" s="3" t="str" cm="1">
        <f t="array" aca="1" ref="F105" ca="1">OFFSET(E105,-1,1)</f>
        <v>1</v>
      </c>
      <c r="G105" s="22"/>
      <c r="H105" s="4"/>
      <c r="I105" s="22" t="s">
        <v>1572</v>
      </c>
      <c r="K105" s="40"/>
      <c r="L105" s="40"/>
      <c r="M105" s="40"/>
      <c r="T105" s="351" t="b" cm="1">
        <f t="array" ref="T105">T104</f>
        <v>1</v>
      </c>
      <c r="X105" s="1024"/>
      <c r="Z105" s="1008"/>
      <c r="AB105" s="133" t="s">
        <v>1573</v>
      </c>
      <c r="AC105" s="134" t="s">
        <v>1574</v>
      </c>
      <c r="AD105" s="9" t="s">
        <v>1575</v>
      </c>
      <c r="AE105" s="9" t="s">
        <v>859</v>
      </c>
      <c r="AF105" s="141"/>
      <c r="AG105" s="141"/>
      <c r="AH105" s="103"/>
      <c r="AL105" s="654" t="s">
        <v>1576</v>
      </c>
    </row>
    <row r="106" spans="2:38" ht="21.75" customHeight="1">
      <c r="E106" s="446">
        <v>22.5</v>
      </c>
      <c r="F106" s="3" t="str" cm="1">
        <f t="array" aca="1" ref="F106" ca="1">OFFSET(E106,-1,1)</f>
        <v>1</v>
      </c>
      <c r="G106" s="22"/>
      <c r="H106" s="4"/>
      <c r="I106" s="22" t="s">
        <v>1577</v>
      </c>
      <c r="K106" s="40"/>
      <c r="L106" s="40"/>
      <c r="M106" s="40"/>
      <c r="T106" s="351" t="b" cm="1">
        <f t="array" ref="T106">T105</f>
        <v>1</v>
      </c>
      <c r="X106" s="1024"/>
      <c r="Z106" s="1008"/>
      <c r="AB106" s="133" t="s">
        <v>1578</v>
      </c>
      <c r="AC106" s="127" t="s">
        <v>1579</v>
      </c>
      <c r="AD106" s="9" t="s">
        <v>1580</v>
      </c>
      <c r="AE106" s="9" t="s">
        <v>859</v>
      </c>
      <c r="AF106" s="141"/>
      <c r="AG106" s="141"/>
      <c r="AH106" s="103"/>
      <c r="AL106" s="654" t="s">
        <v>1581</v>
      </c>
    </row>
    <row r="107" spans="2:38" ht="76.5" hidden="1" customHeight="1">
      <c r="B107" s="43" t="b">
        <f>S78="Водоотведение"</f>
        <v>0</v>
      </c>
      <c r="E107" s="446">
        <v>78.75</v>
      </c>
      <c r="F107" s="3" t="str" cm="1">
        <f t="array" aca="1" ref="F107" ca="1">OFFSET(E107,-1,1)</f>
        <v>1</v>
      </c>
      <c r="G107" s="22"/>
      <c r="H107" s="4"/>
      <c r="I107" s="22"/>
      <c r="K107" s="40"/>
      <c r="L107" s="40"/>
      <c r="M107" s="40"/>
      <c r="T107" s="351" t="b" cm="1">
        <f t="array" ref="T107">T106</f>
        <v>1</v>
      </c>
      <c r="X107" s="1024"/>
      <c r="Z107" s="1008"/>
      <c r="AB107" s="133" t="s">
        <v>1582</v>
      </c>
      <c r="AC107" s="127" t="s">
        <v>1583</v>
      </c>
      <c r="AD107" s="9"/>
      <c r="AE107" s="9" t="s">
        <v>859</v>
      </c>
      <c r="AF107" s="780"/>
      <c r="AG107" s="780"/>
      <c r="AH107" s="816"/>
      <c r="AL107" s="654" t="s">
        <v>1584</v>
      </c>
    </row>
    <row r="108" spans="2:38" ht="54.75" hidden="1" customHeight="1">
      <c r="B108" s="43" t="b" cm="1">
        <f t="array" ref="B108">B107</f>
        <v>0</v>
      </c>
      <c r="E108" s="446">
        <v>56.25</v>
      </c>
      <c r="F108" s="3" t="str" cm="1">
        <f t="array" aca="1" ref="F108" ca="1">OFFSET(E108,-1,1)</f>
        <v>1</v>
      </c>
      <c r="G108" s="22"/>
      <c r="H108" s="4"/>
      <c r="I108" s="22"/>
      <c r="K108" s="40"/>
      <c r="L108" s="40"/>
      <c r="M108" s="40"/>
      <c r="T108" s="351" t="b" cm="1">
        <f t="array" ref="T108">T107</f>
        <v>1</v>
      </c>
      <c r="X108" s="1024"/>
      <c r="Z108" s="1008"/>
      <c r="AB108" s="133" t="s">
        <v>1585</v>
      </c>
      <c r="AC108" s="127" t="s">
        <v>1586</v>
      </c>
      <c r="AD108" s="9"/>
      <c r="AE108" s="9" t="s">
        <v>859</v>
      </c>
      <c r="AF108" s="780"/>
      <c r="AG108" s="780"/>
      <c r="AH108" s="816"/>
      <c r="AL108" s="654" t="s">
        <v>1412</v>
      </c>
    </row>
    <row r="109" spans="2:38" ht="14.25" customHeight="1">
      <c r="E109" s="446">
        <v>15</v>
      </c>
      <c r="F109" s="3" t="str" cm="1">
        <f t="array" aca="1" ref="F109" ca="1">OFFSET(E109,-1,1)</f>
        <v>1</v>
      </c>
      <c r="G109" s="22"/>
      <c r="H109" s="4"/>
      <c r="I109" s="22"/>
      <c r="K109" s="40"/>
      <c r="L109" s="40"/>
      <c r="M109" s="40"/>
      <c r="T109" s="351" t="b" cm="1">
        <f t="array" ref="T109">T108</f>
        <v>1</v>
      </c>
      <c r="X109" s="1024"/>
      <c r="Z109" s="1008"/>
      <c r="AB109" s="7" t="str">
        <f>IF(B108,"2.12","2.10")</f>
        <v>2.10</v>
      </c>
      <c r="AC109" s="127" t="s">
        <v>1587</v>
      </c>
      <c r="AD109" s="9" t="s">
        <v>1588</v>
      </c>
      <c r="AE109" s="9" t="s">
        <v>859</v>
      </c>
      <c r="AF109" s="141">
        <f>AF110+AF111</f>
        <v>0</v>
      </c>
      <c r="AG109" s="141">
        <f>AG110+AG111</f>
        <v>0</v>
      </c>
      <c r="AH109" s="103"/>
      <c r="AL109" s="654" t="s">
        <v>1589</v>
      </c>
    </row>
    <row r="110" spans="2:38" ht="21.75" customHeight="1">
      <c r="E110" s="446">
        <v>22.5</v>
      </c>
      <c r="F110" s="3" t="str" cm="1">
        <f t="array" aca="1" ref="F110" ca="1">OFFSET(E110,-1,1)</f>
        <v>1</v>
      </c>
      <c r="G110" s="22"/>
      <c r="H110" s="4"/>
      <c r="I110" s="22"/>
      <c r="K110" s="40"/>
      <c r="L110" s="40"/>
      <c r="M110" s="40"/>
      <c r="T110" s="351" t="b" cm="1">
        <f t="array" ref="T110">T109</f>
        <v>1</v>
      </c>
      <c r="X110" s="1024"/>
      <c r="Z110" s="1008"/>
      <c r="AB110" s="7" t="str">
        <f>AB109&amp;".1"</f>
        <v>2.10.1</v>
      </c>
      <c r="AC110" s="127" t="s">
        <v>1590</v>
      </c>
      <c r="AD110" s="9" t="s">
        <v>1588</v>
      </c>
      <c r="AE110" s="9" t="s">
        <v>859</v>
      </c>
      <c r="AF110" s="141"/>
      <c r="AG110" s="141"/>
      <c r="AH110" s="103"/>
      <c r="AL110" s="654" t="s">
        <v>1591</v>
      </c>
    </row>
    <row r="111" spans="2:38" ht="21.75" customHeight="1">
      <c r="E111" s="446">
        <v>22.5</v>
      </c>
      <c r="F111" s="3" t="str" cm="1">
        <f t="array" aca="1" ref="F111" ca="1">OFFSET(E111,-1,1)</f>
        <v>1</v>
      </c>
      <c r="G111" s="22"/>
      <c r="H111" s="4"/>
      <c r="I111" s="22"/>
      <c r="K111" s="40"/>
      <c r="L111" s="40"/>
      <c r="M111" s="40"/>
      <c r="T111" s="351" t="b" cm="1">
        <f t="array" ref="T111">T110</f>
        <v>1</v>
      </c>
      <c r="X111" s="1024"/>
      <c r="Z111" s="1008"/>
      <c r="AB111" s="7" t="str">
        <f>AB109&amp;".2"</f>
        <v>2.10.2</v>
      </c>
      <c r="AC111" s="127" t="s">
        <v>1592</v>
      </c>
      <c r="AD111" s="9" t="s">
        <v>1588</v>
      </c>
      <c r="AE111" s="9" t="s">
        <v>859</v>
      </c>
      <c r="AF111" s="141"/>
      <c r="AG111" s="141"/>
      <c r="AH111" s="103"/>
      <c r="AL111" s="654" t="s">
        <v>1593</v>
      </c>
    </row>
    <row r="112" spans="2:38" ht="14.25" customHeight="1">
      <c r="E112" s="446">
        <v>15</v>
      </c>
      <c r="F112" s="3" t="str" cm="1">
        <f t="array" aca="1" ref="F112" ca="1">OFFSET(E112,-1,1)</f>
        <v>1</v>
      </c>
      <c r="G112" s="22"/>
      <c r="H112" s="4"/>
      <c r="I112" s="22"/>
      <c r="K112" s="40"/>
      <c r="L112" s="40"/>
      <c r="M112" s="40"/>
      <c r="T112" s="351" t="b" cm="1">
        <f t="array" ref="T112">T111</f>
        <v>1</v>
      </c>
      <c r="X112" s="1024"/>
      <c r="Z112" s="1008"/>
      <c r="AB112" s="7" t="str">
        <f>IF(B108,"2.13","2.11")</f>
        <v>2.11</v>
      </c>
      <c r="AC112" s="127" t="s">
        <v>1594</v>
      </c>
      <c r="AD112" s="9" t="s">
        <v>1588</v>
      </c>
      <c r="AE112" s="9" t="s">
        <v>859</v>
      </c>
      <c r="AF112" s="141"/>
      <c r="AG112" s="141"/>
      <c r="AH112" s="103"/>
      <c r="AL112" s="654" t="s">
        <v>1595</v>
      </c>
    </row>
    <row r="113" spans="1:43" ht="14.25" customHeight="1">
      <c r="E113" s="446">
        <v>15</v>
      </c>
      <c r="F113" s="3" t="str" cm="1">
        <f t="array" aca="1" ref="F113" ca="1">OFFSET(E113,-1,1)</f>
        <v>1</v>
      </c>
      <c r="G113" s="22"/>
      <c r="H113" s="4"/>
      <c r="I113" s="22"/>
      <c r="K113" s="40"/>
      <c r="L113" s="40"/>
      <c r="M113" s="40"/>
      <c r="T113" s="351" t="b" cm="1">
        <f t="array" ref="T113">T112</f>
        <v>1</v>
      </c>
      <c r="X113" s="1024"/>
      <c r="Z113" s="1008"/>
      <c r="AB113" s="7" t="str">
        <f>IF(B108,"2.14","2.12")</f>
        <v>2.12</v>
      </c>
      <c r="AC113" s="127" t="s">
        <v>1596</v>
      </c>
      <c r="AD113" s="9" t="s">
        <v>1588</v>
      </c>
      <c r="AE113" s="9" t="s">
        <v>859</v>
      </c>
      <c r="AF113" s="141"/>
      <c r="AG113" s="141"/>
      <c r="AH113" s="103"/>
      <c r="AL113" s="654" t="s">
        <v>1597</v>
      </c>
    </row>
    <row r="114" spans="1:43" s="891" customFormat="1" ht="21.75" customHeight="1">
      <c r="A114" s="154"/>
      <c r="B114" s="327"/>
      <c r="C114" s="154"/>
      <c r="D114" s="154"/>
      <c r="E114" s="499">
        <v>22.5</v>
      </c>
      <c r="F114" s="3" t="str" cm="1">
        <f t="array" aca="1" ref="F114" ca="1">OFFSET(E114,-1,1)</f>
        <v>1</v>
      </c>
      <c r="G114" s="63"/>
      <c r="H114" s="63"/>
      <c r="I114" s="22" t="s">
        <v>322</v>
      </c>
      <c r="J114" s="154"/>
      <c r="K114" s="373"/>
      <c r="L114" s="373"/>
      <c r="M114" s="373"/>
      <c r="N114" s="154"/>
      <c r="O114" s="154"/>
      <c r="P114" s="154"/>
      <c r="Q114" s="154"/>
      <c r="R114" s="154"/>
      <c r="S114" s="154"/>
      <c r="T114" s="351" t="b" cm="1">
        <f t="array" ref="T114">T113</f>
        <v>1</v>
      </c>
      <c r="U114" s="154"/>
      <c r="V114" s="154"/>
      <c r="W114" s="154"/>
      <c r="X114" s="1024"/>
      <c r="Y114" s="154"/>
      <c r="Z114" s="1008"/>
      <c r="AA114" s="154"/>
      <c r="AB114" s="124" t="s">
        <v>1598</v>
      </c>
      <c r="AC114" s="125" t="s">
        <v>1599</v>
      </c>
      <c r="AD114" s="124" t="s">
        <v>1461</v>
      </c>
      <c r="AE114" s="147" t="s">
        <v>859</v>
      </c>
      <c r="AF114" s="567" cm="1">
        <f t="array" ref="AF114">AF115</f>
        <v>0</v>
      </c>
      <c r="AG114" s="567" cm="1">
        <f t="array" ref="AG114">AG115</f>
        <v>0</v>
      </c>
      <c r="AH114" s="568"/>
      <c r="AI114" s="154"/>
      <c r="AJ114" s="154"/>
      <c r="AK114" s="154"/>
      <c r="AL114" s="686" t="s">
        <v>1600</v>
      </c>
      <c r="AM114" s="154"/>
      <c r="AN114" s="154"/>
      <c r="AO114" s="154"/>
      <c r="AP114" s="154"/>
      <c r="AQ114" s="154"/>
    </row>
    <row r="115" spans="1:43" ht="32.25" customHeight="1">
      <c r="E115" s="446">
        <v>33.75</v>
      </c>
      <c r="F115" s="3" t="str" cm="1">
        <f t="array" aca="1" ref="F115" ca="1">OFFSET(E115,-1,1)</f>
        <v>1</v>
      </c>
      <c r="G115" s="22"/>
      <c r="H115" s="4"/>
      <c r="I115" s="22" t="s">
        <v>525</v>
      </c>
      <c r="K115" s="40"/>
      <c r="L115" s="40"/>
      <c r="M115" s="40"/>
      <c r="T115" s="351" t="b" cm="1">
        <f t="array" ref="T115">T114</f>
        <v>1</v>
      </c>
      <c r="X115" s="1024"/>
      <c r="Z115" s="1008"/>
      <c r="AB115" s="133" t="s">
        <v>277</v>
      </c>
      <c r="AC115" s="345" t="s">
        <v>1601</v>
      </c>
      <c r="AD115" s="7" t="s">
        <v>1602</v>
      </c>
      <c r="AE115" s="9" t="s">
        <v>859</v>
      </c>
      <c r="AF115" s="618">
        <f>AF116+AF117</f>
        <v>0</v>
      </c>
      <c r="AG115" s="618">
        <f>AG116+AG117</f>
        <v>0</v>
      </c>
      <c r="AH115" s="103"/>
      <c r="AL115" s="654" t="s">
        <v>1603</v>
      </c>
    </row>
    <row r="116" spans="1:43" ht="43.5" customHeight="1">
      <c r="E116" s="446">
        <v>45</v>
      </c>
      <c r="F116" s="3" t="str" cm="1">
        <f t="array" aca="1" ref="F116" ca="1">OFFSET(E116,-1,1)</f>
        <v>1</v>
      </c>
      <c r="G116" s="22"/>
      <c r="H116" s="4"/>
      <c r="I116" s="22" t="s">
        <v>1604</v>
      </c>
      <c r="K116" s="40"/>
      <c r="L116" s="40"/>
      <c r="M116" s="40"/>
      <c r="T116" s="351" t="b" cm="1">
        <f t="array" ref="T116">T115</f>
        <v>1</v>
      </c>
      <c r="X116" s="1024"/>
      <c r="Z116" s="1008"/>
      <c r="AB116" s="133" t="s">
        <v>936</v>
      </c>
      <c r="AC116" s="127" t="s">
        <v>1605</v>
      </c>
      <c r="AD116" s="7" t="s">
        <v>1606</v>
      </c>
      <c r="AE116" s="9" t="s">
        <v>859</v>
      </c>
      <c r="AF116" s="141"/>
      <c r="AG116" s="141"/>
      <c r="AH116" s="103"/>
      <c r="AL116" s="654" t="s">
        <v>1607</v>
      </c>
    </row>
    <row r="117" spans="1:43" ht="32.25" customHeight="1">
      <c r="E117" s="446">
        <v>33.75</v>
      </c>
      <c r="F117" s="3" t="str" cm="1">
        <f t="array" aca="1" ref="F117" ca="1">OFFSET(E117,-1,1)</f>
        <v>1</v>
      </c>
      <c r="G117" s="22"/>
      <c r="H117" s="4"/>
      <c r="I117" s="22" t="s">
        <v>1608</v>
      </c>
      <c r="K117" s="40"/>
      <c r="L117" s="40"/>
      <c r="M117" s="40"/>
      <c r="T117" s="351" t="b" cm="1">
        <f t="array" ref="T117">T116</f>
        <v>1</v>
      </c>
      <c r="X117" s="1024"/>
      <c r="Z117" s="1008"/>
      <c r="AB117" s="133" t="s">
        <v>939</v>
      </c>
      <c r="AC117" s="127" t="s">
        <v>1609</v>
      </c>
      <c r="AD117" s="7" t="s">
        <v>1610</v>
      </c>
      <c r="AE117" s="9" t="s">
        <v>859</v>
      </c>
      <c r="AF117" s="141"/>
      <c r="AG117" s="141"/>
      <c r="AH117" s="103"/>
      <c r="AL117" s="654" t="s">
        <v>1611</v>
      </c>
    </row>
    <row r="118" spans="1:43" ht="33.75" customHeight="1">
      <c r="E118" s="446">
        <v>35</v>
      </c>
      <c r="F118" s="3" t="str" cm="1">
        <f t="array" aca="1" ref="F118" ca="1">OFFSET(E118,-1,1)</f>
        <v>1</v>
      </c>
      <c r="G118" s="22"/>
      <c r="H118" s="4"/>
      <c r="I118" s="22" t="s">
        <v>323</v>
      </c>
      <c r="K118" s="40" t="str">
        <f ca="1">F118&amp;"1komm"</f>
        <v>11komm</v>
      </c>
      <c r="L118" s="607" cm="1">
        <f t="array" ref="L118">AH118</f>
        <v>0</v>
      </c>
      <c r="M118" s="40"/>
      <c r="T118" s="351" t="b" cm="1">
        <f t="array" ref="T118">T117</f>
        <v>1</v>
      </c>
      <c r="X118" s="1024"/>
      <c r="Z118" s="1008"/>
      <c r="AB118" s="147" t="s">
        <v>1612</v>
      </c>
      <c r="AC118" s="125" t="s">
        <v>1613</v>
      </c>
      <c r="AD118" s="124" t="s">
        <v>1614</v>
      </c>
      <c r="AE118" s="147" t="s">
        <v>859</v>
      </c>
      <c r="AF118" s="280"/>
      <c r="AG118" s="280"/>
      <c r="AH118" s="103"/>
      <c r="AL118" s="654" t="s">
        <v>1615</v>
      </c>
    </row>
    <row r="119" spans="1:43" ht="107.25" customHeight="1">
      <c r="E119" s="446">
        <v>110</v>
      </c>
      <c r="F119" s="3" t="str" cm="1">
        <f t="array" aca="1" ref="F119" ca="1">OFFSET(E119,-1,1)</f>
        <v>1</v>
      </c>
      <c r="G119" s="22"/>
      <c r="H119" s="4"/>
      <c r="I119" s="22" t="s">
        <v>325</v>
      </c>
      <c r="K119" s="40" t="str">
        <f ca="1">F119&amp;"2komm"</f>
        <v>12komm</v>
      </c>
      <c r="L119" s="607" cm="1">
        <f t="array" ref="L119">AH119</f>
        <v>0</v>
      </c>
      <c r="M119" s="40"/>
      <c r="T119" s="351" t="b" cm="1">
        <f t="array" ref="T119">T118</f>
        <v>1</v>
      </c>
      <c r="X119" s="1024"/>
      <c r="Z119" s="1008"/>
      <c r="AB119" s="147" t="s">
        <v>1616</v>
      </c>
      <c r="AC119" s="125" t="s">
        <v>1617</v>
      </c>
      <c r="AD119" s="124" t="s">
        <v>1618</v>
      </c>
      <c r="AE119" s="147" t="s">
        <v>859</v>
      </c>
      <c r="AF119" s="280"/>
      <c r="AG119" s="280"/>
      <c r="AH119" s="103"/>
      <c r="AL119" s="654" t="s">
        <v>1050</v>
      </c>
    </row>
    <row r="120" spans="1:43" ht="76.5" hidden="1" customHeight="1">
      <c r="B120" s="43" t="b">
        <f>S78="Водоотведение"</f>
        <v>0</v>
      </c>
      <c r="E120" s="446">
        <v>78.75</v>
      </c>
      <c r="F120" s="3" t="str" cm="1">
        <f t="array" aca="1" ref="F120" ca="1">OFFSET(E120,-1,1)</f>
        <v>1</v>
      </c>
      <c r="H120" s="2"/>
      <c r="I120" s="38" t="s">
        <v>324</v>
      </c>
      <c r="K120" s="40" t="str">
        <f ca="1">F120&amp;"3komm"</f>
        <v>13komm</v>
      </c>
      <c r="L120" s="607" cm="1">
        <f t="array" ref="L120">AH120</f>
        <v>0</v>
      </c>
      <c r="M120" s="40"/>
      <c r="T120" s="351" t="b" cm="1">
        <f t="array" ref="T120">T119</f>
        <v>1</v>
      </c>
      <c r="X120" s="1024"/>
      <c r="Z120" s="1008"/>
      <c r="AB120" s="147" t="s">
        <v>1619</v>
      </c>
      <c r="AC120" s="125" t="s">
        <v>1620</v>
      </c>
      <c r="AD120" s="124"/>
      <c r="AE120" s="147" t="s">
        <v>859</v>
      </c>
      <c r="AF120" s="894"/>
      <c r="AG120" s="773">
        <f ca="1">IFERROR(SUMIFS('Плата за негативное возд'!$AL$24:$AL$32,'Плата за негативное возд'!$F$24:$F$32,F120,'Плата за негативное возд'!$AB$24:$AB$32,"1"),0)</f>
        <v>0</v>
      </c>
      <c r="AH120" s="816"/>
      <c r="AL120" s="654" t="s">
        <v>1621</v>
      </c>
    </row>
    <row r="121" spans="1:43" ht="54.75" hidden="1" customHeight="1">
      <c r="B121" s="43" t="b" cm="1">
        <f t="array" ref="B121">B120</f>
        <v>0</v>
      </c>
      <c r="E121" s="446">
        <v>56.25</v>
      </c>
      <c r="F121" s="3" t="str" cm="1">
        <f t="array" aca="1" ref="F121" ca="1">OFFSET(E121,-1,1)</f>
        <v>1</v>
      </c>
      <c r="H121" s="2"/>
      <c r="I121" s="38" t="s">
        <v>557</v>
      </c>
      <c r="K121" s="40" t="str">
        <f ca="1">F121&amp;"4komm"</f>
        <v>14komm</v>
      </c>
      <c r="L121" s="607" cm="1">
        <f t="array" ref="L121">AH121</f>
        <v>0</v>
      </c>
      <c r="M121" s="40"/>
      <c r="T121" s="351" t="b" cm="1">
        <f t="array" ref="T121">T120</f>
        <v>1</v>
      </c>
      <c r="X121" s="1024"/>
      <c r="Z121" s="1008"/>
      <c r="AB121" s="147" t="s">
        <v>1622</v>
      </c>
      <c r="AC121" s="125" t="s">
        <v>1623</v>
      </c>
      <c r="AD121" s="124"/>
      <c r="AE121" s="147" t="s">
        <v>859</v>
      </c>
      <c r="AF121" s="894"/>
      <c r="AG121" s="773">
        <f ca="1">IFERROR(SUMIFS('Плата за негативное возд'!$AL$24:$AL$32,'Плата за негативное возд'!$F$24:$F$32,F121,'Плата за негативное возд'!$AB$24:$AB$32,"2"),0)</f>
        <v>0</v>
      </c>
      <c r="AH121" s="816"/>
      <c r="AL121" s="654" t="s">
        <v>1624</v>
      </c>
    </row>
    <row r="122" spans="1:43" ht="14.25" customHeight="1">
      <c r="E122" s="446">
        <v>15</v>
      </c>
      <c r="F122" s="3" t="str" cm="1">
        <f t="array" aca="1" ref="F122" ca="1">OFFSET(E122,-1,1)</f>
        <v>1</v>
      </c>
      <c r="H122" s="4"/>
      <c r="I122" s="38" t="s">
        <v>560</v>
      </c>
      <c r="K122" s="40" t="str">
        <f ca="1">F122&amp;"5komm"</f>
        <v>15komm</v>
      </c>
      <c r="L122" s="607" cm="1">
        <f t="array" ref="L122">AH122</f>
        <v>0</v>
      </c>
      <c r="M122" s="40"/>
      <c r="T122" s="351" t="b" cm="1">
        <f t="array" ref="T122">T121</f>
        <v>1</v>
      </c>
      <c r="X122" s="1024"/>
      <c r="Z122" s="1008"/>
      <c r="AB122" s="147" t="str">
        <f>IF(B121,"VII","V")</f>
        <v>V</v>
      </c>
      <c r="AC122" s="125" t="s">
        <v>1625</v>
      </c>
      <c r="AD122" s="124"/>
      <c r="AE122" s="147" t="s">
        <v>859</v>
      </c>
      <c r="AF122" s="280"/>
      <c r="AG122" s="280"/>
      <c r="AH122" s="103"/>
      <c r="AL122" s="654" t="s">
        <v>1626</v>
      </c>
    </row>
    <row r="123" spans="1:43" s="891" customFormat="1" ht="14.25" customHeight="1">
      <c r="A123" s="154"/>
      <c r="B123" s="327"/>
      <c r="C123" s="154"/>
      <c r="D123" s="154"/>
      <c r="E123" s="499">
        <v>15</v>
      </c>
      <c r="F123" s="3" t="str" cm="1">
        <f t="array" aca="1" ref="F123" ca="1">OFFSET(E123,-1,1)</f>
        <v>1</v>
      </c>
      <c r="G123" s="373"/>
      <c r="H123" s="154"/>
      <c r="I123" s="154" t="s">
        <v>613</v>
      </c>
      <c r="J123" s="154"/>
      <c r="K123" s="40" t="str">
        <f ca="1">F123&amp;"6komm"</f>
        <v>16komm</v>
      </c>
      <c r="L123" s="607" cm="1">
        <f t="array" ref="L123">AH123</f>
        <v>0</v>
      </c>
      <c r="M123" s="373"/>
      <c r="N123" s="154"/>
      <c r="O123" s="154"/>
      <c r="P123" s="154"/>
      <c r="Q123" s="154"/>
      <c r="R123" s="154"/>
      <c r="S123" s="154"/>
      <c r="T123" s="351" t="b" cm="1">
        <f t="array" ref="T123">T122</f>
        <v>1</v>
      </c>
      <c r="U123" s="154"/>
      <c r="V123" s="154"/>
      <c r="W123" s="154"/>
      <c r="X123" s="1024"/>
      <c r="Y123" s="154"/>
      <c r="Z123" s="1008"/>
      <c r="AA123" s="154"/>
      <c r="AB123" s="147" t="str">
        <f>IF(B121,"VIII","VI")</f>
        <v>VI</v>
      </c>
      <c r="AC123" s="125" t="s">
        <v>1587</v>
      </c>
      <c r="AD123" s="124"/>
      <c r="AE123" s="147" t="s">
        <v>859</v>
      </c>
      <c r="AF123" s="280">
        <f>AF124+AF125</f>
        <v>0</v>
      </c>
      <c r="AG123" s="280">
        <f>AG124+AG125</f>
        <v>0</v>
      </c>
      <c r="AH123" s="103"/>
      <c r="AI123" s="154"/>
      <c r="AJ123" s="154"/>
      <c r="AK123" s="154"/>
      <c r="AL123" s="686" t="s">
        <v>1627</v>
      </c>
      <c r="AM123" s="154"/>
      <c r="AN123" s="154"/>
      <c r="AO123" s="154"/>
      <c r="AP123" s="154"/>
      <c r="AQ123" s="154"/>
    </row>
    <row r="124" spans="1:43" ht="21.75" customHeight="1">
      <c r="E124" s="446">
        <v>22.5</v>
      </c>
      <c r="F124" s="3" t="str" cm="1">
        <f t="array" aca="1" ref="F124" ca="1">OFFSET(E124,-1,1)</f>
        <v>1</v>
      </c>
      <c r="H124" s="4"/>
      <c r="I124" s="38" t="s">
        <v>616</v>
      </c>
      <c r="K124" s="40" t="str">
        <f ca="1">F124&amp;"7komm"</f>
        <v>17komm</v>
      </c>
      <c r="L124" s="607" cm="1">
        <f t="array" ref="L124">AH124</f>
        <v>0</v>
      </c>
      <c r="M124" s="40"/>
      <c r="T124" s="351" t="b" cm="1">
        <f t="array" ref="T124">T123</f>
        <v>1</v>
      </c>
      <c r="X124" s="1024"/>
      <c r="Z124" s="1008"/>
      <c r="AB124" s="9">
        <v>1</v>
      </c>
      <c r="AC124" s="127" t="s">
        <v>1590</v>
      </c>
      <c r="AD124" s="7"/>
      <c r="AE124" s="9" t="s">
        <v>859</v>
      </c>
      <c r="AF124" s="141"/>
      <c r="AG124" s="141"/>
      <c r="AH124" s="103"/>
      <c r="AL124" s="654" t="s">
        <v>1628</v>
      </c>
    </row>
    <row r="125" spans="1:43" ht="21.75" customHeight="1">
      <c r="E125" s="446">
        <v>22.5</v>
      </c>
      <c r="F125" s="3" t="str" cm="1">
        <f t="array" aca="1" ref="F125" ca="1">OFFSET(E125,-1,1)</f>
        <v>1</v>
      </c>
      <c r="H125" s="4"/>
      <c r="I125" s="38" t="s">
        <v>620</v>
      </c>
      <c r="K125" s="40" t="str">
        <f ca="1">F125&amp;"8komm"</f>
        <v>18komm</v>
      </c>
      <c r="L125" s="607" cm="1">
        <f t="array" ref="L125">AH125</f>
        <v>0</v>
      </c>
      <c r="M125" s="40"/>
      <c r="T125" s="351" t="b" cm="1">
        <f t="array" ref="T125">T124</f>
        <v>1</v>
      </c>
      <c r="X125" s="1024"/>
      <c r="Z125" s="1008"/>
      <c r="AB125" s="9">
        <v>2</v>
      </c>
      <c r="AC125" s="127" t="s">
        <v>1592</v>
      </c>
      <c r="AD125" s="7"/>
      <c r="AE125" s="9" t="s">
        <v>859</v>
      </c>
      <c r="AF125" s="141"/>
      <c r="AG125" s="141"/>
      <c r="AH125" s="103"/>
      <c r="AL125" s="654" t="s">
        <v>1629</v>
      </c>
    </row>
    <row r="126" spans="1:43" ht="14.25" customHeight="1">
      <c r="E126" s="446">
        <v>15</v>
      </c>
      <c r="F126" s="3" t="str" cm="1">
        <f t="array" aca="1" ref="F126" ca="1">OFFSET(E126,-1,1)</f>
        <v>1</v>
      </c>
      <c r="H126" s="4"/>
      <c r="I126" s="38" t="s">
        <v>628</v>
      </c>
      <c r="K126" s="40" t="str">
        <f ca="1">F126&amp;"9komm"</f>
        <v>19komm</v>
      </c>
      <c r="L126" s="607" cm="1">
        <f t="array" ref="L126">AH126</f>
        <v>0</v>
      </c>
      <c r="M126" s="40"/>
      <c r="T126" s="351" t="b" cm="1">
        <f t="array" ref="T126">T125</f>
        <v>1</v>
      </c>
      <c r="X126" s="1024"/>
      <c r="Z126" s="1008"/>
      <c r="AB126" s="147" t="str">
        <f>IF(B121,"IX","VIII")</f>
        <v>VIII</v>
      </c>
      <c r="AC126" s="125" t="s">
        <v>1594</v>
      </c>
      <c r="AD126" s="124"/>
      <c r="AE126" s="147" t="s">
        <v>859</v>
      </c>
      <c r="AF126" s="280"/>
      <c r="AG126" s="280"/>
      <c r="AH126" s="103"/>
      <c r="AL126" s="654" t="s">
        <v>1630</v>
      </c>
    </row>
    <row r="127" spans="1:43" ht="14.25" customHeight="1">
      <c r="E127" s="446">
        <v>15</v>
      </c>
      <c r="F127" s="3" t="str" cm="1">
        <f t="array" aca="1" ref="F127" ca="1">OFFSET(E127,-1,1)</f>
        <v>1</v>
      </c>
      <c r="H127" s="4"/>
      <c r="I127" s="38" t="s">
        <v>635</v>
      </c>
      <c r="K127" s="40" t="str">
        <f ca="1">F127&amp;"10komm"</f>
        <v>110komm</v>
      </c>
      <c r="L127" s="607" cm="1">
        <f t="array" ref="L127">AH127</f>
        <v>0</v>
      </c>
      <c r="M127" s="40"/>
      <c r="T127" s="351" t="b" cm="1">
        <f t="array" ref="T127">T126</f>
        <v>1</v>
      </c>
      <c r="X127" s="1024"/>
      <c r="Z127" s="1008"/>
      <c r="AB127" s="147" t="str">
        <f>IF(B121,"X","IX")</f>
        <v>IX</v>
      </c>
      <c r="AC127" s="125" t="s">
        <v>1596</v>
      </c>
      <c r="AD127" s="124"/>
      <c r="AE127" s="147" t="s">
        <v>859</v>
      </c>
      <c r="AF127" s="280"/>
      <c r="AG127" s="280"/>
      <c r="AH127" s="103"/>
      <c r="AL127" s="654" t="s">
        <v>1631</v>
      </c>
    </row>
    <row r="128" spans="1:43" s="891" customFormat="1" ht="14.25" customHeight="1">
      <c r="A128" s="154"/>
      <c r="B128" s="327"/>
      <c r="C128" s="154"/>
      <c r="D128" s="154"/>
      <c r="E128" s="499">
        <v>15</v>
      </c>
      <c r="F128" s="3" t="str" cm="1">
        <f t="array" aca="1" ref="F128" ca="1">OFFSET(E128,-1,1)</f>
        <v>1</v>
      </c>
      <c r="G128" s="373"/>
      <c r="H128" s="154"/>
      <c r="I128" s="154" t="s">
        <v>792</v>
      </c>
      <c r="J128" s="154"/>
      <c r="K128" s="40" t="str">
        <f ca="1">F128&amp;"11komm"</f>
        <v>111komm</v>
      </c>
      <c r="L128" s="607" cm="1">
        <f t="array" ref="L128">AH128</f>
        <v>0</v>
      </c>
      <c r="M128" s="373"/>
      <c r="N128" s="154"/>
      <c r="O128" s="154"/>
      <c r="P128" s="154"/>
      <c r="Q128" s="154"/>
      <c r="R128" s="154"/>
      <c r="S128" s="154"/>
      <c r="T128" s="351" t="b" cm="1">
        <f t="array" ref="T128">T127</f>
        <v>1</v>
      </c>
      <c r="U128" s="154"/>
      <c r="V128" s="154"/>
      <c r="W128" s="154"/>
      <c r="X128" s="1024"/>
      <c r="Y128" s="154"/>
      <c r="Z128" s="1008"/>
      <c r="AA128" s="154"/>
      <c r="AB128" s="147" t="str">
        <f>IF(B121,"XI","X")</f>
        <v>X</v>
      </c>
      <c r="AC128" s="132" t="s">
        <v>1632</v>
      </c>
      <c r="AD128" s="124"/>
      <c r="AE128" s="147" t="s">
        <v>859</v>
      </c>
      <c r="AF128" s="567">
        <f ca="1">AF79+AF114+AF118+AF119+AF120+AF121+AF122+AF123+AF126+AF127</f>
        <v>841.61</v>
      </c>
      <c r="AG128" s="567">
        <f ca="1">AG79+AG114+AG118+AG119+AG120+AG121+AG122+AG123+AG126+AG127</f>
        <v>12305.45</v>
      </c>
      <c r="AH128" s="103"/>
      <c r="AI128" s="154"/>
      <c r="AJ128" s="154"/>
      <c r="AK128" s="154"/>
      <c r="AL128" s="686" t="s">
        <v>1633</v>
      </c>
      <c r="AM128" s="154"/>
      <c r="AN128" s="154"/>
      <c r="AO128" s="154"/>
      <c r="AP128" s="154"/>
      <c r="AQ128" s="154"/>
    </row>
    <row r="129" spans="1:43" ht="10.9" customHeight="1">
      <c r="A129"/>
      <c r="B129" s="326"/>
      <c r="C129"/>
      <c r="D129"/>
      <c r="E129" s="452">
        <v>11.25</v>
      </c>
      <c r="F129"/>
      <c r="G129" s="366"/>
      <c r="H129"/>
      <c r="I129"/>
      <c r="J129"/>
      <c r="K129" s="40"/>
      <c r="L129" s="607"/>
      <c r="M129" s="366"/>
      <c r="N129"/>
      <c r="O129"/>
      <c r="P129"/>
      <c r="Q129"/>
      <c r="R129"/>
      <c r="S129"/>
      <c r="T129"/>
      <c r="U129" s="314" t="s">
        <v>175</v>
      </c>
      <c r="V129" s="56" t="s">
        <v>1634</v>
      </c>
      <c r="W129"/>
      <c r="X129"/>
      <c r="Y129"/>
      <c r="Z129"/>
      <c r="AA129"/>
      <c r="AB129"/>
      <c r="AC129" s="314"/>
      <c r="AD129" s="314"/>
      <c r="AE129" s="314"/>
      <c r="AF129" s="314"/>
      <c r="AG129"/>
      <c r="AH129"/>
      <c r="AI129"/>
      <c r="AJ129"/>
      <c r="AK129"/>
      <c r="AL129" s="659"/>
      <c r="AM129"/>
      <c r="AN129"/>
      <c r="AO129"/>
      <c r="AP129"/>
      <c r="AQ129" s="19"/>
    </row>
    <row r="130" spans="1:43" ht="14.65" customHeight="1">
      <c r="E130" s="446">
        <v>15</v>
      </c>
      <c r="AB130" s="1028" t="s">
        <v>396</v>
      </c>
      <c r="AC130" s="1028"/>
      <c r="AD130" s="1028"/>
      <c r="AE130" s="1028"/>
      <c r="AF130" s="1028"/>
      <c r="AG130" s="1028"/>
      <c r="AH130" s="1028"/>
    </row>
    <row r="131" spans="1:43" ht="39.950000000000003" customHeight="1">
      <c r="E131" s="446">
        <v>15</v>
      </c>
      <c r="AA131" s="87"/>
      <c r="AB131" s="1095" t="s">
        <v>1635</v>
      </c>
      <c r="AC131" s="1095"/>
      <c r="AD131" s="1095"/>
      <c r="AE131" s="1095"/>
      <c r="AF131" s="1095"/>
      <c r="AG131" s="1095"/>
      <c r="AH131" s="1095"/>
    </row>
    <row r="132" spans="1:43" ht="14.65" hidden="1" customHeight="1">
      <c r="E132" s="446">
        <v>15</v>
      </c>
      <c r="T132" s="351" t="b">
        <f>ROW(W132)&gt;ROW(W$132)</f>
        <v>0</v>
      </c>
      <c r="W132" s="515" t="s">
        <v>171</v>
      </c>
      <c r="AA132" s="319" t="s">
        <v>172</v>
      </c>
      <c r="AB132" s="1096" t="s">
        <v>124</v>
      </c>
      <c r="AC132" s="1096"/>
      <c r="AD132" s="1096"/>
      <c r="AE132" s="1096"/>
      <c r="AF132" s="1096"/>
      <c r="AG132" s="1096"/>
      <c r="AH132" s="1096"/>
    </row>
    <row r="133" spans="1:43" ht="14.65" customHeight="1">
      <c r="E133" s="446">
        <v>15</v>
      </c>
      <c r="W133" s="515" t="s">
        <v>407</v>
      </c>
      <c r="AB133" s="472"/>
      <c r="AC133" s="380" t="s">
        <v>408</v>
      </c>
      <c r="AD133" s="217"/>
      <c r="AE133" s="217"/>
      <c r="AF133" s="217"/>
      <c r="AG133" s="217"/>
      <c r="AH133" s="281"/>
    </row>
    <row r="134" spans="1:43" ht="10.7" customHeight="1">
      <c r="E134" s="446">
        <v>11</v>
      </c>
      <c r="AI134" s="22"/>
    </row>
    <row r="135" spans="1:43" ht="10.7" hidden="1" customHeight="1">
      <c r="E135" s="446">
        <v>11</v>
      </c>
      <c r="AB135" s="59" t="s">
        <v>1636</v>
      </c>
    </row>
  </sheetData>
  <sheetProtection formatColumns="0" formatRows="0" insertRows="0" deleteColumns="0" deleteRows="0" sort="0" autoFilter="0"/>
  <mergeCells count="12">
    <mergeCell ref="AH24:AH25"/>
    <mergeCell ref="AB24:AB25"/>
    <mergeCell ref="AC24:AC25"/>
    <mergeCell ref="AD24:AD25"/>
    <mergeCell ref="AE24:AE25"/>
    <mergeCell ref="AB130:AH130"/>
    <mergeCell ref="AB131:AH131"/>
    <mergeCell ref="AB132:AH132"/>
    <mergeCell ref="X27:X77"/>
    <mergeCell ref="Z27:Z77"/>
    <mergeCell ref="X78:X128"/>
    <mergeCell ref="Z78:Z128"/>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9ED28-1B24-8618-76BE-685CDC45EDEC}">
  <sheetPr>
    <tabColor rgb="FF002060"/>
    <outlinePr summaryBelow="0" summaryRight="0"/>
  </sheetPr>
  <dimension ref="A1:GD146"/>
  <sheetViews>
    <sheetView showGridLines="0" workbookViewId="0">
      <pane xSplit="29" ySplit="26" topLeftCell="AD91" activePane="bottomRight" state="frozen"/>
      <selection pane="topRight" activeCell="AD1" sqref="AD1"/>
      <selection pane="bottomLeft" activeCell="A27" sqref="A27"/>
      <selection pane="bottomRight" activeCell="AE91" sqref="AE91"/>
    </sheetView>
  </sheetViews>
  <sheetFormatPr defaultColWidth="9.140625" defaultRowHeight="11.25" customHeight="1"/>
  <cols>
    <col min="1" max="1" width="3.5703125" style="17" hidden="1" customWidth="1"/>
    <col min="2" max="2" width="8.5703125" style="382" hidden="1" customWidth="1"/>
    <col min="3" max="4" width="3.5703125" style="17" hidden="1" customWidth="1"/>
    <col min="5" max="5" width="3.5703125" style="459" hidden="1" customWidth="1"/>
    <col min="6" max="6" width="5.42578125" style="370"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56" style="120" customWidth="1"/>
    <col min="29" max="29" width="12.5703125" style="60" customWidth="1"/>
    <col min="30" max="38" width="14.140625" style="17" customWidth="1"/>
    <col min="39" max="179" width="14.140625" style="17" hidden="1" customWidth="1"/>
    <col min="180" max="180" width="3" style="17" customWidth="1"/>
    <col min="181" max="181" width="9.140625" style="17" hidden="1"/>
    <col min="182" max="182" width="31.7109375" style="669" hidden="1" customWidth="1"/>
    <col min="183" max="184" width="9.140625" style="669" hidden="1"/>
    <col min="185" max="186" width="9.140625" style="459" hidden="1"/>
  </cols>
  <sheetData>
    <row r="1" spans="1:186" ht="11.25" hidden="1" customHeight="1">
      <c r="E1" s="17"/>
      <c r="F1" s="370" t="s">
        <v>309</v>
      </c>
      <c r="H1" s="17" t="s">
        <v>320</v>
      </c>
      <c r="I1" s="17" t="s">
        <v>346</v>
      </c>
      <c r="T1" s="351" t="s">
        <v>92</v>
      </c>
      <c r="U1" s="351" t="s">
        <v>97</v>
      </c>
      <c r="V1" s="351" t="s">
        <v>93</v>
      </c>
      <c r="W1" s="351" t="s">
        <v>94</v>
      </c>
      <c r="X1" s="351" t="s">
        <v>95</v>
      </c>
      <c r="Y1" s="353" t="s">
        <v>311</v>
      </c>
      <c r="Z1" s="351" t="s">
        <v>99</v>
      </c>
      <c r="AA1" s="353" t="s">
        <v>96</v>
      </c>
      <c r="AB1" s="352" t="s">
        <v>98</v>
      </c>
      <c r="FZ1" s="669" t="s">
        <v>312</v>
      </c>
      <c r="GA1" s="669" t="s">
        <v>313</v>
      </c>
      <c r="GB1" s="669" t="s">
        <v>314</v>
      </c>
      <c r="GC1" s="459" t="s">
        <v>317</v>
      </c>
      <c r="GD1" s="459" t="s">
        <v>318</v>
      </c>
    </row>
    <row r="2" spans="1:186" s="46" customFormat="1" ht="11.25" hidden="1" customHeight="1">
      <c r="B2" s="611" t="s">
        <v>18</v>
      </c>
      <c r="F2" s="370"/>
      <c r="AB2" s="325"/>
      <c r="AC2" s="325"/>
      <c r="AG2" s="375" t="b">
        <f t="shared" ref="AG2:BL2" si="0">AG6&lt;=last_year_vis</f>
        <v>1</v>
      </c>
      <c r="AH2" s="375" t="b">
        <f t="shared" si="0"/>
        <v>1</v>
      </c>
      <c r="AI2" s="375" t="b">
        <f t="shared" si="0"/>
        <v>1</v>
      </c>
      <c r="AJ2" s="375" t="b">
        <f t="shared" si="0"/>
        <v>1</v>
      </c>
      <c r="AK2" s="375" t="b">
        <f t="shared" si="0"/>
        <v>1</v>
      </c>
      <c r="AL2" s="375" t="b">
        <f t="shared" si="0"/>
        <v>1</v>
      </c>
      <c r="AM2" s="375" t="b">
        <f t="shared" si="0"/>
        <v>0</v>
      </c>
      <c r="AN2" s="375" t="b">
        <f t="shared" si="0"/>
        <v>0</v>
      </c>
      <c r="AO2" s="375" t="b">
        <f t="shared" si="0"/>
        <v>0</v>
      </c>
      <c r="AP2" s="375" t="b">
        <f t="shared" si="0"/>
        <v>0</v>
      </c>
      <c r="AQ2" s="375" t="b">
        <f t="shared" si="0"/>
        <v>0</v>
      </c>
      <c r="AR2" s="375" t="b">
        <f t="shared" si="0"/>
        <v>0</v>
      </c>
      <c r="AS2" s="375" t="b">
        <f t="shared" si="0"/>
        <v>0</v>
      </c>
      <c r="AT2" s="375" t="b">
        <f t="shared" si="0"/>
        <v>0</v>
      </c>
      <c r="AU2" s="375" t="b">
        <f t="shared" si="0"/>
        <v>0</v>
      </c>
      <c r="AV2" s="375" t="b">
        <f t="shared" si="0"/>
        <v>0</v>
      </c>
      <c r="AW2" s="375" t="b">
        <f t="shared" si="0"/>
        <v>0</v>
      </c>
      <c r="AX2" s="375" t="b">
        <f t="shared" si="0"/>
        <v>0</v>
      </c>
      <c r="AY2" s="375" t="b">
        <f t="shared" si="0"/>
        <v>0</v>
      </c>
      <c r="AZ2" s="375" t="b">
        <f t="shared" si="0"/>
        <v>0</v>
      </c>
      <c r="BA2" s="375" t="b">
        <f t="shared" si="0"/>
        <v>0</v>
      </c>
      <c r="BB2" s="375" t="b">
        <f t="shared" si="0"/>
        <v>0</v>
      </c>
      <c r="BC2" s="375" t="b">
        <f t="shared" si="0"/>
        <v>0</v>
      </c>
      <c r="BD2" s="375" t="b">
        <f t="shared" si="0"/>
        <v>0</v>
      </c>
      <c r="BE2" s="375" t="b">
        <f t="shared" si="0"/>
        <v>0</v>
      </c>
      <c r="BF2" s="375" t="b">
        <f t="shared" si="0"/>
        <v>0</v>
      </c>
      <c r="BG2" s="375" t="b">
        <f t="shared" si="0"/>
        <v>0</v>
      </c>
      <c r="BH2" s="375" t="b">
        <f t="shared" si="0"/>
        <v>0</v>
      </c>
      <c r="BI2" s="375" t="b">
        <f t="shared" si="0"/>
        <v>0</v>
      </c>
      <c r="BJ2" s="375" t="b">
        <f t="shared" si="0"/>
        <v>0</v>
      </c>
      <c r="BK2" s="375" t="b">
        <f t="shared" si="0"/>
        <v>0</v>
      </c>
      <c r="BL2" s="375" t="b">
        <f t="shared" si="0"/>
        <v>0</v>
      </c>
      <c r="BM2" s="375" t="b">
        <f t="shared" ref="BM2:CR2" si="1">BM6&lt;=last_year_vis</f>
        <v>0</v>
      </c>
      <c r="BN2" s="375" t="b">
        <f t="shared" si="1"/>
        <v>0</v>
      </c>
      <c r="BO2" s="375" t="b">
        <f t="shared" si="1"/>
        <v>0</v>
      </c>
      <c r="BP2" s="375" t="b">
        <f t="shared" si="1"/>
        <v>0</v>
      </c>
      <c r="BQ2" s="375" t="b">
        <f t="shared" si="1"/>
        <v>0</v>
      </c>
      <c r="BR2" s="375" t="b">
        <f t="shared" si="1"/>
        <v>0</v>
      </c>
      <c r="BS2" s="375" t="b">
        <f t="shared" si="1"/>
        <v>0</v>
      </c>
      <c r="BT2" s="375" t="b">
        <f t="shared" si="1"/>
        <v>0</v>
      </c>
      <c r="BU2" s="375" t="b">
        <f t="shared" si="1"/>
        <v>0</v>
      </c>
      <c r="BV2" s="375" t="b">
        <f t="shared" si="1"/>
        <v>0</v>
      </c>
      <c r="BW2" s="375" t="b">
        <f t="shared" si="1"/>
        <v>0</v>
      </c>
      <c r="BX2" s="375" t="b">
        <f t="shared" si="1"/>
        <v>0</v>
      </c>
      <c r="BY2" s="375" t="b">
        <f t="shared" si="1"/>
        <v>0</v>
      </c>
      <c r="BZ2" s="375" t="b">
        <f t="shared" si="1"/>
        <v>0</v>
      </c>
      <c r="CA2" s="375" t="b">
        <f t="shared" si="1"/>
        <v>0</v>
      </c>
      <c r="CB2" s="375" t="b">
        <f t="shared" si="1"/>
        <v>0</v>
      </c>
      <c r="CC2" s="375" t="b">
        <f t="shared" si="1"/>
        <v>0</v>
      </c>
      <c r="CD2" s="375" t="b">
        <f t="shared" si="1"/>
        <v>0</v>
      </c>
      <c r="CE2" s="375" t="b">
        <f t="shared" si="1"/>
        <v>0</v>
      </c>
      <c r="CF2" s="375" t="b">
        <f t="shared" si="1"/>
        <v>0</v>
      </c>
      <c r="CG2" s="375" t="b">
        <f t="shared" si="1"/>
        <v>0</v>
      </c>
      <c r="CH2" s="375" t="b">
        <f t="shared" si="1"/>
        <v>0</v>
      </c>
      <c r="CI2" s="375" t="b">
        <f t="shared" si="1"/>
        <v>0</v>
      </c>
      <c r="CJ2" s="375" t="b">
        <f t="shared" si="1"/>
        <v>0</v>
      </c>
      <c r="CK2" s="375" t="b">
        <f t="shared" si="1"/>
        <v>0</v>
      </c>
      <c r="CL2" s="375" t="b">
        <f t="shared" si="1"/>
        <v>0</v>
      </c>
      <c r="CM2" s="375" t="b">
        <f t="shared" si="1"/>
        <v>0</v>
      </c>
      <c r="CN2" s="375" t="b">
        <f t="shared" si="1"/>
        <v>0</v>
      </c>
      <c r="CO2" s="375" t="b">
        <f t="shared" si="1"/>
        <v>0</v>
      </c>
      <c r="CP2" s="375" t="b">
        <f t="shared" si="1"/>
        <v>0</v>
      </c>
      <c r="CQ2" s="375" t="b">
        <f t="shared" si="1"/>
        <v>0</v>
      </c>
      <c r="CR2" s="375" t="b">
        <f t="shared" si="1"/>
        <v>0</v>
      </c>
      <c r="CS2" s="375" t="b">
        <f t="shared" ref="CS2:DX2" si="2">CS6&lt;=last_year_vis</f>
        <v>0</v>
      </c>
      <c r="CT2" s="375" t="b">
        <f t="shared" si="2"/>
        <v>0</v>
      </c>
      <c r="CU2" s="375" t="b">
        <f t="shared" si="2"/>
        <v>0</v>
      </c>
      <c r="CV2" s="375" t="b">
        <f t="shared" si="2"/>
        <v>0</v>
      </c>
      <c r="CW2" s="375" t="b">
        <f t="shared" si="2"/>
        <v>0</v>
      </c>
      <c r="CX2" s="375" t="b">
        <f t="shared" si="2"/>
        <v>0</v>
      </c>
      <c r="CY2" s="375" t="b">
        <f t="shared" si="2"/>
        <v>0</v>
      </c>
      <c r="CZ2" s="375" t="b">
        <f t="shared" si="2"/>
        <v>0</v>
      </c>
      <c r="DA2" s="375" t="b">
        <f t="shared" si="2"/>
        <v>0</v>
      </c>
      <c r="DB2" s="375" t="b">
        <f t="shared" si="2"/>
        <v>0</v>
      </c>
      <c r="DC2" s="375" t="b">
        <f t="shared" si="2"/>
        <v>0</v>
      </c>
      <c r="DD2" s="375" t="b">
        <f t="shared" si="2"/>
        <v>0</v>
      </c>
      <c r="DE2" s="375" t="b">
        <f t="shared" si="2"/>
        <v>0</v>
      </c>
      <c r="DF2" s="375" t="b">
        <f t="shared" si="2"/>
        <v>0</v>
      </c>
      <c r="DG2" s="375" t="b">
        <f t="shared" si="2"/>
        <v>0</v>
      </c>
      <c r="DH2" s="375" t="b">
        <f t="shared" si="2"/>
        <v>0</v>
      </c>
      <c r="DI2" s="375" t="b">
        <f t="shared" si="2"/>
        <v>0</v>
      </c>
      <c r="DJ2" s="375" t="b">
        <f t="shared" si="2"/>
        <v>0</v>
      </c>
      <c r="DK2" s="375" t="b">
        <f t="shared" si="2"/>
        <v>0</v>
      </c>
      <c r="DL2" s="375" t="b">
        <f t="shared" si="2"/>
        <v>0</v>
      </c>
      <c r="DM2" s="375" t="b">
        <f t="shared" si="2"/>
        <v>0</v>
      </c>
      <c r="DN2" s="375" t="b">
        <f t="shared" si="2"/>
        <v>0</v>
      </c>
      <c r="DO2" s="375" t="b">
        <f t="shared" si="2"/>
        <v>0</v>
      </c>
      <c r="DP2" s="375" t="b">
        <f t="shared" si="2"/>
        <v>0</v>
      </c>
      <c r="DQ2" s="375" t="b">
        <f t="shared" si="2"/>
        <v>0</v>
      </c>
      <c r="DR2" s="375" t="b">
        <f t="shared" si="2"/>
        <v>0</v>
      </c>
      <c r="DS2" s="375" t="b">
        <f t="shared" si="2"/>
        <v>0</v>
      </c>
      <c r="DT2" s="375" t="b">
        <f t="shared" si="2"/>
        <v>0</v>
      </c>
      <c r="DU2" s="375" t="b">
        <f t="shared" si="2"/>
        <v>0</v>
      </c>
      <c r="DV2" s="375" t="b">
        <f t="shared" si="2"/>
        <v>0</v>
      </c>
      <c r="DW2" s="375" t="b">
        <f t="shared" si="2"/>
        <v>0</v>
      </c>
      <c r="DX2" s="375" t="b">
        <f t="shared" si="2"/>
        <v>0</v>
      </c>
      <c r="DY2" s="375" t="b">
        <f t="shared" ref="DY2:FD2" si="3">DY6&lt;=last_year_vis</f>
        <v>0</v>
      </c>
      <c r="DZ2" s="375" t="b">
        <f t="shared" si="3"/>
        <v>0</v>
      </c>
      <c r="EA2" s="375" t="b">
        <f t="shared" si="3"/>
        <v>0</v>
      </c>
      <c r="EB2" s="375" t="b">
        <f t="shared" si="3"/>
        <v>0</v>
      </c>
      <c r="EC2" s="375" t="b">
        <f t="shared" si="3"/>
        <v>0</v>
      </c>
      <c r="ED2" s="375" t="b">
        <f t="shared" si="3"/>
        <v>0</v>
      </c>
      <c r="EE2" s="375" t="b">
        <f t="shared" si="3"/>
        <v>0</v>
      </c>
      <c r="EF2" s="375" t="b">
        <f t="shared" si="3"/>
        <v>0</v>
      </c>
      <c r="EG2" s="375" t="b">
        <f t="shared" si="3"/>
        <v>0</v>
      </c>
      <c r="EH2" s="375" t="b">
        <f t="shared" si="3"/>
        <v>0</v>
      </c>
      <c r="EI2" s="375" t="b">
        <f t="shared" si="3"/>
        <v>0</v>
      </c>
      <c r="EJ2" s="375" t="b">
        <f t="shared" si="3"/>
        <v>0</v>
      </c>
      <c r="EK2" s="375" t="b">
        <f t="shared" si="3"/>
        <v>0</v>
      </c>
      <c r="EL2" s="375" t="b">
        <f t="shared" si="3"/>
        <v>0</v>
      </c>
      <c r="EM2" s="375" t="b">
        <f t="shared" si="3"/>
        <v>0</v>
      </c>
      <c r="EN2" s="375" t="b">
        <f t="shared" si="3"/>
        <v>0</v>
      </c>
      <c r="EO2" s="375" t="b">
        <f t="shared" si="3"/>
        <v>0</v>
      </c>
      <c r="EP2" s="375" t="b">
        <f t="shared" si="3"/>
        <v>0</v>
      </c>
      <c r="EQ2" s="375" t="b">
        <f t="shared" si="3"/>
        <v>0</v>
      </c>
      <c r="ER2" s="375" t="b">
        <f t="shared" si="3"/>
        <v>0</v>
      </c>
      <c r="ES2" s="375" t="b">
        <f t="shared" si="3"/>
        <v>0</v>
      </c>
      <c r="ET2" s="375" t="b">
        <f t="shared" si="3"/>
        <v>0</v>
      </c>
      <c r="EU2" s="375" t="b">
        <f t="shared" si="3"/>
        <v>0</v>
      </c>
      <c r="EV2" s="375" t="b">
        <f t="shared" si="3"/>
        <v>0</v>
      </c>
      <c r="EW2" s="375" t="b">
        <f t="shared" si="3"/>
        <v>0</v>
      </c>
      <c r="EX2" s="375" t="b">
        <f t="shared" si="3"/>
        <v>0</v>
      </c>
      <c r="EY2" s="375" t="b">
        <f t="shared" si="3"/>
        <v>0</v>
      </c>
      <c r="EZ2" s="375" t="b">
        <f t="shared" si="3"/>
        <v>0</v>
      </c>
      <c r="FA2" s="375" t="b">
        <f t="shared" si="3"/>
        <v>0</v>
      </c>
      <c r="FB2" s="375" t="b">
        <f t="shared" si="3"/>
        <v>0</v>
      </c>
      <c r="FC2" s="375" t="b">
        <f t="shared" si="3"/>
        <v>0</v>
      </c>
      <c r="FD2" s="375" t="b">
        <f t="shared" si="3"/>
        <v>0</v>
      </c>
      <c r="FE2" s="375" t="b">
        <f t="shared" ref="FE2:FW2" si="4">FE6&lt;=last_year_vis</f>
        <v>0</v>
      </c>
      <c r="FF2" s="375" t="b">
        <f t="shared" si="4"/>
        <v>0</v>
      </c>
      <c r="FG2" s="375" t="b">
        <f t="shared" si="4"/>
        <v>0</v>
      </c>
      <c r="FH2" s="375" t="b">
        <f t="shared" si="4"/>
        <v>0</v>
      </c>
      <c r="FI2" s="375" t="b">
        <f t="shared" si="4"/>
        <v>0</v>
      </c>
      <c r="FJ2" s="375" t="b">
        <f t="shared" si="4"/>
        <v>0</v>
      </c>
      <c r="FK2" s="375" t="b">
        <f t="shared" si="4"/>
        <v>0</v>
      </c>
      <c r="FL2" s="375" t="b">
        <f t="shared" si="4"/>
        <v>0</v>
      </c>
      <c r="FM2" s="375" t="b">
        <f t="shared" si="4"/>
        <v>0</v>
      </c>
      <c r="FN2" s="375" t="b">
        <f t="shared" si="4"/>
        <v>0</v>
      </c>
      <c r="FO2" s="375" t="b">
        <f t="shared" si="4"/>
        <v>0</v>
      </c>
      <c r="FP2" s="375" t="b">
        <f t="shared" si="4"/>
        <v>0</v>
      </c>
      <c r="FQ2" s="375" t="b">
        <f t="shared" si="4"/>
        <v>0</v>
      </c>
      <c r="FR2" s="375" t="b">
        <f t="shared" si="4"/>
        <v>0</v>
      </c>
      <c r="FS2" s="375" t="b">
        <f t="shared" si="4"/>
        <v>0</v>
      </c>
      <c r="FT2" s="375" t="b">
        <f t="shared" si="4"/>
        <v>0</v>
      </c>
      <c r="FU2" s="375" t="b">
        <f t="shared" si="4"/>
        <v>0</v>
      </c>
      <c r="FV2" s="375" t="b">
        <f t="shared" si="4"/>
        <v>0</v>
      </c>
      <c r="FW2" s="375" t="b">
        <f t="shared" si="4"/>
        <v>0</v>
      </c>
      <c r="FZ2" s="670"/>
      <c r="GA2" s="670"/>
      <c r="GB2" s="670"/>
      <c r="GC2" s="675"/>
      <c r="GD2" s="675"/>
    </row>
    <row r="3" spans="1:186" ht="11.25" hidden="1" customHeight="1">
      <c r="E3" s="17"/>
    </row>
    <row r="4" spans="1:186" ht="11.25" hidden="1" customHeight="1">
      <c r="E4" s="17"/>
    </row>
    <row r="5" spans="1:186" s="459" customFormat="1" ht="11.25" hidden="1" customHeight="1">
      <c r="A5" s="17"/>
      <c r="B5" s="382"/>
      <c r="C5" s="17"/>
      <c r="D5" s="17"/>
      <c r="E5" s="459" t="s">
        <v>19</v>
      </c>
      <c r="F5" s="597"/>
      <c r="AA5" s="459">
        <v>3</v>
      </c>
      <c r="AB5" s="501">
        <v>56</v>
      </c>
      <c r="AC5" s="457">
        <v>12.57</v>
      </c>
      <c r="AD5" s="459">
        <v>14.14</v>
      </c>
      <c r="AE5" s="459">
        <v>14.14</v>
      </c>
      <c r="AF5" s="459">
        <v>14.14</v>
      </c>
      <c r="AG5" s="459">
        <v>14.14</v>
      </c>
      <c r="AH5" s="459">
        <v>14.14</v>
      </c>
      <c r="AI5" s="459">
        <v>14.14</v>
      </c>
      <c r="AJ5" s="459">
        <v>14.14</v>
      </c>
      <c r="AK5" s="459">
        <v>14.14</v>
      </c>
      <c r="AL5" s="459">
        <v>14.14</v>
      </c>
      <c r="AM5" s="459">
        <v>14.14</v>
      </c>
      <c r="AN5" s="459">
        <v>14.14</v>
      </c>
      <c r="AO5" s="459">
        <v>14.14</v>
      </c>
      <c r="AP5" s="459">
        <v>14.14</v>
      </c>
      <c r="AQ5" s="459">
        <v>14.14</v>
      </c>
      <c r="AR5" s="459">
        <v>14.14</v>
      </c>
      <c r="AS5" s="459">
        <v>14.14</v>
      </c>
      <c r="AT5" s="459">
        <v>14.14</v>
      </c>
      <c r="AU5" s="459">
        <v>14.14</v>
      </c>
      <c r="AV5" s="459">
        <v>14.14</v>
      </c>
      <c r="AW5" s="459">
        <v>14.14</v>
      </c>
      <c r="AX5" s="459">
        <v>14.14</v>
      </c>
      <c r="AY5" s="459">
        <v>14.14</v>
      </c>
      <c r="AZ5" s="459">
        <v>14.14</v>
      </c>
      <c r="BA5" s="459">
        <v>14.14</v>
      </c>
      <c r="BB5" s="459">
        <v>14.14</v>
      </c>
      <c r="BC5" s="459">
        <v>14.14</v>
      </c>
      <c r="BD5" s="459">
        <v>14.14</v>
      </c>
      <c r="BE5" s="459">
        <v>14.14</v>
      </c>
      <c r="BF5" s="459">
        <v>14.14</v>
      </c>
      <c r="BG5" s="459">
        <v>14.14</v>
      </c>
      <c r="BH5" s="459">
        <v>14.14</v>
      </c>
      <c r="BI5" s="459">
        <v>14.14</v>
      </c>
      <c r="BJ5" s="459">
        <v>14.14</v>
      </c>
      <c r="BK5" s="459">
        <v>14.14</v>
      </c>
      <c r="BL5" s="459">
        <v>14.14</v>
      </c>
      <c r="BM5" s="459">
        <v>14.14</v>
      </c>
      <c r="BN5" s="459">
        <v>14.14</v>
      </c>
      <c r="BO5" s="459">
        <v>14.14</v>
      </c>
      <c r="BP5" s="459">
        <v>14.14</v>
      </c>
      <c r="BQ5" s="459">
        <v>14.14</v>
      </c>
      <c r="BR5" s="459">
        <v>14.14</v>
      </c>
      <c r="BS5" s="459">
        <v>14.14</v>
      </c>
      <c r="BT5" s="459">
        <v>14.14</v>
      </c>
      <c r="BU5" s="459">
        <v>14.14</v>
      </c>
      <c r="BV5" s="459">
        <v>14.14</v>
      </c>
      <c r="BW5" s="459">
        <v>14.14</v>
      </c>
      <c r="BX5" s="459">
        <v>14.14</v>
      </c>
      <c r="BY5" s="459">
        <v>14.14</v>
      </c>
      <c r="BZ5" s="459">
        <v>14.14</v>
      </c>
      <c r="CA5" s="459">
        <v>14.14</v>
      </c>
      <c r="CB5" s="459">
        <v>14.14</v>
      </c>
      <c r="CC5" s="459">
        <v>14.14</v>
      </c>
      <c r="CD5" s="459">
        <v>14.14</v>
      </c>
      <c r="CE5" s="459">
        <v>14.14</v>
      </c>
      <c r="CF5" s="459">
        <v>14.14</v>
      </c>
      <c r="CG5" s="459">
        <v>14.14</v>
      </c>
      <c r="CH5" s="459">
        <v>14.14</v>
      </c>
      <c r="CI5" s="459">
        <v>14.14</v>
      </c>
      <c r="CJ5" s="459">
        <v>14.14</v>
      </c>
      <c r="CK5" s="459">
        <v>14.14</v>
      </c>
      <c r="CL5" s="459">
        <v>14.14</v>
      </c>
      <c r="CM5" s="459">
        <v>14.14</v>
      </c>
      <c r="CN5" s="459">
        <v>14.14</v>
      </c>
      <c r="CO5" s="459">
        <v>14.14</v>
      </c>
      <c r="CP5" s="459">
        <v>14.14</v>
      </c>
      <c r="CQ5" s="459">
        <v>14.14</v>
      </c>
      <c r="CR5" s="459">
        <v>14.14</v>
      </c>
      <c r="CS5" s="459">
        <v>14.14</v>
      </c>
      <c r="CT5" s="459">
        <v>14.14</v>
      </c>
      <c r="CU5" s="459">
        <v>14.14</v>
      </c>
      <c r="CV5" s="459">
        <v>14.14</v>
      </c>
      <c r="CW5" s="459">
        <v>14.14</v>
      </c>
      <c r="CX5" s="459">
        <v>14.14</v>
      </c>
      <c r="CY5" s="459">
        <v>14.14</v>
      </c>
      <c r="CZ5" s="459">
        <v>14.14</v>
      </c>
      <c r="DA5" s="459">
        <v>14.14</v>
      </c>
      <c r="DB5" s="459">
        <v>14.14</v>
      </c>
      <c r="DC5" s="459">
        <v>14.14</v>
      </c>
      <c r="DD5" s="459">
        <v>14.14</v>
      </c>
      <c r="DE5" s="459">
        <v>14.14</v>
      </c>
      <c r="DF5" s="459">
        <v>14.14</v>
      </c>
      <c r="DG5" s="459">
        <v>14.14</v>
      </c>
      <c r="DH5" s="459">
        <v>14.14</v>
      </c>
      <c r="DI5" s="459">
        <v>14.14</v>
      </c>
      <c r="DJ5" s="459">
        <v>14.14</v>
      </c>
      <c r="DK5" s="459">
        <v>14.14</v>
      </c>
      <c r="DL5" s="459">
        <v>14.14</v>
      </c>
      <c r="DM5" s="459">
        <v>14.14</v>
      </c>
      <c r="DN5" s="459">
        <v>14.14</v>
      </c>
      <c r="DO5" s="459">
        <v>14.14</v>
      </c>
      <c r="DP5" s="459">
        <v>14.14</v>
      </c>
      <c r="DQ5" s="459">
        <v>14.14</v>
      </c>
      <c r="DR5" s="459">
        <v>14.14</v>
      </c>
      <c r="DS5" s="459">
        <v>14.14</v>
      </c>
      <c r="DT5" s="459">
        <v>14.14</v>
      </c>
      <c r="DU5" s="459">
        <v>14.14</v>
      </c>
      <c r="DV5" s="459">
        <v>14.14</v>
      </c>
      <c r="DW5" s="459">
        <v>14.14</v>
      </c>
      <c r="DX5" s="459">
        <v>14.14</v>
      </c>
      <c r="DY5" s="459">
        <v>14.14</v>
      </c>
      <c r="DZ5" s="459">
        <v>14.14</v>
      </c>
      <c r="EA5" s="459">
        <v>14.14</v>
      </c>
      <c r="EB5" s="459">
        <v>14.14</v>
      </c>
      <c r="EC5" s="459">
        <v>14.14</v>
      </c>
      <c r="ED5" s="459">
        <v>14.14</v>
      </c>
      <c r="EE5" s="459">
        <v>14.14</v>
      </c>
      <c r="EF5" s="459">
        <v>14.14</v>
      </c>
      <c r="EG5" s="459">
        <v>14.14</v>
      </c>
      <c r="EH5" s="459">
        <v>14.14</v>
      </c>
      <c r="EI5" s="459">
        <v>14.14</v>
      </c>
      <c r="EJ5" s="459">
        <v>14.14</v>
      </c>
      <c r="EK5" s="459">
        <v>14.14</v>
      </c>
      <c r="EL5" s="459">
        <v>14.14</v>
      </c>
      <c r="EM5" s="459">
        <v>14.14</v>
      </c>
      <c r="EN5" s="459">
        <v>14.14</v>
      </c>
      <c r="EO5" s="459">
        <v>14.14</v>
      </c>
      <c r="EP5" s="459">
        <v>14.14</v>
      </c>
      <c r="EQ5" s="459">
        <v>14.14</v>
      </c>
      <c r="ER5" s="459">
        <v>14.14</v>
      </c>
      <c r="ES5" s="459">
        <v>14.14</v>
      </c>
      <c r="ET5" s="459">
        <v>14.14</v>
      </c>
      <c r="EU5" s="459">
        <v>14.14</v>
      </c>
      <c r="EV5" s="459">
        <v>14.14</v>
      </c>
      <c r="EW5" s="459">
        <v>14.14</v>
      </c>
      <c r="EX5" s="459">
        <v>14.14</v>
      </c>
      <c r="EY5" s="459">
        <v>14.14</v>
      </c>
      <c r="EZ5" s="459">
        <v>14.14</v>
      </c>
      <c r="FA5" s="459">
        <v>14.14</v>
      </c>
      <c r="FB5" s="459">
        <v>14.14</v>
      </c>
      <c r="FC5" s="459">
        <v>14.14</v>
      </c>
      <c r="FD5" s="459">
        <v>14.14</v>
      </c>
      <c r="FE5" s="459">
        <v>14.14</v>
      </c>
      <c r="FF5" s="459">
        <v>14.14</v>
      </c>
      <c r="FG5" s="459">
        <v>14.14</v>
      </c>
      <c r="FH5" s="459">
        <v>14.14</v>
      </c>
      <c r="FI5" s="459">
        <v>14.14</v>
      </c>
      <c r="FJ5" s="459">
        <v>14.14</v>
      </c>
      <c r="FK5" s="459">
        <v>14.14</v>
      </c>
      <c r="FL5" s="459">
        <v>14.14</v>
      </c>
      <c r="FM5" s="459">
        <v>14.14</v>
      </c>
      <c r="FN5" s="459">
        <v>14.14</v>
      </c>
      <c r="FO5" s="459">
        <v>14.14</v>
      </c>
      <c r="FP5" s="459">
        <v>14.14</v>
      </c>
      <c r="FQ5" s="459">
        <v>14.14</v>
      </c>
      <c r="FR5" s="459">
        <v>14.14</v>
      </c>
      <c r="FS5" s="459">
        <v>14.14</v>
      </c>
      <c r="FT5" s="459">
        <v>14.14</v>
      </c>
      <c r="FU5" s="459">
        <v>14.14</v>
      </c>
      <c r="FV5" s="459">
        <v>14.14</v>
      </c>
      <c r="FW5" s="459">
        <v>14.14</v>
      </c>
      <c r="FX5" s="459">
        <v>3</v>
      </c>
      <c r="FZ5" s="669"/>
      <c r="GA5" s="669"/>
      <c r="GB5" s="669"/>
    </row>
    <row r="6" spans="1:186" ht="11.25" hidden="1" customHeight="1">
      <c r="A6" s="17" t="s">
        <v>349</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350</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69" customFormat="1" ht="11.25" hidden="1" customHeight="1">
      <c r="A9" s="669" t="s">
        <v>354</v>
      </c>
      <c r="B9" s="646"/>
      <c r="F9" s="687"/>
      <c r="AB9" s="688"/>
      <c r="AC9" s="667"/>
      <c r="AD9" s="669" cm="1">
        <f t="array" ref="AD9">AD6</f>
        <v>2026</v>
      </c>
      <c r="AE9" s="669" cm="1">
        <f t="array" ref="AE9">AE6</f>
        <v>2026</v>
      </c>
      <c r="AF9" s="669" cm="1">
        <f t="array" ref="AF9">AF6</f>
        <v>2026</v>
      </c>
      <c r="AG9" s="669" cm="1">
        <f t="array" ref="AG9">AG6</f>
        <v>2027</v>
      </c>
      <c r="AH9" s="669" cm="1">
        <f t="array" ref="AH9">AH6</f>
        <v>2027</v>
      </c>
      <c r="AI9" s="669" cm="1">
        <f t="array" ref="AI9">AI6</f>
        <v>2027</v>
      </c>
      <c r="AJ9" s="669" cm="1">
        <f t="array" ref="AJ9">AJ6</f>
        <v>2028</v>
      </c>
      <c r="AK9" s="669" cm="1">
        <f t="array" ref="AK9">AK6</f>
        <v>2028</v>
      </c>
      <c r="AL9" s="669" cm="1">
        <f t="array" ref="AL9">AL6</f>
        <v>2028</v>
      </c>
      <c r="AM9" s="669" cm="1">
        <f t="array" ref="AM9">AM6</f>
        <v>2029</v>
      </c>
      <c r="AN9" s="669" cm="1">
        <f t="array" ref="AN9">AN6</f>
        <v>2029</v>
      </c>
      <c r="AO9" s="669" cm="1">
        <f t="array" ref="AO9">AO6</f>
        <v>2029</v>
      </c>
      <c r="AP9" s="669" cm="1">
        <f t="array" ref="AP9">AP6</f>
        <v>2030</v>
      </c>
      <c r="AQ9" s="669" cm="1">
        <f t="array" ref="AQ9">AQ6</f>
        <v>2030</v>
      </c>
      <c r="AR9" s="669" cm="1">
        <f t="array" ref="AR9">AR6</f>
        <v>2030</v>
      </c>
      <c r="AS9" s="669" cm="1">
        <f t="array" ref="AS9">AS6</f>
        <v>2031</v>
      </c>
      <c r="AT9" s="669" cm="1">
        <f t="array" ref="AT9">AT6</f>
        <v>2031</v>
      </c>
      <c r="AU9" s="669" cm="1">
        <f t="array" ref="AU9">AU6</f>
        <v>2031</v>
      </c>
      <c r="AV9" s="669" cm="1">
        <f t="array" ref="AV9">AV6</f>
        <v>2032</v>
      </c>
      <c r="AW9" s="669" cm="1">
        <f t="array" ref="AW9">AW6</f>
        <v>2032</v>
      </c>
      <c r="AX9" s="669" cm="1">
        <f t="array" ref="AX9">AX6</f>
        <v>2032</v>
      </c>
      <c r="AY9" s="669" cm="1">
        <f t="array" ref="AY9">AY6</f>
        <v>2033</v>
      </c>
      <c r="AZ9" s="669" cm="1">
        <f t="array" ref="AZ9">AZ6</f>
        <v>2033</v>
      </c>
      <c r="BA9" s="669" cm="1">
        <f t="array" ref="BA9">BA6</f>
        <v>2033</v>
      </c>
      <c r="BB9" s="669" cm="1">
        <f t="array" ref="BB9">BB6</f>
        <v>2034</v>
      </c>
      <c r="BC9" s="669" cm="1">
        <f t="array" ref="BC9">BC6</f>
        <v>2034</v>
      </c>
      <c r="BD9" s="669" cm="1">
        <f t="array" ref="BD9">BD6</f>
        <v>2034</v>
      </c>
      <c r="BE9" s="669" cm="1">
        <f t="array" ref="BE9">BE6</f>
        <v>2035</v>
      </c>
      <c r="BF9" s="669" cm="1">
        <f t="array" ref="BF9">BF6</f>
        <v>2035</v>
      </c>
      <c r="BG9" s="669" cm="1">
        <f t="array" ref="BG9">BG6</f>
        <v>2035</v>
      </c>
      <c r="BH9" s="669" cm="1">
        <f t="array" ref="BH9">BH6</f>
        <v>2036</v>
      </c>
      <c r="BI9" s="669" cm="1">
        <f t="array" ref="BI9">BI6</f>
        <v>2036</v>
      </c>
      <c r="BJ9" s="669" cm="1">
        <f t="array" ref="BJ9">BJ6</f>
        <v>2036</v>
      </c>
      <c r="BK9" s="669" cm="1">
        <f t="array" ref="BK9">BK6</f>
        <v>2037</v>
      </c>
      <c r="BL9" s="669" cm="1">
        <f t="array" ref="BL9">BL6</f>
        <v>2037</v>
      </c>
      <c r="BM9" s="669" cm="1">
        <f t="array" ref="BM9">BM6</f>
        <v>2037</v>
      </c>
      <c r="BN9" s="669" cm="1">
        <f t="array" ref="BN9">BN6</f>
        <v>2038</v>
      </c>
      <c r="BO9" s="669" cm="1">
        <f t="array" ref="BO9">BO6</f>
        <v>2038</v>
      </c>
      <c r="BP9" s="669" cm="1">
        <f t="array" ref="BP9">BP6</f>
        <v>2038</v>
      </c>
      <c r="BQ9" s="669" cm="1">
        <f t="array" ref="BQ9">BQ6</f>
        <v>2039</v>
      </c>
      <c r="BR9" s="669" cm="1">
        <f t="array" ref="BR9">BR6</f>
        <v>2039</v>
      </c>
      <c r="BS9" s="669" cm="1">
        <f t="array" ref="BS9">BS6</f>
        <v>2039</v>
      </c>
      <c r="BT9" s="669" cm="1">
        <f t="array" ref="BT9">BT6</f>
        <v>2040</v>
      </c>
      <c r="BU9" s="669" cm="1">
        <f t="array" ref="BU9">BU6</f>
        <v>2040</v>
      </c>
      <c r="BV9" s="669" cm="1">
        <f t="array" ref="BV9">BV6</f>
        <v>2040</v>
      </c>
      <c r="BW9" s="669" cm="1">
        <f t="array" ref="BW9">BW6</f>
        <v>2041</v>
      </c>
      <c r="BX9" s="669" cm="1">
        <f t="array" ref="BX9">BX6</f>
        <v>2041</v>
      </c>
      <c r="BY9" s="669" cm="1">
        <f t="array" ref="BY9">BY6</f>
        <v>2041</v>
      </c>
      <c r="BZ9" s="669" cm="1">
        <f t="array" ref="BZ9">BZ6</f>
        <v>2042</v>
      </c>
      <c r="CA9" s="669" cm="1">
        <f t="array" ref="CA9">CA6</f>
        <v>2042</v>
      </c>
      <c r="CB9" s="669" cm="1">
        <f t="array" ref="CB9">CB6</f>
        <v>2042</v>
      </c>
      <c r="CC9" s="669" cm="1">
        <f t="array" ref="CC9">CC6</f>
        <v>2043</v>
      </c>
      <c r="CD9" s="669" cm="1">
        <f t="array" ref="CD9">CD6</f>
        <v>2043</v>
      </c>
      <c r="CE9" s="669" cm="1">
        <f t="array" ref="CE9">CE6</f>
        <v>2043</v>
      </c>
      <c r="CF9" s="669" cm="1">
        <f t="array" ref="CF9">CF6</f>
        <v>2044</v>
      </c>
      <c r="CG9" s="669" cm="1">
        <f t="array" ref="CG9">CG6</f>
        <v>2044</v>
      </c>
      <c r="CH9" s="669" cm="1">
        <f t="array" ref="CH9">CH6</f>
        <v>2044</v>
      </c>
      <c r="CI9" s="669" cm="1">
        <f t="array" ref="CI9">CI6</f>
        <v>2045</v>
      </c>
      <c r="CJ9" s="669" cm="1">
        <f t="array" ref="CJ9">CJ6</f>
        <v>2045</v>
      </c>
      <c r="CK9" s="669" cm="1">
        <f t="array" ref="CK9">CK6</f>
        <v>2045</v>
      </c>
      <c r="CL9" s="669" cm="1">
        <f t="array" ref="CL9">CL6</f>
        <v>2046</v>
      </c>
      <c r="CM9" s="669" cm="1">
        <f t="array" ref="CM9">CM6</f>
        <v>2046</v>
      </c>
      <c r="CN9" s="669" cm="1">
        <f t="array" ref="CN9">CN6</f>
        <v>2046</v>
      </c>
      <c r="CO9" s="669" cm="1">
        <f t="array" ref="CO9">CO6</f>
        <v>2047</v>
      </c>
      <c r="CP9" s="669" cm="1">
        <f t="array" ref="CP9">CP6</f>
        <v>2047</v>
      </c>
      <c r="CQ9" s="669" cm="1">
        <f t="array" ref="CQ9">CQ6</f>
        <v>2047</v>
      </c>
      <c r="CR9" s="669" cm="1">
        <f t="array" ref="CR9">CR6</f>
        <v>2048</v>
      </c>
      <c r="CS9" s="669" cm="1">
        <f t="array" ref="CS9">CS6</f>
        <v>2048</v>
      </c>
      <c r="CT9" s="669" cm="1">
        <f t="array" ref="CT9">CT6</f>
        <v>2048</v>
      </c>
      <c r="CU9" s="669" cm="1">
        <f t="array" ref="CU9">CU6</f>
        <v>2049</v>
      </c>
      <c r="CV9" s="669" cm="1">
        <f t="array" ref="CV9">CV6</f>
        <v>2049</v>
      </c>
      <c r="CW9" s="669" cm="1">
        <f t="array" ref="CW9">CW6</f>
        <v>2049</v>
      </c>
      <c r="CX9" s="669" cm="1">
        <f t="array" ref="CX9">CX6</f>
        <v>2050</v>
      </c>
      <c r="CY9" s="669" cm="1">
        <f t="array" ref="CY9">CY6</f>
        <v>2050</v>
      </c>
      <c r="CZ9" s="669" cm="1">
        <f t="array" ref="CZ9">CZ6</f>
        <v>2050</v>
      </c>
      <c r="DA9" s="669" cm="1">
        <f t="array" ref="DA9">DA6</f>
        <v>2051</v>
      </c>
      <c r="DB9" s="669" cm="1">
        <f t="array" ref="DB9">DB6</f>
        <v>2051</v>
      </c>
      <c r="DC9" s="669" cm="1">
        <f t="array" ref="DC9">DC6</f>
        <v>2051</v>
      </c>
      <c r="DD9" s="669" cm="1">
        <f t="array" ref="DD9">DD6</f>
        <v>2052</v>
      </c>
      <c r="DE9" s="669" cm="1">
        <f t="array" ref="DE9">DE6</f>
        <v>2052</v>
      </c>
      <c r="DF9" s="669" cm="1">
        <f t="array" ref="DF9">DF6</f>
        <v>2052</v>
      </c>
      <c r="DG9" s="669" cm="1">
        <f t="array" ref="DG9">DG6</f>
        <v>2053</v>
      </c>
      <c r="DH9" s="669" cm="1">
        <f t="array" ref="DH9">DH6</f>
        <v>2053</v>
      </c>
      <c r="DI9" s="669" cm="1">
        <f t="array" ref="DI9">DI6</f>
        <v>2053</v>
      </c>
      <c r="DJ9" s="669" cm="1">
        <f t="array" ref="DJ9">DJ6</f>
        <v>2054</v>
      </c>
      <c r="DK9" s="669" cm="1">
        <f t="array" ref="DK9">DK6</f>
        <v>2054</v>
      </c>
      <c r="DL9" s="669" cm="1">
        <f t="array" ref="DL9">DL6</f>
        <v>2054</v>
      </c>
      <c r="DM9" s="669" cm="1">
        <f t="array" ref="DM9">DM6</f>
        <v>2055</v>
      </c>
      <c r="DN9" s="669" cm="1">
        <f t="array" ref="DN9">DN6</f>
        <v>2055</v>
      </c>
      <c r="DO9" s="669" cm="1">
        <f t="array" ref="DO9">DO6</f>
        <v>2055</v>
      </c>
      <c r="DP9" s="669" cm="1">
        <f t="array" ref="DP9">DP6</f>
        <v>2056</v>
      </c>
      <c r="DQ9" s="669" cm="1">
        <f t="array" ref="DQ9">DQ6</f>
        <v>2056</v>
      </c>
      <c r="DR9" s="669" cm="1">
        <f t="array" ref="DR9">DR6</f>
        <v>2056</v>
      </c>
      <c r="DS9" s="669" cm="1">
        <f t="array" ref="DS9">DS6</f>
        <v>2057</v>
      </c>
      <c r="DT9" s="669" cm="1">
        <f t="array" ref="DT9">DT6</f>
        <v>2057</v>
      </c>
      <c r="DU9" s="669" cm="1">
        <f t="array" ref="DU9">DU6</f>
        <v>2057</v>
      </c>
      <c r="DV9" s="669" cm="1">
        <f t="array" ref="DV9">DV6</f>
        <v>2058</v>
      </c>
      <c r="DW9" s="669" cm="1">
        <f t="array" ref="DW9">DW6</f>
        <v>2058</v>
      </c>
      <c r="DX9" s="669" cm="1">
        <f t="array" ref="DX9">DX6</f>
        <v>2058</v>
      </c>
      <c r="DY9" s="669" cm="1">
        <f t="array" ref="DY9">DY6</f>
        <v>2059</v>
      </c>
      <c r="DZ9" s="669" cm="1">
        <f t="array" ref="DZ9">DZ6</f>
        <v>2059</v>
      </c>
      <c r="EA9" s="669" cm="1">
        <f t="array" ref="EA9">EA6</f>
        <v>2059</v>
      </c>
      <c r="EB9" s="669" cm="1">
        <f t="array" ref="EB9">EB6</f>
        <v>2060</v>
      </c>
      <c r="EC9" s="669" cm="1">
        <f t="array" ref="EC9">EC6</f>
        <v>2060</v>
      </c>
      <c r="ED9" s="669" cm="1">
        <f t="array" ref="ED9">ED6</f>
        <v>2060</v>
      </c>
      <c r="EE9" s="669" cm="1">
        <f t="array" ref="EE9">EE6</f>
        <v>2061</v>
      </c>
      <c r="EF9" s="669" cm="1">
        <f t="array" ref="EF9">EF6</f>
        <v>2061</v>
      </c>
      <c r="EG9" s="669" cm="1">
        <f t="array" ref="EG9">EG6</f>
        <v>2061</v>
      </c>
      <c r="EH9" s="669" cm="1">
        <f t="array" ref="EH9">EH6</f>
        <v>2062</v>
      </c>
      <c r="EI9" s="669" cm="1">
        <f t="array" ref="EI9">EI6</f>
        <v>2062</v>
      </c>
      <c r="EJ9" s="669" cm="1">
        <f t="array" ref="EJ9">EJ6</f>
        <v>2062</v>
      </c>
      <c r="EK9" s="669" cm="1">
        <f t="array" ref="EK9">EK6</f>
        <v>2063</v>
      </c>
      <c r="EL9" s="669" cm="1">
        <f t="array" ref="EL9">EL6</f>
        <v>2063</v>
      </c>
      <c r="EM9" s="669" cm="1">
        <f t="array" ref="EM9">EM6</f>
        <v>2063</v>
      </c>
      <c r="EN9" s="669" cm="1">
        <f t="array" ref="EN9">EN6</f>
        <v>2064</v>
      </c>
      <c r="EO9" s="669" cm="1">
        <f t="array" ref="EO9">EO6</f>
        <v>2064</v>
      </c>
      <c r="EP9" s="669" cm="1">
        <f t="array" ref="EP9">EP6</f>
        <v>2064</v>
      </c>
      <c r="EQ9" s="669" cm="1">
        <f t="array" ref="EQ9">EQ6</f>
        <v>2065</v>
      </c>
      <c r="ER9" s="669" cm="1">
        <f t="array" ref="ER9">ER6</f>
        <v>2065</v>
      </c>
      <c r="ES9" s="669" cm="1">
        <f t="array" ref="ES9">ES6</f>
        <v>2065</v>
      </c>
      <c r="ET9" s="669" cm="1">
        <f t="array" ref="ET9">ET6</f>
        <v>2066</v>
      </c>
      <c r="EU9" s="669" cm="1">
        <f t="array" ref="EU9">EU6</f>
        <v>2066</v>
      </c>
      <c r="EV9" s="669" cm="1">
        <f t="array" ref="EV9">EV6</f>
        <v>2066</v>
      </c>
      <c r="EW9" s="669" cm="1">
        <f t="array" ref="EW9">EW6</f>
        <v>2067</v>
      </c>
      <c r="EX9" s="669" cm="1">
        <f t="array" ref="EX9">EX6</f>
        <v>2067</v>
      </c>
      <c r="EY9" s="669" cm="1">
        <f t="array" ref="EY9">EY6</f>
        <v>2067</v>
      </c>
      <c r="EZ9" s="669" cm="1">
        <f t="array" ref="EZ9">EZ6</f>
        <v>2068</v>
      </c>
      <c r="FA9" s="669" cm="1">
        <f t="array" ref="FA9">FA6</f>
        <v>2068</v>
      </c>
      <c r="FB9" s="669" cm="1">
        <f t="array" ref="FB9">FB6</f>
        <v>2068</v>
      </c>
      <c r="FC9" s="669" cm="1">
        <f t="array" ref="FC9">FC6</f>
        <v>2069</v>
      </c>
      <c r="FD9" s="669" cm="1">
        <f t="array" ref="FD9">FD6</f>
        <v>2069</v>
      </c>
      <c r="FE9" s="669" cm="1">
        <f t="array" ref="FE9">FE6</f>
        <v>2069</v>
      </c>
      <c r="FF9" s="669" cm="1">
        <f t="array" ref="FF9">FF6</f>
        <v>2070</v>
      </c>
      <c r="FG9" s="669" cm="1">
        <f t="array" ref="FG9">FG6</f>
        <v>2070</v>
      </c>
      <c r="FH9" s="669" cm="1">
        <f t="array" ref="FH9">FH6</f>
        <v>2070</v>
      </c>
      <c r="FI9" s="669" cm="1">
        <f t="array" ref="FI9">FI6</f>
        <v>2071</v>
      </c>
      <c r="FJ9" s="669" cm="1">
        <f t="array" ref="FJ9">FJ6</f>
        <v>2071</v>
      </c>
      <c r="FK9" s="669" cm="1">
        <f t="array" ref="FK9">FK6</f>
        <v>2071</v>
      </c>
      <c r="FL9" s="669" cm="1">
        <f t="array" ref="FL9">FL6</f>
        <v>2072</v>
      </c>
      <c r="FM9" s="669" cm="1">
        <f t="array" ref="FM9">FM6</f>
        <v>2072</v>
      </c>
      <c r="FN9" s="669" cm="1">
        <f t="array" ref="FN9">FN6</f>
        <v>2072</v>
      </c>
      <c r="FO9" s="669" cm="1">
        <f t="array" ref="FO9">FO6</f>
        <v>2073</v>
      </c>
      <c r="FP9" s="669" cm="1">
        <f t="array" ref="FP9">FP6</f>
        <v>2073</v>
      </c>
      <c r="FQ9" s="669" cm="1">
        <f t="array" ref="FQ9">FQ6</f>
        <v>2073</v>
      </c>
      <c r="FR9" s="669" cm="1">
        <f t="array" ref="FR9">FR6</f>
        <v>2074</v>
      </c>
      <c r="FS9" s="669" cm="1">
        <f t="array" ref="FS9">FS6</f>
        <v>2074</v>
      </c>
      <c r="FT9" s="669" cm="1">
        <f t="array" ref="FT9">FT6</f>
        <v>2074</v>
      </c>
      <c r="FU9" s="669" cm="1">
        <f t="array" ref="FU9">FU6</f>
        <v>2075</v>
      </c>
      <c r="FV9" s="669" cm="1">
        <f t="array" ref="FV9">FV6</f>
        <v>2075</v>
      </c>
      <c r="FW9" s="669" cm="1">
        <f t="array" ref="FW9">FW6</f>
        <v>2075</v>
      </c>
      <c r="GC9" s="459"/>
      <c r="GD9" s="459"/>
    </row>
    <row r="10" spans="1:186" s="669" customFormat="1" ht="11.25" hidden="1" customHeight="1">
      <c r="A10" s="669" t="s">
        <v>355</v>
      </c>
      <c r="B10" s="646"/>
      <c r="F10" s="687"/>
      <c r="AB10" s="688"/>
      <c r="AC10" s="667"/>
      <c r="AD10" s="669" t="str" cm="1">
        <f t="array" ref="AD10">AD26</f>
        <v>Предложение организации</v>
      </c>
      <c r="AE10" s="669" t="str" cm="1">
        <f t="array" ref="AE10">AE26</f>
        <v>Принято органом регулирования</v>
      </c>
      <c r="AF10" s="669" t="str" cm="1">
        <f t="array" ref="AF10">AF26</f>
        <v>Отклонение, %</v>
      </c>
      <c r="AG10" s="669" t="str" cm="1">
        <f t="array" ref="AG10">AG26</f>
        <v>Предложение организации</v>
      </c>
      <c r="AH10" s="669" t="str" cm="1">
        <f t="array" ref="AH10">AH26</f>
        <v>Принято органом регулирования</v>
      </c>
      <c r="AI10" s="669" t="str" cm="1">
        <f t="array" ref="AI10">AI26</f>
        <v>Отклонение, %</v>
      </c>
      <c r="AJ10" s="669" t="str" cm="1">
        <f t="array" ref="AJ10">AJ26</f>
        <v>Предложение организации</v>
      </c>
      <c r="AK10" s="669" t="str" cm="1">
        <f t="array" ref="AK10">AK26</f>
        <v>Принято органом регулирования</v>
      </c>
      <c r="AL10" s="669" t="str" cm="1">
        <f t="array" ref="AL10">AL26</f>
        <v>Отклонение, %</v>
      </c>
      <c r="AM10" s="669" t="str" cm="1">
        <f t="array" ref="AM10">AM26</f>
        <v>Предложение организации</v>
      </c>
      <c r="AN10" s="669" t="str" cm="1">
        <f t="array" ref="AN10">AN26</f>
        <v>Принято органом регулирования</v>
      </c>
      <c r="AO10" s="669" t="str" cm="1">
        <f t="array" ref="AO10">AO26</f>
        <v>Отклонение, %</v>
      </c>
      <c r="AP10" s="669" t="str" cm="1">
        <f t="array" ref="AP10">AP26</f>
        <v>Предложение организации</v>
      </c>
      <c r="AQ10" s="669" t="str" cm="1">
        <f t="array" ref="AQ10">AQ26</f>
        <v>Принято органом регулирования</v>
      </c>
      <c r="AR10" s="669" t="str" cm="1">
        <f t="array" ref="AR10">AR26</f>
        <v>Отклонение, %</v>
      </c>
      <c r="AS10" s="669" t="str" cm="1">
        <f t="array" ref="AS10">AS26</f>
        <v>Предложение организации</v>
      </c>
      <c r="AT10" s="669" t="str" cm="1">
        <f t="array" ref="AT10">AT26</f>
        <v>Принято органом регулирования</v>
      </c>
      <c r="AU10" s="669" t="str" cm="1">
        <f t="array" ref="AU10">AU26</f>
        <v>Отклонение, %</v>
      </c>
      <c r="AV10" s="669" t="str" cm="1">
        <f t="array" ref="AV10">AV26</f>
        <v>Предложение организации</v>
      </c>
      <c r="AW10" s="669" t="str" cm="1">
        <f t="array" ref="AW10">AW26</f>
        <v>Принято органом регулирования</v>
      </c>
      <c r="AX10" s="669" t="str" cm="1">
        <f t="array" ref="AX10">AX26</f>
        <v>Отклонение, %</v>
      </c>
      <c r="AY10" s="669" t="str" cm="1">
        <f t="array" ref="AY10">AY26</f>
        <v>Предложение организации</v>
      </c>
      <c r="AZ10" s="669" t="str" cm="1">
        <f t="array" ref="AZ10">AZ26</f>
        <v>Принято органом регулирования</v>
      </c>
      <c r="BA10" s="669" t="str" cm="1">
        <f t="array" ref="BA10">BA26</f>
        <v>Отклонение, %</v>
      </c>
      <c r="BB10" s="669" t="str" cm="1">
        <f t="array" ref="BB10">BB26</f>
        <v>Предложение организации</v>
      </c>
      <c r="BC10" s="669" t="str" cm="1">
        <f t="array" ref="BC10">BC26</f>
        <v>Принято органом регулирования</v>
      </c>
      <c r="BD10" s="669" t="str" cm="1">
        <f t="array" ref="BD10">BD26</f>
        <v>Отклонение, %</v>
      </c>
      <c r="BE10" s="669" t="str" cm="1">
        <f t="array" ref="BE10">BE26</f>
        <v>Предложение организации</v>
      </c>
      <c r="BF10" s="669" t="str" cm="1">
        <f t="array" ref="BF10">BF26</f>
        <v>Принято органом регулирования</v>
      </c>
      <c r="BG10" s="669" t="str" cm="1">
        <f t="array" ref="BG10">BG26</f>
        <v>Отклонение, %</v>
      </c>
      <c r="BH10" s="669" t="str" cm="1">
        <f t="array" ref="BH10">BH26</f>
        <v>Предложение организации</v>
      </c>
      <c r="BI10" s="669" t="str" cm="1">
        <f t="array" ref="BI10">BI26</f>
        <v>Принято органом регулирования</v>
      </c>
      <c r="BJ10" s="669" t="str" cm="1">
        <f t="array" ref="BJ10">BJ26</f>
        <v>Отклонение, %</v>
      </c>
      <c r="BK10" s="669" t="str" cm="1">
        <f t="array" ref="BK10">BK26</f>
        <v>Предложение организации</v>
      </c>
      <c r="BL10" s="669" t="str" cm="1">
        <f t="array" ref="BL10">BL26</f>
        <v>Принято органом регулирования</v>
      </c>
      <c r="BM10" s="669" t="str" cm="1">
        <f t="array" ref="BM10">BM26</f>
        <v>Отклонение, %</v>
      </c>
      <c r="BN10" s="669" t="str" cm="1">
        <f t="array" ref="BN10">BN26</f>
        <v>Предложение организации</v>
      </c>
      <c r="BO10" s="669" t="str" cm="1">
        <f t="array" ref="BO10">BO26</f>
        <v>Принято органом регулирования</v>
      </c>
      <c r="BP10" s="669" t="str" cm="1">
        <f t="array" ref="BP10">BP26</f>
        <v>Отклонение, %</v>
      </c>
      <c r="BQ10" s="669" t="str" cm="1">
        <f t="array" ref="BQ10">BQ26</f>
        <v>Предложение организации</v>
      </c>
      <c r="BR10" s="669" t="str" cm="1">
        <f t="array" ref="BR10">BR26</f>
        <v>Принято органом регулирования</v>
      </c>
      <c r="BS10" s="669" t="str" cm="1">
        <f t="array" ref="BS10">BS26</f>
        <v>Отклонение, %</v>
      </c>
      <c r="BT10" s="669" t="str" cm="1">
        <f t="array" ref="BT10">BT26</f>
        <v>Предложение организации</v>
      </c>
      <c r="BU10" s="669" t="str" cm="1">
        <f t="array" ref="BU10">BU26</f>
        <v>Принято органом регулирования</v>
      </c>
      <c r="BV10" s="669" t="str" cm="1">
        <f t="array" ref="BV10">BV26</f>
        <v>Отклонение, %</v>
      </c>
      <c r="BW10" s="669" t="str" cm="1">
        <f t="array" ref="BW10">BW26</f>
        <v>Предложение организации</v>
      </c>
      <c r="BX10" s="669" t="str" cm="1">
        <f t="array" ref="BX10">BX26</f>
        <v>Принято органом регулирования</v>
      </c>
      <c r="BY10" s="669" t="str" cm="1">
        <f t="array" ref="BY10">BY26</f>
        <v>Отклонение, %</v>
      </c>
      <c r="BZ10" s="669" t="str" cm="1">
        <f t="array" ref="BZ10">BZ26</f>
        <v>Предложение организации</v>
      </c>
      <c r="CA10" s="669" t="str" cm="1">
        <f t="array" ref="CA10">CA26</f>
        <v>Принято органом регулирования</v>
      </c>
      <c r="CB10" s="669" t="str" cm="1">
        <f t="array" ref="CB10">CB26</f>
        <v>Отклонение, %</v>
      </c>
      <c r="CC10" s="669" t="str" cm="1">
        <f t="array" ref="CC10">CC26</f>
        <v>Предложение организации</v>
      </c>
      <c r="CD10" s="669" t="str" cm="1">
        <f t="array" ref="CD10">CD26</f>
        <v>Принято органом регулирования</v>
      </c>
      <c r="CE10" s="669" t="str" cm="1">
        <f t="array" ref="CE10">CE26</f>
        <v>Отклонение, %</v>
      </c>
      <c r="CF10" s="669" t="str" cm="1">
        <f t="array" ref="CF10">CF26</f>
        <v>Предложение организации</v>
      </c>
      <c r="CG10" s="669" t="str" cm="1">
        <f t="array" ref="CG10">CG26</f>
        <v>Принято органом регулирования</v>
      </c>
      <c r="CH10" s="669" t="str" cm="1">
        <f t="array" ref="CH10">CH26</f>
        <v>Отклонение, %</v>
      </c>
      <c r="CI10" s="669" t="str" cm="1">
        <f t="array" ref="CI10">CI26</f>
        <v>Предложение организации</v>
      </c>
      <c r="CJ10" s="669" t="str" cm="1">
        <f t="array" ref="CJ10">CJ26</f>
        <v>Принято органом регулирования</v>
      </c>
      <c r="CK10" s="669" t="str" cm="1">
        <f t="array" ref="CK10">CK26</f>
        <v>Отклонение, %</v>
      </c>
      <c r="CL10" s="669" t="str" cm="1">
        <f t="array" ref="CL10">CL26</f>
        <v>Предложение организации</v>
      </c>
      <c r="CM10" s="669" t="str" cm="1">
        <f t="array" ref="CM10">CM26</f>
        <v>Принято органом регулирования</v>
      </c>
      <c r="CN10" s="669" t="str" cm="1">
        <f t="array" ref="CN10">CN26</f>
        <v>Отклонение, %</v>
      </c>
      <c r="CO10" s="669" t="str" cm="1">
        <f t="array" ref="CO10">CO26</f>
        <v>Предложение организации</v>
      </c>
      <c r="CP10" s="669" t="str" cm="1">
        <f t="array" ref="CP10">CP26</f>
        <v>Принято органом регулирования</v>
      </c>
      <c r="CQ10" s="669" t="str" cm="1">
        <f t="array" ref="CQ10">CQ26</f>
        <v>Отклонение, %</v>
      </c>
      <c r="CR10" s="669" t="str" cm="1">
        <f t="array" ref="CR10">CR26</f>
        <v>Предложение организации</v>
      </c>
      <c r="CS10" s="669" t="str" cm="1">
        <f t="array" ref="CS10">CS26</f>
        <v>Принято органом регулирования</v>
      </c>
      <c r="CT10" s="669" t="str" cm="1">
        <f t="array" ref="CT10">CT26</f>
        <v>Отклонение, %</v>
      </c>
      <c r="CU10" s="669" t="str" cm="1">
        <f t="array" ref="CU10">CU26</f>
        <v>Предложение организации</v>
      </c>
      <c r="CV10" s="669" t="str" cm="1">
        <f t="array" ref="CV10">CV26</f>
        <v>Принято органом регулирования</v>
      </c>
      <c r="CW10" s="669" t="str" cm="1">
        <f t="array" ref="CW10">CW26</f>
        <v>Отклонение, %</v>
      </c>
      <c r="CX10" s="669" t="str" cm="1">
        <f t="array" ref="CX10">CX26</f>
        <v>Предложение организации</v>
      </c>
      <c r="CY10" s="669" t="str" cm="1">
        <f t="array" ref="CY10">CY26</f>
        <v>Принято органом регулирования</v>
      </c>
      <c r="CZ10" s="669" t="str" cm="1">
        <f t="array" ref="CZ10">CZ26</f>
        <v>Отклонение, %</v>
      </c>
      <c r="DA10" s="669" t="str" cm="1">
        <f t="array" ref="DA10">DA26</f>
        <v>Предложение организации</v>
      </c>
      <c r="DB10" s="669" t="str" cm="1">
        <f t="array" ref="DB10">DB26</f>
        <v>Принято органом регулирования</v>
      </c>
      <c r="DC10" s="669" t="str" cm="1">
        <f t="array" ref="DC10">DC26</f>
        <v>Отклонение, %</v>
      </c>
      <c r="DD10" s="669" t="str" cm="1">
        <f t="array" ref="DD10">DD26</f>
        <v>Предложение организации</v>
      </c>
      <c r="DE10" s="669" t="str" cm="1">
        <f t="array" ref="DE10">DE26</f>
        <v>Принято органом регулирования</v>
      </c>
      <c r="DF10" s="669" t="str" cm="1">
        <f t="array" ref="DF10">DF26</f>
        <v>Отклонение, %</v>
      </c>
      <c r="DG10" s="669" t="str" cm="1">
        <f t="array" ref="DG10">DG26</f>
        <v>Предложение организации</v>
      </c>
      <c r="DH10" s="669" t="str" cm="1">
        <f t="array" ref="DH10">DH26</f>
        <v>Принято органом регулирования</v>
      </c>
      <c r="DI10" s="669" t="str" cm="1">
        <f t="array" ref="DI10">DI26</f>
        <v>Отклонение, %</v>
      </c>
      <c r="DJ10" s="669" t="str" cm="1">
        <f t="array" ref="DJ10">DJ26</f>
        <v>Предложение организации</v>
      </c>
      <c r="DK10" s="669" t="str" cm="1">
        <f t="array" ref="DK10">DK26</f>
        <v>Принято органом регулирования</v>
      </c>
      <c r="DL10" s="669" t="str" cm="1">
        <f t="array" ref="DL10">DL26</f>
        <v>Отклонение, %</v>
      </c>
      <c r="DM10" s="669" t="str" cm="1">
        <f t="array" ref="DM10">DM26</f>
        <v>Предложение организации</v>
      </c>
      <c r="DN10" s="669" t="str" cm="1">
        <f t="array" ref="DN10">DN26</f>
        <v>Принято органом регулирования</v>
      </c>
      <c r="DO10" s="669" t="str" cm="1">
        <f t="array" ref="DO10">DO26</f>
        <v>Отклонение, %</v>
      </c>
      <c r="DP10" s="669" t="str" cm="1">
        <f t="array" ref="DP10">DP26</f>
        <v>Предложение организации</v>
      </c>
      <c r="DQ10" s="669" t="str" cm="1">
        <f t="array" ref="DQ10">DQ26</f>
        <v>Принято органом регулирования</v>
      </c>
      <c r="DR10" s="669" t="str" cm="1">
        <f t="array" ref="DR10">DR26</f>
        <v>Отклонение, %</v>
      </c>
      <c r="DS10" s="669" t="str" cm="1">
        <f t="array" ref="DS10">DS26</f>
        <v>Предложение организации</v>
      </c>
      <c r="DT10" s="669" t="str" cm="1">
        <f t="array" ref="DT10">DT26</f>
        <v>Принято органом регулирования</v>
      </c>
      <c r="DU10" s="669" t="str" cm="1">
        <f t="array" ref="DU10">DU26</f>
        <v>Отклонение, %</v>
      </c>
      <c r="DV10" s="669" t="str" cm="1">
        <f t="array" ref="DV10">DV26</f>
        <v>Предложение организации</v>
      </c>
      <c r="DW10" s="669" t="str" cm="1">
        <f t="array" ref="DW10">DW26</f>
        <v>Принято органом регулирования</v>
      </c>
      <c r="DX10" s="669" t="str" cm="1">
        <f t="array" ref="DX10">DX26</f>
        <v>Отклонение, %</v>
      </c>
      <c r="DY10" s="669" t="str" cm="1">
        <f t="array" ref="DY10">DY26</f>
        <v>Предложение организации</v>
      </c>
      <c r="DZ10" s="669" t="str" cm="1">
        <f t="array" ref="DZ10">DZ26</f>
        <v>Принято органом регулирования</v>
      </c>
      <c r="EA10" s="669" t="str" cm="1">
        <f t="array" ref="EA10">EA26</f>
        <v>Отклонение, %</v>
      </c>
      <c r="EB10" s="669" t="str" cm="1">
        <f t="array" ref="EB10">EB26</f>
        <v>Предложение организации</v>
      </c>
      <c r="EC10" s="669" t="str" cm="1">
        <f t="array" ref="EC10">EC26</f>
        <v>Принято органом регулирования</v>
      </c>
      <c r="ED10" s="669" t="str" cm="1">
        <f t="array" ref="ED10">ED26</f>
        <v>Отклонение, %</v>
      </c>
      <c r="EE10" s="669" t="str" cm="1">
        <f t="array" ref="EE10">EE26</f>
        <v>Предложение организации</v>
      </c>
      <c r="EF10" s="669" t="str" cm="1">
        <f t="array" ref="EF10">EF26</f>
        <v>Принято органом регулирования</v>
      </c>
      <c r="EG10" s="669" t="str" cm="1">
        <f t="array" ref="EG10">EG26</f>
        <v>Отклонение, %</v>
      </c>
      <c r="EH10" s="669" t="str" cm="1">
        <f t="array" ref="EH10">EH26</f>
        <v>Предложение организации</v>
      </c>
      <c r="EI10" s="669" t="str" cm="1">
        <f t="array" ref="EI10">EI26</f>
        <v>Принято органом регулирования</v>
      </c>
      <c r="EJ10" s="669" t="str" cm="1">
        <f t="array" ref="EJ10">EJ26</f>
        <v>Отклонение, %</v>
      </c>
      <c r="EK10" s="669" t="str" cm="1">
        <f t="array" ref="EK10">EK26</f>
        <v>Предложение организации</v>
      </c>
      <c r="EL10" s="669" t="str" cm="1">
        <f t="array" ref="EL10">EL26</f>
        <v>Принято органом регулирования</v>
      </c>
      <c r="EM10" s="669" t="str" cm="1">
        <f t="array" ref="EM10">EM26</f>
        <v>Отклонение, %</v>
      </c>
      <c r="EN10" s="669" t="str" cm="1">
        <f t="array" ref="EN10">EN26</f>
        <v>Предложение организации</v>
      </c>
      <c r="EO10" s="669" t="str" cm="1">
        <f t="array" ref="EO10">EO26</f>
        <v>Принято органом регулирования</v>
      </c>
      <c r="EP10" s="669" t="str" cm="1">
        <f t="array" ref="EP10">EP26</f>
        <v>Отклонение, %</v>
      </c>
      <c r="EQ10" s="669" t="str" cm="1">
        <f t="array" ref="EQ10">EQ26</f>
        <v>Предложение организации</v>
      </c>
      <c r="ER10" s="669" t="str" cm="1">
        <f t="array" ref="ER10">ER26</f>
        <v>Принято органом регулирования</v>
      </c>
      <c r="ES10" s="669" t="str" cm="1">
        <f t="array" ref="ES10">ES26</f>
        <v>Отклонение, %</v>
      </c>
      <c r="ET10" s="669" t="str" cm="1">
        <f t="array" ref="ET10">ET26</f>
        <v>Предложение организации</v>
      </c>
      <c r="EU10" s="669" t="str" cm="1">
        <f t="array" ref="EU10">EU26</f>
        <v>Принято органом регулирования</v>
      </c>
      <c r="EV10" s="669" t="str" cm="1">
        <f t="array" ref="EV10">EV26</f>
        <v>Отклонение, %</v>
      </c>
      <c r="EW10" s="669" t="str" cm="1">
        <f t="array" ref="EW10">EW26</f>
        <v>Предложение организации</v>
      </c>
      <c r="EX10" s="669" t="str" cm="1">
        <f t="array" ref="EX10">EX26</f>
        <v>Принято органом регулирования</v>
      </c>
      <c r="EY10" s="669" t="str" cm="1">
        <f t="array" ref="EY10">EY26</f>
        <v>Отклонение, %</v>
      </c>
      <c r="EZ10" s="669" t="str" cm="1">
        <f t="array" ref="EZ10">EZ26</f>
        <v>Предложение организации</v>
      </c>
      <c r="FA10" s="669" t="str" cm="1">
        <f t="array" ref="FA10">FA26</f>
        <v>Принято органом регулирования</v>
      </c>
      <c r="FB10" s="669" t="str" cm="1">
        <f t="array" ref="FB10">FB26</f>
        <v>Отклонение, %</v>
      </c>
      <c r="FC10" s="669" t="str" cm="1">
        <f t="array" ref="FC10">FC26</f>
        <v>Предложение организации</v>
      </c>
      <c r="FD10" s="669" t="str" cm="1">
        <f t="array" ref="FD10">FD26</f>
        <v>Принято органом регулирования</v>
      </c>
      <c r="FE10" s="669" t="str" cm="1">
        <f t="array" ref="FE10">FE26</f>
        <v>Отклонение, %</v>
      </c>
      <c r="FF10" s="669" t="str" cm="1">
        <f t="array" ref="FF10">FF26</f>
        <v>Предложение организации</v>
      </c>
      <c r="FG10" s="669" t="str" cm="1">
        <f t="array" ref="FG10">FG26</f>
        <v>Принято органом регулирования</v>
      </c>
      <c r="FH10" s="669" t="str" cm="1">
        <f t="array" ref="FH10">FH26</f>
        <v>Отклонение, %</v>
      </c>
      <c r="FI10" s="669" t="str" cm="1">
        <f t="array" ref="FI10">FI26</f>
        <v>Предложение организации</v>
      </c>
      <c r="FJ10" s="669" t="str" cm="1">
        <f t="array" ref="FJ10">FJ26</f>
        <v>Принято органом регулирования</v>
      </c>
      <c r="FK10" s="669" t="str" cm="1">
        <f t="array" ref="FK10">FK26</f>
        <v>Отклонение, %</v>
      </c>
      <c r="FL10" s="669" t="str" cm="1">
        <f t="array" ref="FL10">FL26</f>
        <v>Предложение организации</v>
      </c>
      <c r="FM10" s="669" t="str" cm="1">
        <f t="array" ref="FM10">FM26</f>
        <v>Принято органом регулирования</v>
      </c>
      <c r="FN10" s="669" t="str" cm="1">
        <f t="array" ref="FN10">FN26</f>
        <v>Отклонение, %</v>
      </c>
      <c r="FO10" s="669" t="str" cm="1">
        <f t="array" ref="FO10">FO26</f>
        <v>Предложение организации</v>
      </c>
      <c r="FP10" s="669" t="str" cm="1">
        <f t="array" ref="FP10">FP26</f>
        <v>Принято органом регулирования</v>
      </c>
      <c r="FQ10" s="669" t="str" cm="1">
        <f t="array" ref="FQ10">FQ26</f>
        <v>Отклонение, %</v>
      </c>
      <c r="FR10" s="669" t="str" cm="1">
        <f t="array" ref="FR10">FR26</f>
        <v>Предложение организации</v>
      </c>
      <c r="FS10" s="669" t="str" cm="1">
        <f t="array" ref="FS10">FS26</f>
        <v>Принято органом регулирования</v>
      </c>
      <c r="FT10" s="669" t="str" cm="1">
        <f t="array" ref="FT10">FT26</f>
        <v>Отклонение, %</v>
      </c>
      <c r="FU10" s="669" t="str" cm="1">
        <f t="array" ref="FU10">FU26</f>
        <v>Предложение организации</v>
      </c>
      <c r="FV10" s="669" t="str" cm="1">
        <f t="array" ref="FV10">FV26</f>
        <v>Принято органом регулирования</v>
      </c>
      <c r="FW10" s="669" t="str" cm="1">
        <f t="array" ref="FW10">FW26</f>
        <v>Отклонение, %</v>
      </c>
      <c r="GC10" s="459"/>
      <c r="GD10" s="459"/>
    </row>
    <row r="11" spans="1:186" s="669" customFormat="1" ht="11.25" hidden="1" customHeight="1">
      <c r="A11" s="669" t="s">
        <v>327</v>
      </c>
      <c r="B11" s="646"/>
      <c r="F11" s="687"/>
      <c r="AB11" s="688" t="s">
        <v>314</v>
      </c>
      <c r="AC11" s="667"/>
      <c r="GC11" s="459"/>
      <c r="GD11" s="459"/>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357</v>
      </c>
      <c r="AB18" s="120" t="s">
        <v>358</v>
      </c>
    </row>
    <row r="19" spans="1:186" ht="11.25" hidden="1" customHeight="1"/>
    <row r="20" spans="1:186" ht="11.25" hidden="1" customHeight="1"/>
    <row r="21" spans="1:186" ht="14.65" customHeight="1">
      <c r="E21" s="459">
        <v>15</v>
      </c>
      <c r="AA21" s="59"/>
      <c r="AB21" s="267" t="str" cm="1">
        <f t="array" ref="AB21">tpl_title</f>
        <v>Кемеровская область / 2026 / МУП "Водоканал" (ИНН:4202043124, КПП:420201001) / ДПР: 2026-2028</v>
      </c>
    </row>
    <row r="22" spans="1:186" s="59" customFormat="1" ht="23.45" customHeight="1">
      <c r="B22" s="382"/>
      <c r="E22" s="460">
        <v>24</v>
      </c>
      <c r="F22" s="370"/>
      <c r="AB22" s="225" t="s">
        <v>82</v>
      </c>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6"/>
      <c r="CJ22" s="196"/>
      <c r="CK22" s="196"/>
      <c r="CL22" s="196"/>
      <c r="CM22" s="196"/>
      <c r="CN22" s="196"/>
      <c r="CO22" s="196"/>
      <c r="CP22" s="196"/>
      <c r="CQ22" s="196"/>
      <c r="CR22" s="196"/>
      <c r="CS22" s="196"/>
      <c r="CT22" s="196"/>
      <c r="CU22" s="196"/>
      <c r="CV22" s="196"/>
      <c r="CW22" s="196"/>
      <c r="CX22" s="196"/>
      <c r="CY22" s="196"/>
      <c r="CZ22" s="196"/>
      <c r="DA22" s="196"/>
      <c r="DB22" s="196"/>
      <c r="DC22" s="196"/>
      <c r="DD22" s="196"/>
      <c r="DE22" s="196"/>
      <c r="DF22" s="196"/>
      <c r="DG22" s="196"/>
      <c r="DH22" s="196"/>
      <c r="DI22" s="196"/>
      <c r="DJ22" s="196"/>
      <c r="DK22" s="196"/>
      <c r="DL22" s="196"/>
      <c r="DM22" s="196"/>
      <c r="DN22" s="196"/>
      <c r="DO22" s="196"/>
      <c r="DP22" s="196"/>
      <c r="DQ22" s="196"/>
      <c r="DR22" s="196"/>
      <c r="DS22" s="196"/>
      <c r="DT22" s="196"/>
      <c r="DU22" s="196"/>
      <c r="DV22" s="196"/>
      <c r="DW22" s="196"/>
      <c r="DX22" s="196"/>
      <c r="DY22" s="196"/>
      <c r="DZ22" s="196"/>
      <c r="EA22" s="196"/>
      <c r="EB22" s="196"/>
      <c r="EC22" s="196"/>
      <c r="ED22" s="196"/>
      <c r="EE22" s="196"/>
      <c r="EF22" s="196"/>
      <c r="EG22" s="196"/>
      <c r="EH22" s="196"/>
      <c r="EI22" s="196"/>
      <c r="EJ22" s="196"/>
      <c r="EK22" s="196"/>
      <c r="EL22" s="196"/>
      <c r="EM22" s="196"/>
      <c r="EN22" s="196"/>
      <c r="EO22" s="196"/>
      <c r="EP22" s="196"/>
      <c r="EQ22" s="196"/>
      <c r="ER22" s="196"/>
      <c r="ES22" s="196"/>
      <c r="ET22" s="196"/>
      <c r="EU22" s="196"/>
      <c r="EV22" s="196"/>
      <c r="EW22" s="196"/>
      <c r="EX22" s="196"/>
      <c r="EY22" s="196"/>
      <c r="EZ22" s="196"/>
      <c r="FA22" s="196"/>
      <c r="FB22" s="196"/>
      <c r="FC22" s="196"/>
      <c r="FD22" s="196"/>
      <c r="FE22" s="196"/>
      <c r="FF22" s="196"/>
      <c r="FG22" s="196"/>
      <c r="FH22" s="196"/>
      <c r="FI22" s="196"/>
      <c r="FJ22" s="196"/>
      <c r="FK22" s="196"/>
      <c r="FL22" s="196"/>
      <c r="FM22" s="196"/>
      <c r="FN22" s="196"/>
      <c r="FO22" s="196"/>
      <c r="FP22" s="196"/>
      <c r="FQ22" s="196"/>
      <c r="FR22" s="196"/>
      <c r="FS22" s="196"/>
      <c r="FT22" s="196"/>
      <c r="FU22" s="196"/>
      <c r="FV22" s="196"/>
      <c r="FW22" s="196"/>
      <c r="FZ22" s="672"/>
      <c r="GA22" s="672"/>
      <c r="GB22" s="672"/>
      <c r="GC22" s="460"/>
      <c r="GD22" s="460"/>
    </row>
    <row r="23" spans="1:186" ht="10.9" customHeight="1">
      <c r="E23" s="459">
        <v>11.25</v>
      </c>
      <c r="AB23" s="60"/>
      <c r="AD23" s="60"/>
    </row>
    <row r="24" spans="1:186" s="59" customFormat="1" ht="18.95" customHeight="1">
      <c r="E24" s="460">
        <v>19.5</v>
      </c>
      <c r="F24" s="370"/>
      <c r="T24" s="351" t="b">
        <f>OR(hasVS,hasVO)</f>
        <v>1</v>
      </c>
      <c r="AA24" s="285"/>
      <c r="AB24" s="306" t="s">
        <v>82</v>
      </c>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c r="CP24" s="271"/>
      <c r="CQ24" s="271"/>
      <c r="CR24" s="271"/>
      <c r="CS24" s="271"/>
      <c r="CT24" s="271"/>
      <c r="CU24" s="271"/>
      <c r="CV24" s="271"/>
      <c r="CW24" s="271"/>
      <c r="CX24" s="271"/>
      <c r="CY24" s="271"/>
      <c r="CZ24" s="271"/>
      <c r="DA24" s="271"/>
      <c r="DB24" s="271"/>
      <c r="DC24" s="271"/>
      <c r="DD24" s="271"/>
      <c r="DE24" s="271"/>
      <c r="DF24" s="271"/>
      <c r="DG24" s="271"/>
      <c r="DH24" s="271"/>
      <c r="DI24" s="271"/>
      <c r="DJ24" s="271"/>
      <c r="DK24" s="271"/>
      <c r="DL24" s="271"/>
      <c r="DM24" s="271"/>
      <c r="DN24" s="271"/>
      <c r="DO24" s="271"/>
      <c r="DP24" s="271"/>
      <c r="DQ24" s="271"/>
      <c r="DR24" s="271"/>
      <c r="DS24" s="271"/>
      <c r="DT24" s="271"/>
      <c r="DU24" s="271"/>
      <c r="DV24" s="271"/>
      <c r="DW24" s="271"/>
      <c r="DX24" s="271"/>
      <c r="DY24" s="271"/>
      <c r="DZ24" s="271"/>
      <c r="EA24" s="271"/>
      <c r="EB24" s="271"/>
      <c r="EC24" s="271"/>
      <c r="ED24" s="271"/>
      <c r="EE24" s="271"/>
      <c r="EF24" s="271"/>
      <c r="EG24" s="271"/>
      <c r="EH24" s="271"/>
      <c r="EI24" s="271"/>
      <c r="EJ24" s="271"/>
      <c r="EK24" s="271"/>
      <c r="EL24" s="271"/>
      <c r="EM24" s="271"/>
      <c r="EN24" s="271"/>
      <c r="EO24" s="271"/>
      <c r="EP24" s="271"/>
      <c r="EQ24" s="271"/>
      <c r="ER24" s="271"/>
      <c r="ES24" s="271"/>
      <c r="ET24" s="271"/>
      <c r="EU24" s="271"/>
      <c r="EV24" s="271"/>
      <c r="EW24" s="271"/>
      <c r="EX24" s="271"/>
      <c r="EY24" s="271"/>
      <c r="EZ24" s="271"/>
      <c r="FA24" s="271"/>
      <c r="FB24" s="271"/>
      <c r="FC24" s="271"/>
      <c r="FD24" s="271"/>
      <c r="FE24" s="271"/>
      <c r="FF24" s="271"/>
      <c r="FG24" s="271"/>
      <c r="FH24" s="271"/>
      <c r="FI24" s="271"/>
      <c r="FJ24" s="271"/>
      <c r="FK24" s="271"/>
      <c r="FL24" s="271"/>
      <c r="FM24" s="271"/>
      <c r="FN24" s="271"/>
      <c r="FO24" s="271"/>
      <c r="FP24" s="271"/>
      <c r="FQ24" s="271"/>
      <c r="FR24" s="271"/>
      <c r="FS24" s="271"/>
      <c r="FT24" s="271"/>
      <c r="FU24" s="271"/>
      <c r="FV24" s="271"/>
      <c r="FW24" s="271"/>
      <c r="FZ24" s="672"/>
      <c r="GA24" s="672"/>
      <c r="GB24" s="672"/>
      <c r="GC24" s="460"/>
      <c r="GD24" s="460"/>
    </row>
    <row r="25" spans="1:186" ht="18.2" customHeight="1">
      <c r="E25" s="459">
        <v>11.25</v>
      </c>
      <c r="T25" s="351" t="b">
        <f>OR(hasVS,hasVO)</f>
        <v>1</v>
      </c>
      <c r="AB25" s="1025" t="s">
        <v>358</v>
      </c>
      <c r="AC25" s="1025" t="s">
        <v>359</v>
      </c>
      <c r="AD25" s="1104" t="str">
        <f>AD6&amp;" год"</f>
        <v>2026 год</v>
      </c>
      <c r="AE25" s="1105"/>
      <c r="AF25" s="1106"/>
      <c r="AG25" s="1104" t="str">
        <f>AG6&amp;" год"</f>
        <v>2027 год</v>
      </c>
      <c r="AH25" s="1105"/>
      <c r="AI25" s="1106"/>
      <c r="AJ25" s="1104" t="str">
        <f>AJ6&amp;" год"</f>
        <v>2028 год</v>
      </c>
      <c r="AK25" s="1105"/>
      <c r="AL25" s="1106"/>
      <c r="AM25" s="1104" t="str">
        <f>AM6&amp;" год"</f>
        <v>2029 год</v>
      </c>
      <c r="AN25" s="1105"/>
      <c r="AO25" s="1106"/>
      <c r="AP25" s="1104" t="str">
        <f>AP6&amp;" год"</f>
        <v>2030 год</v>
      </c>
      <c r="AQ25" s="1105"/>
      <c r="AR25" s="1106"/>
      <c r="AS25" s="1104" t="str">
        <f>AS6&amp;" год"</f>
        <v>2031 год</v>
      </c>
      <c r="AT25" s="1105"/>
      <c r="AU25" s="1106"/>
      <c r="AV25" s="1104" t="str">
        <f>AV6&amp;" год"</f>
        <v>2032 год</v>
      </c>
      <c r="AW25" s="1105"/>
      <c r="AX25" s="1106"/>
      <c r="AY25" s="1104" t="str">
        <f>AY6&amp;" год"</f>
        <v>2033 год</v>
      </c>
      <c r="AZ25" s="1105"/>
      <c r="BA25" s="1106"/>
      <c r="BB25" s="1104" t="str">
        <f>BB6&amp;" год"</f>
        <v>2034 год</v>
      </c>
      <c r="BC25" s="1105"/>
      <c r="BD25" s="1106"/>
      <c r="BE25" s="1104" t="str">
        <f>BE6&amp;" год"</f>
        <v>2035 год</v>
      </c>
      <c r="BF25" s="1105"/>
      <c r="BG25" s="1106"/>
      <c r="BH25" s="1104" t="str">
        <f>BH6&amp;" год"</f>
        <v>2036 год</v>
      </c>
      <c r="BI25" s="1105"/>
      <c r="BJ25" s="1106"/>
      <c r="BK25" s="1104" t="str">
        <f>BK6&amp;" год"</f>
        <v>2037 год</v>
      </c>
      <c r="BL25" s="1105"/>
      <c r="BM25" s="1106"/>
      <c r="BN25" s="1104" t="str">
        <f>BN6&amp;" год"</f>
        <v>2038 год</v>
      </c>
      <c r="BO25" s="1105"/>
      <c r="BP25" s="1106"/>
      <c r="BQ25" s="1104" t="str">
        <f>BQ6&amp;" год"</f>
        <v>2039 год</v>
      </c>
      <c r="BR25" s="1105"/>
      <c r="BS25" s="1106"/>
      <c r="BT25" s="1104" t="str">
        <f>BT6&amp;" год"</f>
        <v>2040 год</v>
      </c>
      <c r="BU25" s="1105"/>
      <c r="BV25" s="1106"/>
      <c r="BW25" s="1104" t="str">
        <f>BW6&amp;" год"</f>
        <v>2041 год</v>
      </c>
      <c r="BX25" s="1105"/>
      <c r="BY25" s="1106"/>
      <c r="BZ25" s="1104" t="str">
        <f>BZ6&amp;" год"</f>
        <v>2042 год</v>
      </c>
      <c r="CA25" s="1105"/>
      <c r="CB25" s="1106"/>
      <c r="CC25" s="1104" t="str">
        <f>CC6&amp;" год"</f>
        <v>2043 год</v>
      </c>
      <c r="CD25" s="1105"/>
      <c r="CE25" s="1106"/>
      <c r="CF25" s="1104" t="str">
        <f>CF6&amp;" год"</f>
        <v>2044 год</v>
      </c>
      <c r="CG25" s="1105"/>
      <c r="CH25" s="1106"/>
      <c r="CI25" s="1104" t="str">
        <f>CI6&amp;" год"</f>
        <v>2045 год</v>
      </c>
      <c r="CJ25" s="1105"/>
      <c r="CK25" s="1106"/>
      <c r="CL25" s="1104" t="str">
        <f>CL6&amp;" год"</f>
        <v>2046 год</v>
      </c>
      <c r="CM25" s="1105"/>
      <c r="CN25" s="1106"/>
      <c r="CO25" s="1104" t="str">
        <f>CO6&amp;" год"</f>
        <v>2047 год</v>
      </c>
      <c r="CP25" s="1105"/>
      <c r="CQ25" s="1106"/>
      <c r="CR25" s="1104" t="str">
        <f>CR6&amp;" год"</f>
        <v>2048 год</v>
      </c>
      <c r="CS25" s="1105"/>
      <c r="CT25" s="1106"/>
      <c r="CU25" s="1104" t="str">
        <f>CU6&amp;" год"</f>
        <v>2049 год</v>
      </c>
      <c r="CV25" s="1105"/>
      <c r="CW25" s="1106"/>
      <c r="CX25" s="1104" t="str">
        <f>CX6&amp;" год"</f>
        <v>2050 год</v>
      </c>
      <c r="CY25" s="1105"/>
      <c r="CZ25" s="1106"/>
      <c r="DA25" s="1104" t="str">
        <f>DA6&amp;" год"</f>
        <v>2051 год</v>
      </c>
      <c r="DB25" s="1105"/>
      <c r="DC25" s="1106"/>
      <c r="DD25" s="1104" t="str">
        <f>DD6&amp;" год"</f>
        <v>2052 год</v>
      </c>
      <c r="DE25" s="1105"/>
      <c r="DF25" s="1106"/>
      <c r="DG25" s="1104" t="str">
        <f>DG6&amp;" год"</f>
        <v>2053 год</v>
      </c>
      <c r="DH25" s="1105"/>
      <c r="DI25" s="1106"/>
      <c r="DJ25" s="1104" t="str">
        <f>DJ6&amp;" год"</f>
        <v>2054 год</v>
      </c>
      <c r="DK25" s="1105"/>
      <c r="DL25" s="1106"/>
      <c r="DM25" s="1104" t="str">
        <f>DM6&amp;" год"</f>
        <v>2055 год</v>
      </c>
      <c r="DN25" s="1105"/>
      <c r="DO25" s="1106"/>
      <c r="DP25" s="1104" t="str">
        <f>DP6&amp;" год"</f>
        <v>2056 год</v>
      </c>
      <c r="DQ25" s="1105"/>
      <c r="DR25" s="1106"/>
      <c r="DS25" s="1104" t="str">
        <f>DS6&amp;" год"</f>
        <v>2057 год</v>
      </c>
      <c r="DT25" s="1105"/>
      <c r="DU25" s="1106"/>
      <c r="DV25" s="1104" t="str">
        <f>DV6&amp;" год"</f>
        <v>2058 год</v>
      </c>
      <c r="DW25" s="1105"/>
      <c r="DX25" s="1106"/>
      <c r="DY25" s="1104" t="str">
        <f>DY6&amp;" год"</f>
        <v>2059 год</v>
      </c>
      <c r="DZ25" s="1105"/>
      <c r="EA25" s="1106"/>
      <c r="EB25" s="1104" t="str">
        <f>EB6&amp;" год"</f>
        <v>2060 год</v>
      </c>
      <c r="EC25" s="1105"/>
      <c r="ED25" s="1106"/>
      <c r="EE25" s="1104" t="str">
        <f>EE6&amp;" год"</f>
        <v>2061 год</v>
      </c>
      <c r="EF25" s="1105"/>
      <c r="EG25" s="1106"/>
      <c r="EH25" s="1104" t="str">
        <f>EH6&amp;" год"</f>
        <v>2062 год</v>
      </c>
      <c r="EI25" s="1105"/>
      <c r="EJ25" s="1106"/>
      <c r="EK25" s="1104" t="str">
        <f>EK6&amp;" год"</f>
        <v>2063 год</v>
      </c>
      <c r="EL25" s="1105"/>
      <c r="EM25" s="1106"/>
      <c r="EN25" s="1104" t="str">
        <f>EN6&amp;" год"</f>
        <v>2064 год</v>
      </c>
      <c r="EO25" s="1105"/>
      <c r="EP25" s="1106"/>
      <c r="EQ25" s="1104" t="str">
        <f>EQ6&amp;" год"</f>
        <v>2065 год</v>
      </c>
      <c r="ER25" s="1105"/>
      <c r="ES25" s="1106"/>
      <c r="ET25" s="1104" t="str">
        <f>ET6&amp;" год"</f>
        <v>2066 год</v>
      </c>
      <c r="EU25" s="1105"/>
      <c r="EV25" s="1106"/>
      <c r="EW25" s="1104" t="str">
        <f>EW6&amp;" год"</f>
        <v>2067 год</v>
      </c>
      <c r="EX25" s="1105"/>
      <c r="EY25" s="1106"/>
      <c r="EZ25" s="1104" t="str">
        <f>EZ6&amp;" год"</f>
        <v>2068 год</v>
      </c>
      <c r="FA25" s="1105"/>
      <c r="FB25" s="1106"/>
      <c r="FC25" s="1104" t="str">
        <f>FC6&amp;" год"</f>
        <v>2069 год</v>
      </c>
      <c r="FD25" s="1105"/>
      <c r="FE25" s="1106"/>
      <c r="FF25" s="1104" t="str">
        <f>FF6&amp;" год"</f>
        <v>2070 год</v>
      </c>
      <c r="FG25" s="1105"/>
      <c r="FH25" s="1106"/>
      <c r="FI25" s="1104" t="str">
        <f>FI6&amp;" год"</f>
        <v>2071 год</v>
      </c>
      <c r="FJ25" s="1105"/>
      <c r="FK25" s="1106"/>
      <c r="FL25" s="1104" t="str">
        <f>FL6&amp;" год"</f>
        <v>2072 год</v>
      </c>
      <c r="FM25" s="1105"/>
      <c r="FN25" s="1106"/>
      <c r="FO25" s="1104" t="str">
        <f>FO6&amp;" год"</f>
        <v>2073 год</v>
      </c>
      <c r="FP25" s="1105"/>
      <c r="FQ25" s="1106"/>
      <c r="FR25" s="1104" t="str">
        <f>FR6&amp;" год"</f>
        <v>2074 год</v>
      </c>
      <c r="FS25" s="1105"/>
      <c r="FT25" s="1106"/>
      <c r="FU25" s="1104" t="str">
        <f>FU6&amp;" год"</f>
        <v>2075 год</v>
      </c>
      <c r="FV25" s="1105"/>
      <c r="FW25" s="1106"/>
    </row>
    <row r="26" spans="1:186" ht="44.45" customHeight="1">
      <c r="E26" s="459">
        <v>34.25</v>
      </c>
      <c r="T26" s="351" t="b">
        <f>OR(hasVS,hasVO)</f>
        <v>1</v>
      </c>
      <c r="AB26" s="1025"/>
      <c r="AC26" s="1025"/>
      <c r="AD26" s="725" t="s">
        <v>352</v>
      </c>
      <c r="AE26" s="12" t="s">
        <v>351</v>
      </c>
      <c r="AF26" s="12" t="s">
        <v>1637</v>
      </c>
      <c r="AG26" s="725" t="s">
        <v>352</v>
      </c>
      <c r="AH26" s="12" t="s">
        <v>351</v>
      </c>
      <c r="AI26" s="12" t="s">
        <v>1637</v>
      </c>
      <c r="AJ26" s="725" t="s">
        <v>352</v>
      </c>
      <c r="AK26" s="12" t="s">
        <v>351</v>
      </c>
      <c r="AL26" s="12" t="s">
        <v>1637</v>
      </c>
      <c r="AM26" s="725" t="s">
        <v>352</v>
      </c>
      <c r="AN26" s="12" t="s">
        <v>351</v>
      </c>
      <c r="AO26" s="12" t="s">
        <v>1637</v>
      </c>
      <c r="AP26" s="725" t="s">
        <v>352</v>
      </c>
      <c r="AQ26" s="12" t="s">
        <v>351</v>
      </c>
      <c r="AR26" s="12" t="s">
        <v>1637</v>
      </c>
      <c r="AS26" s="725" t="s">
        <v>352</v>
      </c>
      <c r="AT26" s="12" t="s">
        <v>351</v>
      </c>
      <c r="AU26" s="12" t="s">
        <v>1637</v>
      </c>
      <c r="AV26" s="725" t="s">
        <v>352</v>
      </c>
      <c r="AW26" s="12" t="s">
        <v>351</v>
      </c>
      <c r="AX26" s="12" t="s">
        <v>1637</v>
      </c>
      <c r="AY26" s="725" t="s">
        <v>352</v>
      </c>
      <c r="AZ26" s="12" t="s">
        <v>351</v>
      </c>
      <c r="BA26" s="12" t="s">
        <v>1637</v>
      </c>
      <c r="BB26" s="725" t="s">
        <v>352</v>
      </c>
      <c r="BC26" s="12" t="s">
        <v>351</v>
      </c>
      <c r="BD26" s="12" t="s">
        <v>1637</v>
      </c>
      <c r="BE26" s="725" t="s">
        <v>352</v>
      </c>
      <c r="BF26" s="12" t="s">
        <v>351</v>
      </c>
      <c r="BG26" s="12" t="s">
        <v>1637</v>
      </c>
      <c r="BH26" s="725" t="s">
        <v>352</v>
      </c>
      <c r="BI26" s="12" t="s">
        <v>351</v>
      </c>
      <c r="BJ26" s="12" t="s">
        <v>1637</v>
      </c>
      <c r="BK26" s="725" t="s">
        <v>352</v>
      </c>
      <c r="BL26" s="12" t="s">
        <v>351</v>
      </c>
      <c r="BM26" s="12" t="s">
        <v>1637</v>
      </c>
      <c r="BN26" s="725" t="s">
        <v>352</v>
      </c>
      <c r="BO26" s="12" t="s">
        <v>351</v>
      </c>
      <c r="BP26" s="12" t="s">
        <v>1637</v>
      </c>
      <c r="BQ26" s="725" t="s">
        <v>352</v>
      </c>
      <c r="BR26" s="12" t="s">
        <v>351</v>
      </c>
      <c r="BS26" s="12" t="s">
        <v>1637</v>
      </c>
      <c r="BT26" s="725" t="s">
        <v>352</v>
      </c>
      <c r="BU26" s="12" t="s">
        <v>351</v>
      </c>
      <c r="BV26" s="12" t="s">
        <v>1637</v>
      </c>
      <c r="BW26" s="725" t="s">
        <v>352</v>
      </c>
      <c r="BX26" s="12" t="s">
        <v>351</v>
      </c>
      <c r="BY26" s="12" t="s">
        <v>1637</v>
      </c>
      <c r="BZ26" s="725" t="s">
        <v>352</v>
      </c>
      <c r="CA26" s="12" t="s">
        <v>351</v>
      </c>
      <c r="CB26" s="12" t="s">
        <v>1637</v>
      </c>
      <c r="CC26" s="725" t="s">
        <v>352</v>
      </c>
      <c r="CD26" s="12" t="s">
        <v>351</v>
      </c>
      <c r="CE26" s="12" t="s">
        <v>1637</v>
      </c>
      <c r="CF26" s="725" t="s">
        <v>352</v>
      </c>
      <c r="CG26" s="12" t="s">
        <v>351</v>
      </c>
      <c r="CH26" s="12" t="s">
        <v>1637</v>
      </c>
      <c r="CI26" s="725" t="s">
        <v>352</v>
      </c>
      <c r="CJ26" s="12" t="s">
        <v>351</v>
      </c>
      <c r="CK26" s="12" t="s">
        <v>1637</v>
      </c>
      <c r="CL26" s="725" t="s">
        <v>352</v>
      </c>
      <c r="CM26" s="12" t="s">
        <v>351</v>
      </c>
      <c r="CN26" s="12" t="s">
        <v>1637</v>
      </c>
      <c r="CO26" s="725" t="s">
        <v>352</v>
      </c>
      <c r="CP26" s="12" t="s">
        <v>351</v>
      </c>
      <c r="CQ26" s="12" t="s">
        <v>1637</v>
      </c>
      <c r="CR26" s="725" t="s">
        <v>352</v>
      </c>
      <c r="CS26" s="12" t="s">
        <v>351</v>
      </c>
      <c r="CT26" s="12" t="s">
        <v>1637</v>
      </c>
      <c r="CU26" s="725" t="s">
        <v>352</v>
      </c>
      <c r="CV26" s="12" t="s">
        <v>351</v>
      </c>
      <c r="CW26" s="12" t="s">
        <v>1637</v>
      </c>
      <c r="CX26" s="725" t="s">
        <v>352</v>
      </c>
      <c r="CY26" s="12" t="s">
        <v>351</v>
      </c>
      <c r="CZ26" s="12" t="s">
        <v>1637</v>
      </c>
      <c r="DA26" s="725" t="s">
        <v>352</v>
      </c>
      <c r="DB26" s="12" t="s">
        <v>351</v>
      </c>
      <c r="DC26" s="12" t="s">
        <v>1637</v>
      </c>
      <c r="DD26" s="725" t="s">
        <v>352</v>
      </c>
      <c r="DE26" s="12" t="s">
        <v>351</v>
      </c>
      <c r="DF26" s="12" t="s">
        <v>1637</v>
      </c>
      <c r="DG26" s="725" t="s">
        <v>352</v>
      </c>
      <c r="DH26" s="12" t="s">
        <v>351</v>
      </c>
      <c r="DI26" s="12" t="s">
        <v>1637</v>
      </c>
      <c r="DJ26" s="725" t="s">
        <v>352</v>
      </c>
      <c r="DK26" s="12" t="s">
        <v>351</v>
      </c>
      <c r="DL26" s="12" t="s">
        <v>1637</v>
      </c>
      <c r="DM26" s="725" t="s">
        <v>352</v>
      </c>
      <c r="DN26" s="12" t="s">
        <v>351</v>
      </c>
      <c r="DO26" s="12" t="s">
        <v>1637</v>
      </c>
      <c r="DP26" s="725" t="s">
        <v>352</v>
      </c>
      <c r="DQ26" s="12" t="s">
        <v>351</v>
      </c>
      <c r="DR26" s="12" t="s">
        <v>1637</v>
      </c>
      <c r="DS26" s="725" t="s">
        <v>352</v>
      </c>
      <c r="DT26" s="12" t="s">
        <v>351</v>
      </c>
      <c r="DU26" s="12" t="s">
        <v>1637</v>
      </c>
      <c r="DV26" s="725" t="s">
        <v>352</v>
      </c>
      <c r="DW26" s="12" t="s">
        <v>351</v>
      </c>
      <c r="DX26" s="12" t="s">
        <v>1637</v>
      </c>
      <c r="DY26" s="725" t="s">
        <v>352</v>
      </c>
      <c r="DZ26" s="12" t="s">
        <v>351</v>
      </c>
      <c r="EA26" s="12" t="s">
        <v>1637</v>
      </c>
      <c r="EB26" s="725" t="s">
        <v>352</v>
      </c>
      <c r="EC26" s="12" t="s">
        <v>351</v>
      </c>
      <c r="ED26" s="12" t="s">
        <v>1637</v>
      </c>
      <c r="EE26" s="725" t="s">
        <v>352</v>
      </c>
      <c r="EF26" s="12" t="s">
        <v>351</v>
      </c>
      <c r="EG26" s="12" t="s">
        <v>1637</v>
      </c>
      <c r="EH26" s="725" t="s">
        <v>352</v>
      </c>
      <c r="EI26" s="12" t="s">
        <v>351</v>
      </c>
      <c r="EJ26" s="12" t="s">
        <v>1637</v>
      </c>
      <c r="EK26" s="725" t="s">
        <v>352</v>
      </c>
      <c r="EL26" s="12" t="s">
        <v>351</v>
      </c>
      <c r="EM26" s="12" t="s">
        <v>1637</v>
      </c>
      <c r="EN26" s="725" t="s">
        <v>352</v>
      </c>
      <c r="EO26" s="12" t="s">
        <v>351</v>
      </c>
      <c r="EP26" s="12" t="s">
        <v>1637</v>
      </c>
      <c r="EQ26" s="725" t="s">
        <v>352</v>
      </c>
      <c r="ER26" s="12" t="s">
        <v>351</v>
      </c>
      <c r="ES26" s="12" t="s">
        <v>1637</v>
      </c>
      <c r="ET26" s="725" t="s">
        <v>352</v>
      </c>
      <c r="EU26" s="12" t="s">
        <v>351</v>
      </c>
      <c r="EV26" s="12" t="s">
        <v>1637</v>
      </c>
      <c r="EW26" s="725" t="s">
        <v>352</v>
      </c>
      <c r="EX26" s="12" t="s">
        <v>351</v>
      </c>
      <c r="EY26" s="12" t="s">
        <v>1637</v>
      </c>
      <c r="EZ26" s="725" t="s">
        <v>352</v>
      </c>
      <c r="FA26" s="12" t="s">
        <v>351</v>
      </c>
      <c r="FB26" s="12" t="s">
        <v>1637</v>
      </c>
      <c r="FC26" s="725" t="s">
        <v>352</v>
      </c>
      <c r="FD26" s="12" t="s">
        <v>351</v>
      </c>
      <c r="FE26" s="12" t="s">
        <v>1637</v>
      </c>
      <c r="FF26" s="725" t="s">
        <v>352</v>
      </c>
      <c r="FG26" s="12" t="s">
        <v>351</v>
      </c>
      <c r="FH26" s="12" t="s">
        <v>1637</v>
      </c>
      <c r="FI26" s="725" t="s">
        <v>352</v>
      </c>
      <c r="FJ26" s="12" t="s">
        <v>351</v>
      </c>
      <c r="FK26" s="12" t="s">
        <v>1637</v>
      </c>
      <c r="FL26" s="725" t="s">
        <v>352</v>
      </c>
      <c r="FM26" s="12" t="s">
        <v>351</v>
      </c>
      <c r="FN26" s="12" t="s">
        <v>1637</v>
      </c>
      <c r="FO26" s="725" t="s">
        <v>352</v>
      </c>
      <c r="FP26" s="12" t="s">
        <v>351</v>
      </c>
      <c r="FQ26" s="12" t="s">
        <v>1637</v>
      </c>
      <c r="FR26" s="725" t="s">
        <v>352</v>
      </c>
      <c r="FS26" s="12" t="s">
        <v>351</v>
      </c>
      <c r="FT26" s="12" t="s">
        <v>1637</v>
      </c>
      <c r="FU26" s="725" t="s">
        <v>352</v>
      </c>
      <c r="FV26" s="12" t="s">
        <v>351</v>
      </c>
      <c r="FW26" s="12" t="s">
        <v>1637</v>
      </c>
    </row>
    <row r="27" spans="1:186" ht="11.25" hidden="1" customHeight="1">
      <c r="E27" s="459">
        <v>0</v>
      </c>
      <c r="T27" s="351" t="b">
        <f>OR(hasVS,hasVO)</f>
        <v>1</v>
      </c>
      <c r="AB27" s="117"/>
      <c r="AC27" s="208"/>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c r="A28" s="314"/>
      <c r="B28" s="612"/>
      <c r="C28" s="314"/>
      <c r="D28" s="314"/>
      <c r="E28" s="478">
        <v>0</v>
      </c>
      <c r="F28" s="532" t="s">
        <v>1638</v>
      </c>
      <c r="G28" s="314"/>
      <c r="H28" s="314"/>
      <c r="I28" s="314"/>
      <c r="J28" s="314"/>
      <c r="K28" s="314"/>
      <c r="L28" s="314"/>
      <c r="M28" s="314"/>
      <c r="N28" s="314"/>
      <c r="O28" s="314"/>
      <c r="P28" s="314"/>
      <c r="Q28" s="314" t="s">
        <v>1639</v>
      </c>
      <c r="R28" s="613" t="s">
        <v>1640</v>
      </c>
      <c r="S28" s="613" t="s">
        <v>265</v>
      </c>
      <c r="T28" s="351"/>
      <c r="U28" s="314"/>
      <c r="V28" s="314"/>
      <c r="W28" s="314"/>
      <c r="X28" s="314"/>
      <c r="Y28" s="314"/>
      <c r="Z28" s="314"/>
      <c r="AA28" s="314"/>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59"/>
      <c r="GA28" s="659"/>
      <c r="GB28" s="653"/>
      <c r="GC28" s="452"/>
      <c r="GD28" s="452"/>
    </row>
    <row r="29" spans="1:186" ht="14.65" hidden="1" customHeight="1">
      <c r="A29" s="59"/>
      <c r="C29" s="59"/>
      <c r="D29" s="59"/>
      <c r="E29" s="460">
        <v>15</v>
      </c>
      <c r="F29" s="370" cm="1">
        <f t="array" ref="F29">X29</f>
        <v>0</v>
      </c>
      <c r="G29" s="59" cm="1">
        <f t="array" ref="G29">INDEX('Общие сведения'!$AK$179:$AK$208,MATCH($X29,'Общие сведения'!$Z$179:$Z$208,0))</f>
        <v>0</v>
      </c>
      <c r="H29" s="59"/>
      <c r="I29" s="59"/>
      <c r="J29" s="59"/>
      <c r="K29" s="59"/>
      <c r="L29" s="59"/>
      <c r="M29" s="59"/>
      <c r="N29" s="59"/>
      <c r="O29" s="59"/>
      <c r="P29" s="59"/>
      <c r="Q29" s="59" cm="1">
        <f t="array" ref="Q29">INDEX('Общие сведения'!$AE$179:$AE$208,MATCH($X29,'Общие сведения'!$Z$179:$Z$208,0))</f>
        <v>0</v>
      </c>
      <c r="R29" s="363" cm="1">
        <f t="array" ref="R29">INDEX('Общие сведения'!$AK$179:$AK$208,MATCH($X29,'Общие сведения'!$Z$179:$Z$208,0))</f>
        <v>0</v>
      </c>
      <c r="S29" s="59" t="b" cm="1">
        <f t="array" ref="S29">INDEX('Общие сведения'!$AN$179:$AN$208,MATCH($X29,'Общие сведения'!$Z$179:$Z$208,0))</f>
        <v>0</v>
      </c>
      <c r="T29" s="351" t="b">
        <f>X29&gt;0</f>
        <v>0</v>
      </c>
      <c r="U29" s="59"/>
      <c r="V29" s="59" t="s">
        <v>266</v>
      </c>
      <c r="W29" s="59"/>
      <c r="X29" s="1046">
        <v>0</v>
      </c>
      <c r="Y29" s="59"/>
      <c r="Z29" s="1007"/>
      <c r="AA29" s="59"/>
      <c r="AB29" s="1111" t="s">
        <v>21</v>
      </c>
      <c r="AC29" s="1112"/>
      <c r="AD29" s="589" t="str" cm="1">
        <f t="array" ref="AD29">INDEX('Общие сведения'!$AG$179:$AG$208,MATCH($X29,'Общие сведения'!$Z$179:$Z$208,0))</f>
        <v xml:space="preserve">Тариф 0 () - </v>
      </c>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7"/>
      <c r="BT29" s="197"/>
      <c r="BU29" s="197"/>
      <c r="BV29" s="197"/>
      <c r="BW29" s="197"/>
      <c r="BX29" s="197"/>
      <c r="BY29" s="197"/>
      <c r="BZ29" s="197"/>
      <c r="CA29" s="197"/>
      <c r="CB29" s="197"/>
      <c r="CC29" s="197"/>
      <c r="CD29" s="197"/>
      <c r="CE29" s="197"/>
      <c r="CF29" s="197"/>
      <c r="CG29" s="197"/>
      <c r="CH29" s="197"/>
      <c r="CI29" s="197"/>
      <c r="CJ29" s="197"/>
      <c r="CK29" s="197"/>
      <c r="CL29" s="197"/>
      <c r="CM29" s="197"/>
      <c r="CN29" s="197"/>
      <c r="CO29" s="197"/>
      <c r="CP29" s="197"/>
      <c r="CQ29" s="197"/>
      <c r="CR29" s="197"/>
      <c r="CS29" s="197"/>
      <c r="CT29" s="197"/>
      <c r="CU29" s="197"/>
      <c r="CV29" s="197"/>
      <c r="CW29" s="197"/>
      <c r="CX29" s="197"/>
      <c r="CY29" s="197"/>
      <c r="CZ29" s="197"/>
      <c r="DA29" s="197"/>
      <c r="DB29" s="197"/>
      <c r="DC29" s="197"/>
      <c r="DD29" s="197"/>
      <c r="DE29" s="197"/>
      <c r="DF29" s="197"/>
      <c r="DG29" s="197"/>
      <c r="DH29" s="197"/>
      <c r="DI29" s="197"/>
      <c r="DJ29" s="197"/>
      <c r="DK29" s="197"/>
      <c r="DL29" s="197"/>
      <c r="DM29" s="197"/>
      <c r="DN29" s="197"/>
      <c r="DO29" s="197"/>
      <c r="DP29" s="197"/>
      <c r="DQ29" s="197"/>
      <c r="DR29" s="197"/>
      <c r="DS29" s="197"/>
      <c r="DT29" s="197"/>
      <c r="DU29" s="197"/>
      <c r="DV29" s="197"/>
      <c r="DW29" s="197"/>
      <c r="DX29" s="197"/>
      <c r="DY29" s="197"/>
      <c r="DZ29" s="197"/>
      <c r="EA29" s="197"/>
      <c r="EB29" s="197"/>
      <c r="EC29" s="197"/>
      <c r="ED29" s="197"/>
      <c r="EE29" s="197"/>
      <c r="EF29" s="197"/>
      <c r="EG29" s="197"/>
      <c r="EH29" s="197"/>
      <c r="EI29" s="197"/>
      <c r="EJ29" s="197"/>
      <c r="EK29" s="197"/>
      <c r="EL29" s="197"/>
      <c r="EM29" s="197"/>
      <c r="EN29" s="197"/>
      <c r="EO29" s="197"/>
      <c r="EP29" s="197"/>
      <c r="EQ29" s="197"/>
      <c r="ER29" s="197"/>
      <c r="ES29" s="197"/>
      <c r="ET29" s="197"/>
      <c r="EU29" s="197"/>
      <c r="EV29" s="197"/>
      <c r="EW29" s="197"/>
      <c r="EX29" s="197"/>
      <c r="EY29" s="197"/>
      <c r="EZ29" s="197"/>
      <c r="FA29" s="197"/>
      <c r="FB29" s="197"/>
      <c r="FC29" s="197"/>
      <c r="FD29" s="197"/>
      <c r="FE29" s="197"/>
      <c r="FF29" s="197"/>
      <c r="FG29" s="197"/>
      <c r="FH29" s="197"/>
      <c r="FI29" s="197"/>
      <c r="FJ29" s="197"/>
      <c r="FK29" s="197"/>
      <c r="FL29" s="197"/>
      <c r="FM29" s="197"/>
      <c r="FN29" s="197"/>
      <c r="FO29" s="197"/>
      <c r="FP29" s="197"/>
      <c r="FQ29" s="197"/>
      <c r="FR29" s="197"/>
      <c r="FS29" s="197"/>
      <c r="FT29" s="197"/>
      <c r="FU29" s="197"/>
      <c r="FV29" s="197"/>
      <c r="FW29" s="198"/>
    </row>
    <row r="30" spans="1:186" ht="14.65" hidden="1" customHeight="1">
      <c r="A30" s="59"/>
      <c r="C30" s="59"/>
      <c r="D30" s="59"/>
      <c r="E30" s="460">
        <v>15</v>
      </c>
      <c r="F30" s="3" cm="1">
        <f t="array" aca="1" ref="F30" ca="1">OFFSET(E30,-1,1)</f>
        <v>0</v>
      </c>
      <c r="G30" s="59"/>
      <c r="H30" s="59"/>
      <c r="I30" s="59"/>
      <c r="J30" s="59"/>
      <c r="K30" s="59"/>
      <c r="L30" s="59"/>
      <c r="M30" s="59"/>
      <c r="N30" s="59"/>
      <c r="O30" s="59"/>
      <c r="P30" s="59"/>
      <c r="Q30" s="59"/>
      <c r="R30" s="363"/>
      <c r="S30" s="363"/>
      <c r="T30" s="351" t="b" cm="1">
        <f t="array" ref="T30">T29</f>
        <v>0</v>
      </c>
      <c r="U30" s="59"/>
      <c r="V30" s="59"/>
      <c r="W30" s="59"/>
      <c r="X30" s="1046"/>
      <c r="Y30" s="59"/>
      <c r="Z30" s="1007"/>
      <c r="AA30" s="59"/>
      <c r="AB30" s="987" t="str">
        <f>"Вид "&amp;IF(ISERROR(SEARCH("Водоснабжение",AD29)),"сточных вод","воды")</f>
        <v>Вид сточных вод</v>
      </c>
      <c r="AC30" s="988"/>
      <c r="AD30" s="589" cm="1">
        <f t="array" ref="AD30">INDEX('Общие сведения'!$AH$179:$AH$208,MATCH($X29,'Общие сведения'!$Z$179:$Z$208,0))</f>
        <v>0</v>
      </c>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c r="DT30" s="199"/>
      <c r="DU30" s="199"/>
      <c r="DV30" s="199"/>
      <c r="DW30" s="199"/>
      <c r="DX30" s="199"/>
      <c r="DY30" s="199"/>
      <c r="DZ30" s="199"/>
      <c r="EA30" s="199"/>
      <c r="EB30" s="199"/>
      <c r="EC30" s="199"/>
      <c r="ED30" s="199"/>
      <c r="EE30" s="199"/>
      <c r="EF30" s="199"/>
      <c r="EG30" s="199"/>
      <c r="EH30" s="199"/>
      <c r="EI30" s="199"/>
      <c r="EJ30" s="199"/>
      <c r="EK30" s="199"/>
      <c r="EL30" s="199"/>
      <c r="EM30" s="199"/>
      <c r="EN30" s="199"/>
      <c r="EO30" s="199"/>
      <c r="EP30" s="199"/>
      <c r="EQ30" s="199"/>
      <c r="ER30" s="199"/>
      <c r="ES30" s="199"/>
      <c r="ET30" s="199"/>
      <c r="EU30" s="199"/>
      <c r="EV30" s="199"/>
      <c r="EW30" s="199"/>
      <c r="EX30" s="199"/>
      <c r="EY30" s="199"/>
      <c r="EZ30" s="199"/>
      <c r="FA30" s="199"/>
      <c r="FB30" s="199"/>
      <c r="FC30" s="199"/>
      <c r="FD30" s="199"/>
      <c r="FE30" s="199"/>
      <c r="FF30" s="199"/>
      <c r="FG30" s="199"/>
      <c r="FH30" s="199"/>
      <c r="FI30" s="199"/>
      <c r="FJ30" s="199"/>
      <c r="FK30" s="199"/>
      <c r="FL30" s="199"/>
      <c r="FM30" s="199"/>
      <c r="FN30" s="199"/>
      <c r="FO30" s="199"/>
      <c r="FP30" s="199"/>
      <c r="FQ30" s="199"/>
      <c r="FR30" s="199"/>
      <c r="FS30" s="199"/>
      <c r="FT30" s="199"/>
      <c r="FU30" s="199"/>
      <c r="FV30" s="199"/>
      <c r="FW30" s="200"/>
    </row>
    <row r="31" spans="1:186" ht="14.65" hidden="1" customHeight="1">
      <c r="A31" s="59"/>
      <c r="C31" s="59"/>
      <c r="D31" s="59"/>
      <c r="E31" s="460">
        <v>15</v>
      </c>
      <c r="F31" s="3" cm="1">
        <f t="array" aca="1" ref="F31" ca="1">OFFSET(E31,-1,1)</f>
        <v>0</v>
      </c>
      <c r="G31" s="59"/>
      <c r="H31" s="59"/>
      <c r="I31" s="59"/>
      <c r="J31" s="59"/>
      <c r="K31" s="59"/>
      <c r="L31" s="59"/>
      <c r="M31" s="59"/>
      <c r="N31" s="59"/>
      <c r="O31" s="59"/>
      <c r="P31" s="59"/>
      <c r="Q31" s="59"/>
      <c r="R31" s="363"/>
      <c r="S31" s="363"/>
      <c r="T31" s="351" t="b" cm="1">
        <f t="array" ref="T31">T30</f>
        <v>0</v>
      </c>
      <c r="U31" s="59"/>
      <c r="V31" s="59"/>
      <c r="W31" s="59"/>
      <c r="X31" s="1046"/>
      <c r="Y31" s="59"/>
      <c r="Z31" s="1007"/>
      <c r="AA31" s="59"/>
      <c r="AB31" s="987" t="s">
        <v>1641</v>
      </c>
      <c r="AC31" s="988"/>
      <c r="AD31" s="589" cm="1">
        <f t="array" ref="AD31">INDEX('Общие сведения'!$AI$179:$AI$208,MATCH($X29,'Общие сведения'!$Z$179:$Z$208,0))</f>
        <v>0</v>
      </c>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c r="DT31" s="199"/>
      <c r="DU31" s="199"/>
      <c r="DV31" s="199"/>
      <c r="DW31" s="199"/>
      <c r="DX31" s="199"/>
      <c r="DY31" s="199"/>
      <c r="DZ31" s="199"/>
      <c r="EA31" s="199"/>
      <c r="EB31" s="199"/>
      <c r="EC31" s="199"/>
      <c r="ED31" s="199"/>
      <c r="EE31" s="199"/>
      <c r="EF31" s="199"/>
      <c r="EG31" s="199"/>
      <c r="EH31" s="199"/>
      <c r="EI31" s="199"/>
      <c r="EJ31" s="199"/>
      <c r="EK31" s="199"/>
      <c r="EL31" s="199"/>
      <c r="EM31" s="199"/>
      <c r="EN31" s="199"/>
      <c r="EO31" s="199"/>
      <c r="EP31" s="199"/>
      <c r="EQ31" s="199"/>
      <c r="ER31" s="199"/>
      <c r="ES31" s="199"/>
      <c r="ET31" s="199"/>
      <c r="EU31" s="199"/>
      <c r="EV31" s="199"/>
      <c r="EW31" s="199"/>
      <c r="EX31" s="199"/>
      <c r="EY31" s="199"/>
      <c r="EZ31" s="199"/>
      <c r="FA31" s="199"/>
      <c r="FB31" s="199"/>
      <c r="FC31" s="199"/>
      <c r="FD31" s="199"/>
      <c r="FE31" s="199"/>
      <c r="FF31" s="199"/>
      <c r="FG31" s="199"/>
      <c r="FH31" s="199"/>
      <c r="FI31" s="199"/>
      <c r="FJ31" s="199"/>
      <c r="FK31" s="199"/>
      <c r="FL31" s="199"/>
      <c r="FM31" s="199"/>
      <c r="FN31" s="199"/>
      <c r="FO31" s="199"/>
      <c r="FP31" s="199"/>
      <c r="FQ31" s="199"/>
      <c r="FR31" s="199"/>
      <c r="FS31" s="199"/>
      <c r="FT31" s="199"/>
      <c r="FU31" s="199"/>
      <c r="FV31" s="199"/>
      <c r="FW31" s="200"/>
    </row>
    <row r="32" spans="1:186" ht="14.65" hidden="1" customHeight="1">
      <c r="A32" s="59"/>
      <c r="C32" s="59"/>
      <c r="D32" s="59"/>
      <c r="E32" s="460">
        <v>15</v>
      </c>
      <c r="F32" s="3" cm="1">
        <f t="array" aca="1" ref="F32" ca="1">OFFSET(E32,-1,1)</f>
        <v>0</v>
      </c>
      <c r="G32" s="59"/>
      <c r="H32" s="59"/>
      <c r="I32" s="59"/>
      <c r="J32" s="59"/>
      <c r="K32" s="59"/>
      <c r="L32" s="59"/>
      <c r="M32" s="59"/>
      <c r="N32" s="59"/>
      <c r="O32" s="59"/>
      <c r="P32" s="59"/>
      <c r="Q32" s="59"/>
      <c r="R32" s="59"/>
      <c r="S32" s="363"/>
      <c r="T32" s="351" t="b" cm="1">
        <f t="array" ref="T32">T31</f>
        <v>0</v>
      </c>
      <c r="U32" s="59"/>
      <c r="V32" s="59"/>
      <c r="W32" s="59"/>
      <c r="X32" s="1046"/>
      <c r="Y32" s="59"/>
      <c r="Z32" s="1007"/>
      <c r="AA32" s="59"/>
      <c r="AB32" s="987" t="s">
        <v>1642</v>
      </c>
      <c r="AC32" s="988"/>
      <c r="AD32" s="589" cm="1">
        <f t="array" ref="AD32">INDEX('Общие сведения'!$AJ$179:$AJ$208,MATCH($X29,'Общие сведения'!$Z$179:$Z$208,0))</f>
        <v>0</v>
      </c>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c r="DT32" s="199"/>
      <c r="DU32" s="199"/>
      <c r="DV32" s="199"/>
      <c r="DW32" s="199"/>
      <c r="DX32" s="199"/>
      <c r="DY32" s="199"/>
      <c r="DZ32" s="199"/>
      <c r="EA32" s="199"/>
      <c r="EB32" s="199"/>
      <c r="EC32" s="199"/>
      <c r="ED32" s="199"/>
      <c r="EE32" s="199"/>
      <c r="EF32" s="199"/>
      <c r="EG32" s="199"/>
      <c r="EH32" s="199"/>
      <c r="EI32" s="199"/>
      <c r="EJ32" s="199"/>
      <c r="EK32" s="199"/>
      <c r="EL32" s="199"/>
      <c r="EM32" s="199"/>
      <c r="EN32" s="199"/>
      <c r="EO32" s="199"/>
      <c r="EP32" s="199"/>
      <c r="EQ32" s="199"/>
      <c r="ER32" s="199"/>
      <c r="ES32" s="199"/>
      <c r="ET32" s="199"/>
      <c r="EU32" s="199"/>
      <c r="EV32" s="199"/>
      <c r="EW32" s="199"/>
      <c r="EX32" s="199"/>
      <c r="EY32" s="199"/>
      <c r="EZ32" s="199"/>
      <c r="FA32" s="199"/>
      <c r="FB32" s="199"/>
      <c r="FC32" s="199"/>
      <c r="FD32" s="199"/>
      <c r="FE32" s="199"/>
      <c r="FF32" s="199"/>
      <c r="FG32" s="199"/>
      <c r="FH32" s="199"/>
      <c r="FI32" s="199"/>
      <c r="FJ32" s="199"/>
      <c r="FK32" s="199"/>
      <c r="FL32" s="199"/>
      <c r="FM32" s="199"/>
      <c r="FN32" s="199"/>
      <c r="FO32" s="199"/>
      <c r="FP32" s="199"/>
      <c r="FQ32" s="199"/>
      <c r="FR32" s="199"/>
      <c r="FS32" s="199"/>
      <c r="FT32" s="199"/>
      <c r="FU32" s="199"/>
      <c r="FV32" s="199"/>
      <c r="FW32" s="200"/>
    </row>
    <row r="33" spans="1:186" ht="14.65" hidden="1" customHeight="1">
      <c r="A33" s="59"/>
      <c r="B33" s="611" t="b">
        <f>AND(R29="одноставочный",NOT(S29))</f>
        <v>0</v>
      </c>
      <c r="C33" s="59"/>
      <c r="D33" s="59"/>
      <c r="E33" s="460">
        <v>15</v>
      </c>
      <c r="F33" s="3" cm="1">
        <f t="array" aca="1" ref="F33" ca="1">OFFSET(E33,-1,1)</f>
        <v>0</v>
      </c>
      <c r="G33" s="59"/>
      <c r="H33" s="59"/>
      <c r="I33" s="59"/>
      <c r="J33" s="59"/>
      <c r="K33" s="59"/>
      <c r="L33" s="59"/>
      <c r="M33" s="59"/>
      <c r="N33" s="59"/>
      <c r="O33" s="59"/>
      <c r="P33" s="59"/>
      <c r="Q33" s="59"/>
      <c r="R33" s="59"/>
      <c r="S33" s="59"/>
      <c r="T33" s="351" t="b" cm="1">
        <f t="array" ref="T33">T32</f>
        <v>0</v>
      </c>
      <c r="U33" s="59"/>
      <c r="V33" s="59"/>
      <c r="W33" s="59"/>
      <c r="X33" s="1046"/>
      <c r="Y33" s="59"/>
      <c r="Z33" s="1007"/>
      <c r="AA33" s="59"/>
      <c r="AB33" s="590" t="s">
        <v>1643</v>
      </c>
      <c r="AC33" s="59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2"/>
      <c r="BK33" s="201"/>
      <c r="BL33" s="201"/>
      <c r="BM33" s="202"/>
      <c r="BN33" s="201"/>
      <c r="BO33" s="201"/>
      <c r="BP33" s="202"/>
      <c r="BQ33" s="201"/>
      <c r="BR33" s="201"/>
      <c r="BS33" s="202"/>
      <c r="BT33" s="201"/>
      <c r="BU33" s="201"/>
      <c r="BV33" s="202"/>
      <c r="BW33" s="201"/>
      <c r="BX33" s="201"/>
      <c r="BY33" s="202"/>
      <c r="BZ33" s="201"/>
      <c r="CA33" s="201"/>
      <c r="CB33" s="202"/>
      <c r="CC33" s="201"/>
      <c r="CD33" s="201"/>
      <c r="CE33" s="202"/>
      <c r="CF33" s="201"/>
      <c r="CG33" s="201"/>
      <c r="CH33" s="202"/>
      <c r="CI33" s="201"/>
      <c r="CJ33" s="201"/>
      <c r="CK33" s="202"/>
      <c r="CL33" s="201"/>
      <c r="CM33" s="201"/>
      <c r="CN33" s="202"/>
      <c r="CO33" s="201"/>
      <c r="CP33" s="201"/>
      <c r="CQ33" s="202"/>
      <c r="CR33" s="201"/>
      <c r="CS33" s="201"/>
      <c r="CT33" s="202"/>
      <c r="CU33" s="201"/>
      <c r="CV33" s="201"/>
      <c r="CW33" s="202"/>
      <c r="CX33" s="201"/>
      <c r="CY33" s="201"/>
      <c r="CZ33" s="202"/>
      <c r="DA33" s="201"/>
      <c r="DB33" s="201"/>
      <c r="DC33" s="202"/>
      <c r="DD33" s="201"/>
      <c r="DE33" s="201"/>
      <c r="DF33" s="202"/>
      <c r="DG33" s="201"/>
      <c r="DH33" s="201"/>
      <c r="DI33" s="202"/>
      <c r="DJ33" s="201"/>
      <c r="DK33" s="201"/>
      <c r="DL33" s="202"/>
      <c r="DM33" s="201"/>
      <c r="DN33" s="201"/>
      <c r="DO33" s="202"/>
      <c r="DP33" s="201"/>
      <c r="DQ33" s="201"/>
      <c r="DR33" s="202"/>
      <c r="DS33" s="201"/>
      <c r="DT33" s="201"/>
      <c r="DU33" s="202"/>
      <c r="DV33" s="201"/>
      <c r="DW33" s="201"/>
      <c r="DX33" s="202"/>
      <c r="DY33" s="201"/>
      <c r="DZ33" s="201"/>
      <c r="EA33" s="202"/>
      <c r="EB33" s="201"/>
      <c r="EC33" s="201"/>
      <c r="ED33" s="202"/>
      <c r="EE33" s="201"/>
      <c r="EF33" s="201"/>
      <c r="EG33" s="202"/>
      <c r="EH33" s="201"/>
      <c r="EI33" s="201"/>
      <c r="EJ33" s="202"/>
      <c r="EK33" s="201"/>
      <c r="EL33" s="201"/>
      <c r="EM33" s="202"/>
      <c r="EN33" s="201"/>
      <c r="EO33" s="201"/>
      <c r="EP33" s="202"/>
      <c r="EQ33" s="201"/>
      <c r="ER33" s="201"/>
      <c r="ES33" s="202"/>
      <c r="ET33" s="201"/>
      <c r="EU33" s="201"/>
      <c r="EV33" s="202"/>
      <c r="EW33" s="201"/>
      <c r="EX33" s="201"/>
      <c r="EY33" s="202"/>
      <c r="EZ33" s="201"/>
      <c r="FA33" s="201"/>
      <c r="FB33" s="202"/>
      <c r="FC33" s="201"/>
      <c r="FD33" s="201"/>
      <c r="FE33" s="202"/>
      <c r="FF33" s="201"/>
      <c r="FG33" s="201"/>
      <c r="FH33" s="202"/>
      <c r="FI33" s="201"/>
      <c r="FJ33" s="201"/>
      <c r="FK33" s="202"/>
      <c r="FL33" s="201"/>
      <c r="FM33" s="201"/>
      <c r="FN33" s="202"/>
      <c r="FO33" s="201"/>
      <c r="FP33" s="201"/>
      <c r="FQ33" s="202"/>
      <c r="FR33" s="201"/>
      <c r="FS33" s="201"/>
      <c r="FT33" s="202"/>
      <c r="FU33" s="201"/>
      <c r="FV33" s="201"/>
      <c r="FW33" s="202"/>
    </row>
    <row r="34" spans="1:186" s="203" customFormat="1" ht="23.85" hidden="1" customHeight="1">
      <c r="A34" s="592"/>
      <c r="B34" s="611" t="b" cm="1">
        <f t="array" ref="B34">B33</f>
        <v>0</v>
      </c>
      <c r="C34" s="592"/>
      <c r="D34" s="592"/>
      <c r="E34" s="593">
        <v>24.5</v>
      </c>
      <c r="F34" s="3" cm="1">
        <f t="array" aca="1" ref="F34" ca="1">OFFSET(E34,-1,1)</f>
        <v>0</v>
      </c>
      <c r="G34" s="59" t="s">
        <v>1644</v>
      </c>
      <c r="H34" s="59" t="s">
        <v>507</v>
      </c>
      <c r="I34" s="59" t="s">
        <v>1645</v>
      </c>
      <c r="J34" s="592"/>
      <c r="K34" s="592"/>
      <c r="L34" s="59"/>
      <c r="M34" s="592"/>
      <c r="N34" s="592"/>
      <c r="O34" s="592"/>
      <c r="P34" s="592"/>
      <c r="Q34" s="592"/>
      <c r="R34" s="592"/>
      <c r="S34" s="59"/>
      <c r="T34" s="351" t="b" cm="1">
        <f t="array" ref="T34">T33</f>
        <v>0</v>
      </c>
      <c r="U34" s="592"/>
      <c r="V34" s="592"/>
      <c r="W34" s="592"/>
      <c r="X34" s="1046"/>
      <c r="Y34" s="592"/>
      <c r="Z34" s="1007"/>
      <c r="AA34" s="592"/>
      <c r="AB34" s="204" t="s">
        <v>1646</v>
      </c>
      <c r="AC34" s="205" t="s">
        <v>1647</v>
      </c>
      <c r="AD34" s="895">
        <f ca="1">IF(AND(method_reg="Метод индексации",god&lt;&gt;first_year),SUMIFS(INDEX('Калькуляция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(МИ)'!$AJ$25:$BC$315,,MATCH(AD$8,'Калькуляция (МИ)'!$AJ$8:$BC$8,0)),'Калькуляция (МИ)'!$F$25:$F$315,$F34,'Калькуляция (МИ)'!$G$25:$G$315,$G34))))</f>
        <v>0</v>
      </c>
      <c r="AE34" s="895">
        <f ca="1">IF(AND(method_reg="Метод индексации",god&lt;&gt;first_year),SUMIFS(INDEX('Калькуляция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(МИ)'!$AJ$25:$BC$315,,MATCH(AE$8,'Калькуляция (МИ)'!$AJ$8:$BC$8,0)),'Калькуляция (МИ)'!$F$25:$F$315,$F34,'Калькуляция (МИ)'!$G$25:$G$315,$G34))))</f>
        <v>0</v>
      </c>
      <c r="AF34" s="207">
        <f ca="1">IF(AD34=0,0,(AE34-AD34)/AD34*100)</f>
        <v>0</v>
      </c>
      <c r="AG34" s="594">
        <f ca="1">IF(AND(method_reg="Метод индексации",god&lt;&gt;first_year),SUMIFS(INDEX('Калькуляция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(МИ)'!$AJ$25:$BC$315,,MATCH(AG$8,'Калькуляция (МИ)'!$AJ$8:$BC$8,0)),'Калькуляция (МИ)'!$F$25:$F$315,$F34,'Калькуляция (МИ)'!$G$25:$G$315,$G34))))</f>
        <v>0</v>
      </c>
      <c r="AH34" s="594">
        <f ca="1">IF(AND(method_reg="Метод индексации",god&lt;&gt;first_year),SUMIFS(INDEX('Калькуляция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(МИ)'!$AJ$25:$BC$315,,MATCH(AH$8,'Калькуляция (МИ)'!$AJ$8:$BC$8,0)),'Калькуляция (МИ)'!$F$25:$F$315,$F34,'Калькуляция (МИ)'!$G$25:$G$315,$G34))))</f>
        <v>0</v>
      </c>
      <c r="AI34" s="207">
        <f ca="1">IF(AG34=0,0,(AH34-AG34)/AG34*100)</f>
        <v>0</v>
      </c>
      <c r="AJ34" s="594">
        <f ca="1">IF(AND(method_reg="Метод индексации",god&lt;&gt;first_year),SUMIFS(INDEX('Калькуляция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(МИ)'!$AJ$25:$BC$315,,MATCH(AJ$8,'Калькуляция (МИ)'!$AJ$8:$BC$8,0)),'Калькуляция (МИ)'!$F$25:$F$315,$F34,'Калькуляция (МИ)'!$G$25:$G$315,$G34))))</f>
        <v>0</v>
      </c>
      <c r="AK34" s="594">
        <f ca="1">IF(AND(method_reg="Метод индексации",god&lt;&gt;first_year),SUMIFS(INDEX('Калькуляция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(МИ)'!$AJ$25:$BC$315,,MATCH(AK$8,'Калькуляция (МИ)'!$AJ$8:$BC$8,0)),'Калькуляция (МИ)'!$F$25:$F$315,$F34,'Калькуляция (МИ)'!$G$25:$G$315,$G34))))</f>
        <v>0</v>
      </c>
      <c r="AL34" s="207">
        <f ca="1">IF(AJ34=0,0,(AK34-AJ34)/AJ34*100)</f>
        <v>0</v>
      </c>
      <c r="AM34" s="895">
        <f ca="1">IF(AND(method_reg="Метод индексации",god&lt;&gt;first_year),SUMIFS(INDEX('Калькуляция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(МИ)'!$AJ$25:$BC$315,,MATCH(AM$8,'Калькуляция (МИ)'!$AJ$8:$BC$8,0)),'Калькуляция (МИ)'!$F$25:$F$315,$F34,'Калькуляция (МИ)'!$G$25:$G$315,$G34))))</f>
        <v>0</v>
      </c>
      <c r="AN34" s="895">
        <f ca="1">IF(AND(method_reg="Метод индексации",god&lt;&gt;first_year),SUMIFS(INDEX('Калькуляция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(МИ)'!$AJ$25:$BC$315,,MATCH(AN$8,'Калькуляция (МИ)'!$AJ$8:$BC$8,0)),'Калькуляция (МИ)'!$F$25:$F$315,$F34,'Калькуляция (МИ)'!$G$25:$G$315,$G34))))</f>
        <v>0</v>
      </c>
      <c r="AO34" s="207">
        <f ca="1">IF(AM34=0,0,(AN34-AM34)/AM34*100)</f>
        <v>0</v>
      </c>
      <c r="AP34" s="895">
        <f ca="1">IF(AND(method_reg="Метод индексации",god&lt;&gt;first_year),SUMIFS(INDEX('Калькуляция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(МИ)'!$AJ$25:$BC$315,,MATCH(AP$8,'Калькуляция (МИ)'!$AJ$8:$BC$8,0)),'Калькуляция (МИ)'!$F$25:$F$315,$F34,'Калькуляция (МИ)'!$G$25:$G$315,$G34))))</f>
        <v>0</v>
      </c>
      <c r="AQ34" s="895">
        <f ca="1">IF(AND(method_reg="Метод индексации",god&lt;&gt;first_year),SUMIFS(INDEX('Калькуляция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(МИ)'!$AJ$25:$BC$315,,MATCH(AQ$8,'Калькуляция (МИ)'!$AJ$8:$BC$8,0)),'Калькуляция (МИ)'!$F$25:$F$315,$F34,'Калькуляция (МИ)'!$G$25:$G$315,$G34))))</f>
        <v>0</v>
      </c>
      <c r="AR34" s="207">
        <f ca="1">IF(AP34=0,0,(AQ34-AP34)/AP34*100)</f>
        <v>0</v>
      </c>
      <c r="AS34" s="895">
        <f ca="1">IF(AND(method_reg="Метод индексации",god&lt;&gt;first_year),SUMIFS(INDEX('Калькуляция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(МИ)'!$AJ$25:$BC$315,,MATCH(AS$8,'Калькуляция (МИ)'!$AJ$8:$BC$8,0)),'Калькуляция (МИ)'!$F$25:$F$315,$F34,'Калькуляция (МИ)'!$G$25:$G$315,$G34))))</f>
        <v>0</v>
      </c>
      <c r="AT34" s="895">
        <f ca="1">IF(AND(method_reg="Метод индексации",god&lt;&gt;first_year),SUMIFS(INDEX('Калькуляция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(МИ)'!$AJ$25:$BC$315,,MATCH(AT$8,'Калькуляция (МИ)'!$AJ$8:$BC$8,0)),'Калькуляция (МИ)'!$F$25:$F$315,$F34,'Калькуляция (МИ)'!$G$25:$G$315,$G34))))</f>
        <v>0</v>
      </c>
      <c r="AU34" s="207">
        <f ca="1">IF(AS34=0,0,(AT34-AS34)/AS34*100)</f>
        <v>0</v>
      </c>
      <c r="AV34" s="895">
        <f ca="1">IF(AND(method_reg="Метод индексации",god&lt;&gt;first_year),SUMIFS(INDEX('Калькуляция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(МИ)'!$AJ$25:$BC$315,,MATCH(AV$8,'Калькуляция (МИ)'!$AJ$8:$BC$8,0)),'Калькуляция (МИ)'!$F$25:$F$315,$F34,'Калькуляция (МИ)'!$G$25:$G$315,$G34))))</f>
        <v>0</v>
      </c>
      <c r="AW34" s="895">
        <f ca="1">IF(AND(method_reg="Метод индексации",god&lt;&gt;first_year),SUMIFS(INDEX('Калькуляция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(МИ)'!$AJ$25:$BC$315,,MATCH(AW$8,'Калькуляция (МИ)'!$AJ$8:$BC$8,0)),'Калькуляция (МИ)'!$F$25:$F$315,$F34,'Калькуляция (МИ)'!$G$25:$G$315,$G34))))</f>
        <v>0</v>
      </c>
      <c r="AX34" s="207">
        <f ca="1">IF(AV34=0,0,(AW34-AV34)/AV34*100)</f>
        <v>0</v>
      </c>
      <c r="AY34" s="895">
        <f ca="1">IF(AND(method_reg="Метод индексации",god&lt;&gt;first_year),SUMIFS(INDEX('Калькуляция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(МИ)'!$AJ$25:$BC$315,,MATCH(AY$8,'Калькуляция (МИ)'!$AJ$8:$BC$8,0)),'Калькуляция (МИ)'!$F$25:$F$315,$F34,'Калькуляция (МИ)'!$G$25:$G$315,$G34))))</f>
        <v>0</v>
      </c>
      <c r="AZ34" s="895">
        <f ca="1">IF(AND(method_reg="Метод индексации",god&lt;&gt;first_year),SUMIFS(INDEX('Калькуляция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(МИ)'!$AJ$25:$BC$315,,MATCH(AZ$8,'Калькуляция (МИ)'!$AJ$8:$BC$8,0)),'Калькуляция (МИ)'!$F$25:$F$315,$F34,'Калькуляция (МИ)'!$G$25:$G$315,$G34))))</f>
        <v>0</v>
      </c>
      <c r="BA34" s="207">
        <f ca="1">IF(AY34=0,0,(AZ34-AY34)/AY34*100)</f>
        <v>0</v>
      </c>
      <c r="BB34" s="895">
        <f ca="1">IF(AND(method_reg="Метод индексации",god&lt;&gt;first_year),SUMIFS(INDEX('Калькуляция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(МИ)'!$AJ$25:$BC$315,,MATCH(BB$8,'Калькуляция (МИ)'!$AJ$8:$BC$8,0)),'Калькуляция (МИ)'!$F$25:$F$315,$F34,'Калькуляция (МИ)'!$G$25:$G$315,$G34))))</f>
        <v>0</v>
      </c>
      <c r="BC34" s="895">
        <f ca="1">IF(AND(method_reg="Метод индексации",god&lt;&gt;first_year),SUMIFS(INDEX('Калькуляция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(МИ)'!$AJ$25:$BC$315,,MATCH(BC$8,'Калькуляция (МИ)'!$AJ$8:$BC$8,0)),'Калькуляция (МИ)'!$F$25:$F$315,$F34,'Калькуляция (МИ)'!$G$25:$G$315,$G34))))</f>
        <v>0</v>
      </c>
      <c r="BD34" s="207">
        <f ca="1">IF(BB34=0,0,(BC34-BB34)/BB34*100)</f>
        <v>0</v>
      </c>
      <c r="BE34" s="895">
        <f ca="1">IF(AND(method_reg="Метод индексации",god&lt;&gt;first_year),SUMIFS(INDEX('Калькуляция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(МИ)'!$AJ$25:$BC$315,,MATCH(BE$8,'Калькуляция (МИ)'!$AJ$8:$BC$8,0)),'Калькуляция (МИ)'!$F$25:$F$315,$F34,'Калькуляция (МИ)'!$G$25:$G$315,$G34))))</f>
        <v>0</v>
      </c>
      <c r="BF34" s="895">
        <f ca="1">IF(AND(method_reg="Метод индексации",god&lt;&gt;first_year),SUMIFS(INDEX('Калькуляция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(МИ)'!$AJ$25:$BC$315,,MATCH(BF$8,'Калькуляция (МИ)'!$AJ$8:$BC$8,0)),'Калькуляция (МИ)'!$F$25:$F$315,$F34,'Калькуляция (МИ)'!$G$25:$G$315,$G34))))</f>
        <v>0</v>
      </c>
      <c r="BG34" s="207">
        <f ca="1">IF(BE34=0,0,(BF34-BE34)/BE34*100)</f>
        <v>0</v>
      </c>
      <c r="BH34" s="895"/>
      <c r="BI34" s="895"/>
      <c r="BJ34" s="207">
        <f>IF(BH34=0,0,(BI34-BH34)/BH34*100)</f>
        <v>0</v>
      </c>
      <c r="BK34" s="895"/>
      <c r="BL34" s="895"/>
      <c r="BM34" s="207">
        <f>IF(BK34=0,0,(BL34-BK34)/BK34*100)</f>
        <v>0</v>
      </c>
      <c r="BN34" s="895"/>
      <c r="BO34" s="895"/>
      <c r="BP34" s="207">
        <f>IF(BN34=0,0,(BO34-BN34)/BN34*100)</f>
        <v>0</v>
      </c>
      <c r="BQ34" s="895"/>
      <c r="BR34" s="895"/>
      <c r="BS34" s="207">
        <f>IF(BQ34=0,0,(BR34-BQ34)/BQ34*100)</f>
        <v>0</v>
      </c>
      <c r="BT34" s="895"/>
      <c r="BU34" s="895"/>
      <c r="BV34" s="207">
        <f>IF(BT34=0,0,(BU34-BT34)/BT34*100)</f>
        <v>0</v>
      </c>
      <c r="BW34" s="895"/>
      <c r="BX34" s="895"/>
      <c r="BY34" s="207">
        <f>IF(BW34=0,0,(BX34-BW34)/BW34*100)</f>
        <v>0</v>
      </c>
      <c r="BZ34" s="895"/>
      <c r="CA34" s="895"/>
      <c r="CB34" s="207">
        <f>IF(BZ34=0,0,(CA34-BZ34)/BZ34*100)</f>
        <v>0</v>
      </c>
      <c r="CC34" s="895"/>
      <c r="CD34" s="895"/>
      <c r="CE34" s="207">
        <f>IF(CC34=0,0,(CD34-CC34)/CC34*100)</f>
        <v>0</v>
      </c>
      <c r="CF34" s="895"/>
      <c r="CG34" s="895"/>
      <c r="CH34" s="207">
        <f>IF(CF34=0,0,(CG34-CF34)/CF34*100)</f>
        <v>0</v>
      </c>
      <c r="CI34" s="895"/>
      <c r="CJ34" s="895"/>
      <c r="CK34" s="207">
        <f>IF(CI34=0,0,(CJ34-CI34)/CI34*100)</f>
        <v>0</v>
      </c>
      <c r="CL34" s="895"/>
      <c r="CM34" s="895"/>
      <c r="CN34" s="207">
        <f>IF(CL34=0,0,(CM34-CL34)/CL34*100)</f>
        <v>0</v>
      </c>
      <c r="CO34" s="895"/>
      <c r="CP34" s="895"/>
      <c r="CQ34" s="207">
        <f>IF(CO34=0,0,(CP34-CO34)/CO34*100)</f>
        <v>0</v>
      </c>
      <c r="CR34" s="895"/>
      <c r="CS34" s="895"/>
      <c r="CT34" s="207">
        <f>IF(CR34=0,0,(CS34-CR34)/CR34*100)</f>
        <v>0</v>
      </c>
      <c r="CU34" s="895"/>
      <c r="CV34" s="895"/>
      <c r="CW34" s="207">
        <f>IF(CU34=0,0,(CV34-CU34)/CU34*100)</f>
        <v>0</v>
      </c>
      <c r="CX34" s="895"/>
      <c r="CY34" s="895"/>
      <c r="CZ34" s="207">
        <f>IF(CX34=0,0,(CY34-CX34)/CX34*100)</f>
        <v>0</v>
      </c>
      <c r="DA34" s="895"/>
      <c r="DB34" s="895"/>
      <c r="DC34" s="207">
        <f>IF(DA34=0,0,(DB34-DA34)/DA34*100)</f>
        <v>0</v>
      </c>
      <c r="DD34" s="895"/>
      <c r="DE34" s="895"/>
      <c r="DF34" s="207">
        <f>IF(DD34=0,0,(DE34-DD34)/DD34*100)</f>
        <v>0</v>
      </c>
      <c r="DG34" s="896"/>
      <c r="DH34" s="896"/>
      <c r="DI34" s="207">
        <f>IF(DG34=0,0,(DH34-DG34)/DG34*100)</f>
        <v>0</v>
      </c>
      <c r="DJ34" s="896"/>
      <c r="DK34" s="896"/>
      <c r="DL34" s="207">
        <f>IF(DJ34=0,0,(DK34-DJ34)/DJ34*100)</f>
        <v>0</v>
      </c>
      <c r="DM34" s="896"/>
      <c r="DN34" s="896"/>
      <c r="DO34" s="207">
        <f>IF(DM34=0,0,(DN34-DM34)/DM34*100)</f>
        <v>0</v>
      </c>
      <c r="DP34" s="896"/>
      <c r="DQ34" s="896"/>
      <c r="DR34" s="207">
        <f>IF(DP34=0,0,(DQ34-DP34)/DP34*100)</f>
        <v>0</v>
      </c>
      <c r="DS34" s="896"/>
      <c r="DT34" s="896"/>
      <c r="DU34" s="207">
        <f>IF(DS34=0,0,(DT34-DS34)/DS34*100)</f>
        <v>0</v>
      </c>
      <c r="DV34" s="896"/>
      <c r="DW34" s="896"/>
      <c r="DX34" s="207">
        <f>IF(DV34=0,0,(DW34-DV34)/DV34*100)</f>
        <v>0</v>
      </c>
      <c r="DY34" s="896"/>
      <c r="DZ34" s="896"/>
      <c r="EA34" s="207">
        <f>IF(DY34=0,0,(DZ34-DY34)/DY34*100)</f>
        <v>0</v>
      </c>
      <c r="EB34" s="896"/>
      <c r="EC34" s="896"/>
      <c r="ED34" s="207">
        <f>IF(EB34=0,0,(EC34-EB34)/EB34*100)</f>
        <v>0</v>
      </c>
      <c r="EE34" s="896"/>
      <c r="EF34" s="896"/>
      <c r="EG34" s="207">
        <f>IF(EE34=0,0,(EF34-EE34)/EE34*100)</f>
        <v>0</v>
      </c>
      <c r="EH34" s="896"/>
      <c r="EI34" s="896"/>
      <c r="EJ34" s="207">
        <f>IF(EH34=0,0,(EI34-EH34)/EH34*100)</f>
        <v>0</v>
      </c>
      <c r="EK34" s="896"/>
      <c r="EL34" s="896"/>
      <c r="EM34" s="207">
        <f>IF(EK34=0,0,(EL34-EK34)/EK34*100)</f>
        <v>0</v>
      </c>
      <c r="EN34" s="896"/>
      <c r="EO34" s="896"/>
      <c r="EP34" s="207">
        <f>IF(EN34=0,0,(EO34-EN34)/EN34*100)</f>
        <v>0</v>
      </c>
      <c r="EQ34" s="896"/>
      <c r="ER34" s="896"/>
      <c r="ES34" s="207">
        <f>IF(EQ34=0,0,(ER34-EQ34)/EQ34*100)</f>
        <v>0</v>
      </c>
      <c r="ET34" s="896"/>
      <c r="EU34" s="896"/>
      <c r="EV34" s="207">
        <f>IF(ET34=0,0,(EU34-ET34)/ET34*100)</f>
        <v>0</v>
      </c>
      <c r="EW34" s="896"/>
      <c r="EX34" s="896"/>
      <c r="EY34" s="207">
        <f>IF(EW34=0,0,(EX34-EW34)/EW34*100)</f>
        <v>0</v>
      </c>
      <c r="EZ34" s="896"/>
      <c r="FA34" s="896"/>
      <c r="FB34" s="207">
        <f>IF(EZ34=0,0,(FA34-EZ34)/EZ34*100)</f>
        <v>0</v>
      </c>
      <c r="FC34" s="896"/>
      <c r="FD34" s="896"/>
      <c r="FE34" s="207">
        <f>IF(FC34=0,0,(FD34-FC34)/FC34*100)</f>
        <v>0</v>
      </c>
      <c r="FF34" s="896"/>
      <c r="FG34" s="896"/>
      <c r="FH34" s="207">
        <f>IF(FF34=0,0,(FG34-FF34)/FF34*100)</f>
        <v>0</v>
      </c>
      <c r="FI34" s="896"/>
      <c r="FJ34" s="896"/>
      <c r="FK34" s="207">
        <f>IF(FI34=0,0,(FJ34-FI34)/FI34*100)</f>
        <v>0</v>
      </c>
      <c r="FL34" s="896"/>
      <c r="FM34" s="896"/>
      <c r="FN34" s="207">
        <f>IF(FL34=0,0,(FM34-FL34)/FL34*100)</f>
        <v>0</v>
      </c>
      <c r="FO34" s="896"/>
      <c r="FP34" s="896"/>
      <c r="FQ34" s="207">
        <f>IF(FO34=0,0,(FP34-FO34)/FO34*100)</f>
        <v>0</v>
      </c>
      <c r="FR34" s="896"/>
      <c r="FS34" s="896"/>
      <c r="FT34" s="207">
        <f>IF(FR34=0,0,(FS34-FR34)/FR34*100)</f>
        <v>0</v>
      </c>
      <c r="FU34" s="896"/>
      <c r="FV34" s="896"/>
      <c r="FW34" s="207">
        <f>IF(FU34=0,0,(FV34-FU34)/FU34*100)</f>
        <v>0</v>
      </c>
      <c r="FZ34" s="689" t="s">
        <v>1648</v>
      </c>
      <c r="GA34" s="689"/>
      <c r="GB34" s="689"/>
      <c r="GC34" s="690"/>
      <c r="GD34" s="690"/>
    </row>
    <row r="35" spans="1:186" s="203" customFormat="1" ht="23.85" hidden="1" customHeight="1">
      <c r="A35" s="592"/>
      <c r="B35" s="611" t="b" cm="1">
        <f t="array" ref="B35">B34</f>
        <v>0</v>
      </c>
      <c r="C35" s="592"/>
      <c r="D35" s="592"/>
      <c r="E35" s="593">
        <v>24.5</v>
      </c>
      <c r="F35" s="3" cm="1">
        <f t="array" aca="1" ref="F35" ca="1">OFFSET(E35,-1,1)</f>
        <v>0</v>
      </c>
      <c r="G35" s="59" t="s">
        <v>1649</v>
      </c>
      <c r="H35" s="59" t="s">
        <v>507</v>
      </c>
      <c r="I35" s="59" t="s">
        <v>1650</v>
      </c>
      <c r="J35" s="592"/>
      <c r="K35" s="592"/>
      <c r="L35" s="59"/>
      <c r="M35" s="592"/>
      <c r="N35" s="592"/>
      <c r="O35" s="592"/>
      <c r="P35" s="592"/>
      <c r="Q35" s="592"/>
      <c r="R35" s="592"/>
      <c r="S35" s="59"/>
      <c r="T35" s="351" t="b" cm="1">
        <f t="array" ref="T35">T34</f>
        <v>0</v>
      </c>
      <c r="U35" s="592"/>
      <c r="V35" s="592"/>
      <c r="W35" s="592"/>
      <c r="X35" s="1046"/>
      <c r="Y35" s="592"/>
      <c r="Z35" s="1007"/>
      <c r="AA35" s="592"/>
      <c r="AB35" s="204" t="s">
        <v>1651</v>
      </c>
      <c r="AC35" s="205" t="s">
        <v>1647</v>
      </c>
      <c r="AD35" s="895">
        <f ca="1">IF(AND(method_reg="Метод индексации",god&lt;&gt;first_year),SUMIFS(INDEX('Калькуляция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(МИ)'!$AJ$25:$BC$315,,MATCH(AD$8,'Калькуляция (МИ)'!$AJ$8:$BC$8,0)),'Калькуляция (МИ)'!$F$25:$F$315,$F35,'Калькуляция (МИ)'!$G$25:$G$315,$G35))))</f>
        <v>0</v>
      </c>
      <c r="AE35" s="895">
        <f ca="1">IF(AND(method_reg="Метод индексации",god&lt;&gt;first_year),SUMIFS(INDEX('Калькуляция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(МИ)'!$AJ$25:$BC$315,,MATCH(AE$8,'Калькуляция (МИ)'!$AJ$8:$BC$8,0)),'Калькуляция (МИ)'!$F$25:$F$315,$F35,'Калькуляция (МИ)'!$G$25:$G$315,$G35))))</f>
        <v>0</v>
      </c>
      <c r="AF35" s="207">
        <f ca="1">IF(AD35=0,0,(AE35-AD35)/AD35*100)</f>
        <v>0</v>
      </c>
      <c r="AG35" s="594">
        <f ca="1">IF(AND(method_reg="Метод индексации",god&lt;&gt;first_year),SUMIFS(INDEX('Калькуляция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(МИ)'!$AJ$25:$BC$315,,MATCH(AG$8,'Калькуляция (МИ)'!$AJ$8:$BC$8,0)),'Калькуляция (МИ)'!$F$25:$F$315,$F35,'Калькуляция (МИ)'!$G$25:$G$315,$G35))))</f>
        <v>0</v>
      </c>
      <c r="AH35" s="594">
        <f ca="1">IF(AND(method_reg="Метод индексации",god&lt;&gt;first_year),SUMIFS(INDEX('Калькуляция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(МИ)'!$AJ$25:$BC$315,,MATCH(AH$8,'Калькуляция (МИ)'!$AJ$8:$BC$8,0)),'Калькуляция (МИ)'!$F$25:$F$315,$F35,'Калькуляция (МИ)'!$G$25:$G$315,$G35))))</f>
        <v>0</v>
      </c>
      <c r="AI35" s="207">
        <f ca="1">IF(AG35=0,0,(AH35-AG35)/AG35*100)</f>
        <v>0</v>
      </c>
      <c r="AJ35" s="594">
        <f ca="1">IF(AND(method_reg="Метод индексации",god&lt;&gt;first_year),SUMIFS(INDEX('Калькуляция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(МИ)'!$AJ$25:$BC$315,,MATCH(AJ$8,'Калькуляция (МИ)'!$AJ$8:$BC$8,0)),'Калькуляция (МИ)'!$F$25:$F$315,$F35,'Калькуляция (МИ)'!$G$25:$G$315,$G35))))</f>
        <v>0</v>
      </c>
      <c r="AK35" s="594">
        <f ca="1">IF(AND(method_reg="Метод индексации",god&lt;&gt;first_year),SUMIFS(INDEX('Калькуляция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(МИ)'!$AJ$25:$BC$315,,MATCH(AK$8,'Калькуляция (МИ)'!$AJ$8:$BC$8,0)),'Калькуляция (МИ)'!$F$25:$F$315,$F35,'Калькуляция (МИ)'!$G$25:$G$315,$G35))))</f>
        <v>0</v>
      </c>
      <c r="AL35" s="207">
        <f ca="1">IF(AJ35=0,0,(AK35-AJ35)/AJ35*100)</f>
        <v>0</v>
      </c>
      <c r="AM35" s="895">
        <f ca="1">IF(AND(method_reg="Метод индексации",god&lt;&gt;first_year),SUMIFS(INDEX('Калькуляция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(МИ)'!$AJ$25:$BC$315,,MATCH(AM$8,'Калькуляция (МИ)'!$AJ$8:$BC$8,0)),'Калькуляция (МИ)'!$F$25:$F$315,$F35,'Калькуляция (МИ)'!$G$25:$G$315,$G35))))</f>
        <v>0</v>
      </c>
      <c r="AN35" s="895">
        <f ca="1">IF(AND(method_reg="Метод индексации",god&lt;&gt;first_year),SUMIFS(INDEX('Калькуляция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(МИ)'!$AJ$25:$BC$315,,MATCH(AN$8,'Калькуляция (МИ)'!$AJ$8:$BC$8,0)),'Калькуляция (МИ)'!$F$25:$F$315,$F35,'Калькуляция (МИ)'!$G$25:$G$315,$G35))))</f>
        <v>0</v>
      </c>
      <c r="AO35" s="207">
        <f ca="1">IF(AM35=0,0,(AN35-AM35)/AM35*100)</f>
        <v>0</v>
      </c>
      <c r="AP35" s="895">
        <f ca="1">IF(AND(method_reg="Метод индексации",god&lt;&gt;first_year),SUMIFS(INDEX('Калькуляция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(МИ)'!$AJ$25:$BC$315,,MATCH(AP$8,'Калькуляция (МИ)'!$AJ$8:$BC$8,0)),'Калькуляция (МИ)'!$F$25:$F$315,$F35,'Калькуляция (МИ)'!$G$25:$G$315,$G35))))</f>
        <v>0</v>
      </c>
      <c r="AQ35" s="895">
        <f ca="1">IF(AND(method_reg="Метод индексации",god&lt;&gt;first_year),SUMIFS(INDEX('Калькуляция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(МИ)'!$AJ$25:$BC$315,,MATCH(AQ$8,'Калькуляция (МИ)'!$AJ$8:$BC$8,0)),'Калькуляция (МИ)'!$F$25:$F$315,$F35,'Калькуляция (МИ)'!$G$25:$G$315,$G35))))</f>
        <v>0</v>
      </c>
      <c r="AR35" s="207">
        <f ca="1">IF(AP35=0,0,(AQ35-AP35)/AP35*100)</f>
        <v>0</v>
      </c>
      <c r="AS35" s="895">
        <f ca="1">IF(AND(method_reg="Метод индексации",god&lt;&gt;first_year),SUMIFS(INDEX('Калькуляция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(МИ)'!$AJ$25:$BC$315,,MATCH(AS$8,'Калькуляция (МИ)'!$AJ$8:$BC$8,0)),'Калькуляция (МИ)'!$F$25:$F$315,$F35,'Калькуляция (МИ)'!$G$25:$G$315,$G35))))</f>
        <v>0</v>
      </c>
      <c r="AT35" s="895">
        <f ca="1">IF(AND(method_reg="Метод индексации",god&lt;&gt;first_year),SUMIFS(INDEX('Калькуляция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(МИ)'!$AJ$25:$BC$315,,MATCH(AT$8,'Калькуляция (МИ)'!$AJ$8:$BC$8,0)),'Калькуляция (МИ)'!$F$25:$F$315,$F35,'Калькуляция (МИ)'!$G$25:$G$315,$G35))))</f>
        <v>0</v>
      </c>
      <c r="AU35" s="207">
        <f ca="1">IF(AS35=0,0,(AT35-AS35)/AS35*100)</f>
        <v>0</v>
      </c>
      <c r="AV35" s="895">
        <f ca="1">IF(AND(method_reg="Метод индексации",god&lt;&gt;first_year),SUMIFS(INDEX('Калькуляция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(МИ)'!$AJ$25:$BC$315,,MATCH(AV$8,'Калькуляция (МИ)'!$AJ$8:$BC$8,0)),'Калькуляция (МИ)'!$F$25:$F$315,$F35,'Калькуляция (МИ)'!$G$25:$G$315,$G35))))</f>
        <v>0</v>
      </c>
      <c r="AW35" s="895">
        <f ca="1">IF(AND(method_reg="Метод индексации",god&lt;&gt;first_year),SUMIFS(INDEX('Калькуляция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(МИ)'!$AJ$25:$BC$315,,MATCH(AW$8,'Калькуляция (МИ)'!$AJ$8:$BC$8,0)),'Калькуляция (МИ)'!$F$25:$F$315,$F35,'Калькуляция (МИ)'!$G$25:$G$315,$G35))))</f>
        <v>0</v>
      </c>
      <c r="AX35" s="207">
        <f ca="1">IF(AV35=0,0,(AW35-AV35)/AV35*100)</f>
        <v>0</v>
      </c>
      <c r="AY35" s="895">
        <f ca="1">IF(AND(method_reg="Метод индексации",god&lt;&gt;first_year),SUMIFS(INDEX('Калькуляция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(МИ)'!$AJ$25:$BC$315,,MATCH(AY$8,'Калькуляция (МИ)'!$AJ$8:$BC$8,0)),'Калькуляция (МИ)'!$F$25:$F$315,$F35,'Калькуляция (МИ)'!$G$25:$G$315,$G35))))</f>
        <v>0</v>
      </c>
      <c r="AZ35" s="895">
        <f ca="1">IF(AND(method_reg="Метод индексации",god&lt;&gt;first_year),SUMIFS(INDEX('Калькуляция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(МИ)'!$AJ$25:$BC$315,,MATCH(AZ$8,'Калькуляция (МИ)'!$AJ$8:$BC$8,0)),'Калькуляция (МИ)'!$F$25:$F$315,$F35,'Калькуляция (МИ)'!$G$25:$G$315,$G35))))</f>
        <v>0</v>
      </c>
      <c r="BA35" s="207">
        <f ca="1">IF(AY35=0,0,(AZ35-AY35)/AY35*100)</f>
        <v>0</v>
      </c>
      <c r="BB35" s="895">
        <f ca="1">IF(AND(method_reg="Метод индексации",god&lt;&gt;first_year),SUMIFS(INDEX('Калькуляция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(МИ)'!$AJ$25:$BC$315,,MATCH(BB$8,'Калькуляция (МИ)'!$AJ$8:$BC$8,0)),'Калькуляция (МИ)'!$F$25:$F$315,$F35,'Калькуляция (МИ)'!$G$25:$G$315,$G35))))</f>
        <v>0</v>
      </c>
      <c r="BC35" s="895">
        <f ca="1">IF(AND(method_reg="Метод индексации",god&lt;&gt;first_year),SUMIFS(INDEX('Калькуляция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(МИ)'!$AJ$25:$BC$315,,MATCH(BC$8,'Калькуляция (МИ)'!$AJ$8:$BC$8,0)),'Калькуляция (МИ)'!$F$25:$F$315,$F35,'Калькуляция (МИ)'!$G$25:$G$315,$G35))))</f>
        <v>0</v>
      </c>
      <c r="BD35" s="207">
        <f ca="1">IF(BB35=0,0,(BC35-BB35)/BB35*100)</f>
        <v>0</v>
      </c>
      <c r="BE35" s="895">
        <f ca="1">IF(AND(method_reg="Метод индексации",god&lt;&gt;first_year),SUMIFS(INDEX('Калькуляция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(МИ)'!$AJ$25:$BC$315,,MATCH(BE$8,'Калькуляция (МИ)'!$AJ$8:$BC$8,0)),'Калькуляция (МИ)'!$F$25:$F$315,$F35,'Калькуляция (МИ)'!$G$25:$G$315,$G35))))</f>
        <v>0</v>
      </c>
      <c r="BF35" s="895">
        <f ca="1">IF(AND(method_reg="Метод индексации",god&lt;&gt;first_year),SUMIFS(INDEX('Калькуляция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(МИ)'!$AJ$25:$BC$315,,MATCH(BF$8,'Калькуляция (МИ)'!$AJ$8:$BC$8,0)),'Калькуляция (МИ)'!$F$25:$F$315,$F35,'Калькуляция (МИ)'!$G$25:$G$315,$G35))))</f>
        <v>0</v>
      </c>
      <c r="BG35" s="207">
        <f ca="1">IF(BE35=0,0,(BF35-BE35)/BE35*100)</f>
        <v>0</v>
      </c>
      <c r="BH35" s="895"/>
      <c r="BI35" s="895"/>
      <c r="BJ35" s="207">
        <f>IF(BH35=0,0,(BI35-BH35)/BH35*100)</f>
        <v>0</v>
      </c>
      <c r="BK35" s="895"/>
      <c r="BL35" s="895"/>
      <c r="BM35" s="207">
        <f>IF(BK35=0,0,(BL35-BK35)/BK35*100)</f>
        <v>0</v>
      </c>
      <c r="BN35" s="895"/>
      <c r="BO35" s="895"/>
      <c r="BP35" s="207">
        <f>IF(BN35=0,0,(BO35-BN35)/BN35*100)</f>
        <v>0</v>
      </c>
      <c r="BQ35" s="895"/>
      <c r="BR35" s="895"/>
      <c r="BS35" s="207">
        <f>IF(BQ35=0,0,(BR35-BQ35)/BQ35*100)</f>
        <v>0</v>
      </c>
      <c r="BT35" s="895"/>
      <c r="BU35" s="895"/>
      <c r="BV35" s="207">
        <f>IF(BT35=0,0,(BU35-BT35)/BT35*100)</f>
        <v>0</v>
      </c>
      <c r="BW35" s="895"/>
      <c r="BX35" s="895"/>
      <c r="BY35" s="207">
        <f>IF(BW35=0,0,(BX35-BW35)/BW35*100)</f>
        <v>0</v>
      </c>
      <c r="BZ35" s="895"/>
      <c r="CA35" s="895"/>
      <c r="CB35" s="207">
        <f>IF(BZ35=0,0,(CA35-BZ35)/BZ35*100)</f>
        <v>0</v>
      </c>
      <c r="CC35" s="895"/>
      <c r="CD35" s="895"/>
      <c r="CE35" s="207">
        <f>IF(CC35=0,0,(CD35-CC35)/CC35*100)</f>
        <v>0</v>
      </c>
      <c r="CF35" s="895"/>
      <c r="CG35" s="895"/>
      <c r="CH35" s="207">
        <f>IF(CF35=0,0,(CG35-CF35)/CF35*100)</f>
        <v>0</v>
      </c>
      <c r="CI35" s="895"/>
      <c r="CJ35" s="895"/>
      <c r="CK35" s="207">
        <f>IF(CI35=0,0,(CJ35-CI35)/CI35*100)</f>
        <v>0</v>
      </c>
      <c r="CL35" s="895"/>
      <c r="CM35" s="895"/>
      <c r="CN35" s="207">
        <f>IF(CL35=0,0,(CM35-CL35)/CL35*100)</f>
        <v>0</v>
      </c>
      <c r="CO35" s="895"/>
      <c r="CP35" s="895"/>
      <c r="CQ35" s="207">
        <f>IF(CO35=0,0,(CP35-CO35)/CO35*100)</f>
        <v>0</v>
      </c>
      <c r="CR35" s="895"/>
      <c r="CS35" s="895"/>
      <c r="CT35" s="207">
        <f>IF(CR35=0,0,(CS35-CR35)/CR35*100)</f>
        <v>0</v>
      </c>
      <c r="CU35" s="895"/>
      <c r="CV35" s="895"/>
      <c r="CW35" s="207">
        <f>IF(CU35=0,0,(CV35-CU35)/CU35*100)</f>
        <v>0</v>
      </c>
      <c r="CX35" s="895"/>
      <c r="CY35" s="895"/>
      <c r="CZ35" s="207">
        <f>IF(CX35=0,0,(CY35-CX35)/CX35*100)</f>
        <v>0</v>
      </c>
      <c r="DA35" s="895"/>
      <c r="DB35" s="895"/>
      <c r="DC35" s="207">
        <f>IF(DA35=0,0,(DB35-DA35)/DA35*100)</f>
        <v>0</v>
      </c>
      <c r="DD35" s="895"/>
      <c r="DE35" s="895"/>
      <c r="DF35" s="207">
        <f>IF(DD35=0,0,(DE35-DD35)/DD35*100)</f>
        <v>0</v>
      </c>
      <c r="DG35" s="896"/>
      <c r="DH35" s="896"/>
      <c r="DI35" s="207">
        <f>IF(DG35=0,0,(DH35-DG35)/DG35*100)</f>
        <v>0</v>
      </c>
      <c r="DJ35" s="896"/>
      <c r="DK35" s="896"/>
      <c r="DL35" s="207">
        <f>IF(DJ35=0,0,(DK35-DJ35)/DJ35*100)</f>
        <v>0</v>
      </c>
      <c r="DM35" s="896"/>
      <c r="DN35" s="896"/>
      <c r="DO35" s="207">
        <f>IF(DM35=0,0,(DN35-DM35)/DM35*100)</f>
        <v>0</v>
      </c>
      <c r="DP35" s="896"/>
      <c r="DQ35" s="896"/>
      <c r="DR35" s="207">
        <f>IF(DP35=0,0,(DQ35-DP35)/DP35*100)</f>
        <v>0</v>
      </c>
      <c r="DS35" s="896"/>
      <c r="DT35" s="896"/>
      <c r="DU35" s="207">
        <f>IF(DS35=0,0,(DT35-DS35)/DS35*100)</f>
        <v>0</v>
      </c>
      <c r="DV35" s="896"/>
      <c r="DW35" s="896"/>
      <c r="DX35" s="207">
        <f>IF(DV35=0,0,(DW35-DV35)/DV35*100)</f>
        <v>0</v>
      </c>
      <c r="DY35" s="896"/>
      <c r="DZ35" s="896"/>
      <c r="EA35" s="207">
        <f>IF(DY35=0,0,(DZ35-DY35)/DY35*100)</f>
        <v>0</v>
      </c>
      <c r="EB35" s="896"/>
      <c r="EC35" s="896"/>
      <c r="ED35" s="207">
        <f>IF(EB35=0,0,(EC35-EB35)/EB35*100)</f>
        <v>0</v>
      </c>
      <c r="EE35" s="896"/>
      <c r="EF35" s="896"/>
      <c r="EG35" s="207">
        <f>IF(EE35=0,0,(EF35-EE35)/EE35*100)</f>
        <v>0</v>
      </c>
      <c r="EH35" s="896"/>
      <c r="EI35" s="896"/>
      <c r="EJ35" s="207">
        <f>IF(EH35=0,0,(EI35-EH35)/EH35*100)</f>
        <v>0</v>
      </c>
      <c r="EK35" s="896"/>
      <c r="EL35" s="896"/>
      <c r="EM35" s="207">
        <f>IF(EK35=0,0,(EL35-EK35)/EK35*100)</f>
        <v>0</v>
      </c>
      <c r="EN35" s="896"/>
      <c r="EO35" s="896"/>
      <c r="EP35" s="207">
        <f>IF(EN35=0,0,(EO35-EN35)/EN35*100)</f>
        <v>0</v>
      </c>
      <c r="EQ35" s="896"/>
      <c r="ER35" s="896"/>
      <c r="ES35" s="207">
        <f>IF(EQ35=0,0,(ER35-EQ35)/EQ35*100)</f>
        <v>0</v>
      </c>
      <c r="ET35" s="896"/>
      <c r="EU35" s="896"/>
      <c r="EV35" s="207">
        <f>IF(ET35=0,0,(EU35-ET35)/ET35*100)</f>
        <v>0</v>
      </c>
      <c r="EW35" s="896"/>
      <c r="EX35" s="896"/>
      <c r="EY35" s="207">
        <f>IF(EW35=0,0,(EX35-EW35)/EW35*100)</f>
        <v>0</v>
      </c>
      <c r="EZ35" s="896"/>
      <c r="FA35" s="896"/>
      <c r="FB35" s="207">
        <f>IF(EZ35=0,0,(FA35-EZ35)/EZ35*100)</f>
        <v>0</v>
      </c>
      <c r="FC35" s="896"/>
      <c r="FD35" s="896"/>
      <c r="FE35" s="207">
        <f>IF(FC35=0,0,(FD35-FC35)/FC35*100)</f>
        <v>0</v>
      </c>
      <c r="FF35" s="896"/>
      <c r="FG35" s="896"/>
      <c r="FH35" s="207">
        <f>IF(FF35=0,0,(FG35-FF35)/FF35*100)</f>
        <v>0</v>
      </c>
      <c r="FI35" s="896"/>
      <c r="FJ35" s="896"/>
      <c r="FK35" s="207">
        <f>IF(FI35=0,0,(FJ35-FI35)/FI35*100)</f>
        <v>0</v>
      </c>
      <c r="FL35" s="896"/>
      <c r="FM35" s="896"/>
      <c r="FN35" s="207">
        <f>IF(FL35=0,0,(FM35-FL35)/FL35*100)</f>
        <v>0</v>
      </c>
      <c r="FO35" s="896"/>
      <c r="FP35" s="896"/>
      <c r="FQ35" s="207">
        <f>IF(FO35=0,0,(FP35-FO35)/FO35*100)</f>
        <v>0</v>
      </c>
      <c r="FR35" s="896"/>
      <c r="FS35" s="896"/>
      <c r="FT35" s="207">
        <f>IF(FR35=0,0,(FS35-FR35)/FR35*100)</f>
        <v>0</v>
      </c>
      <c r="FU35" s="896"/>
      <c r="FV35" s="896"/>
      <c r="FW35" s="207">
        <f>IF(FU35=0,0,(FV35-FU35)/FU35*100)</f>
        <v>0</v>
      </c>
      <c r="FZ35" s="689" t="s">
        <v>1652</v>
      </c>
      <c r="GA35" s="689"/>
      <c r="GB35" s="689"/>
      <c r="GC35" s="690"/>
      <c r="GD35" s="690"/>
    </row>
    <row r="36" spans="1:186" ht="14.65" hidden="1" customHeight="1">
      <c r="A36" s="59"/>
      <c r="B36" s="611" t="b" cm="1">
        <f t="array" ref="B36">B35</f>
        <v>0</v>
      </c>
      <c r="C36" s="59"/>
      <c r="D36" s="59"/>
      <c r="E36" s="460">
        <v>15</v>
      </c>
      <c r="F36" s="3" cm="1">
        <f t="array" aca="1" ref="F36" ca="1">OFFSET(E36,-1,1)</f>
        <v>0</v>
      </c>
      <c r="G36" s="59"/>
      <c r="H36" s="59" t="s">
        <v>511</v>
      </c>
      <c r="I36" s="59" t="s">
        <v>1653</v>
      </c>
      <c r="J36" s="59"/>
      <c r="K36" s="59"/>
      <c r="L36" s="59"/>
      <c r="M36" s="59"/>
      <c r="N36" s="59"/>
      <c r="O36" s="59"/>
      <c r="P36" s="59"/>
      <c r="Q36" s="59"/>
      <c r="R36" s="59"/>
      <c r="S36" s="59"/>
      <c r="T36" s="351" t="b" cm="1">
        <f t="array" ref="T36">T35</f>
        <v>0</v>
      </c>
      <c r="U36" s="59"/>
      <c r="V36" s="59"/>
      <c r="W36" s="59"/>
      <c r="X36" s="1046"/>
      <c r="Y36" s="59"/>
      <c r="Z36" s="1007"/>
      <c r="AA36" s="59"/>
      <c r="AB36" s="54" t="s">
        <v>1654</v>
      </c>
      <c r="AC36" s="12" t="s">
        <v>501</v>
      </c>
      <c r="AD36" s="618">
        <f ca="1">IF(AD34=0,0,AD35/AD34)*100</f>
        <v>0</v>
      </c>
      <c r="AE36" s="618">
        <f ca="1">IF(AE34=0,0,AE35/AE34)*100</f>
        <v>0</v>
      </c>
      <c r="AF36" s="712"/>
      <c r="AG36" s="618">
        <f ca="1">IF(AG34=0,0,AG35/AG34)*100</f>
        <v>0</v>
      </c>
      <c r="AH36" s="618">
        <f ca="1">IF(AH34=0,0,AH35/AH34)*100</f>
        <v>0</v>
      </c>
      <c r="AI36" s="712"/>
      <c r="AJ36" s="618">
        <f ca="1">IF(AJ34=0,0,AJ35/AJ34)*100</f>
        <v>0</v>
      </c>
      <c r="AK36" s="618">
        <f ca="1">IF(AK34=0,0,AK35/AK34)*100</f>
        <v>0</v>
      </c>
      <c r="AL36" s="712"/>
      <c r="AM36" s="618">
        <f ca="1">IF(AM34=0,0,AM35/AM34)*100</f>
        <v>0</v>
      </c>
      <c r="AN36" s="618">
        <f ca="1">IF(AN34=0,0,AN35/AN34)*100</f>
        <v>0</v>
      </c>
      <c r="AO36" s="712"/>
      <c r="AP36" s="618">
        <f ca="1">IF(AP34=0,0,AP35/AP34)*100</f>
        <v>0</v>
      </c>
      <c r="AQ36" s="618">
        <f ca="1">IF(AQ34=0,0,AQ35/AQ34)*100</f>
        <v>0</v>
      </c>
      <c r="AR36" s="712"/>
      <c r="AS36" s="618">
        <f ca="1">IF(AS34=0,0,AS35/AS34)*100</f>
        <v>0</v>
      </c>
      <c r="AT36" s="618">
        <f ca="1">IF(AT34=0,0,AT35/AT34)*100</f>
        <v>0</v>
      </c>
      <c r="AU36" s="712"/>
      <c r="AV36" s="618">
        <f ca="1">IF(AV34=0,0,AV35/AV34)*100</f>
        <v>0</v>
      </c>
      <c r="AW36" s="618">
        <f ca="1">IF(AW34=0,0,AW35/AW34)*100</f>
        <v>0</v>
      </c>
      <c r="AX36" s="712"/>
      <c r="AY36" s="618">
        <f ca="1">IF(AY34=0,0,AY35/AY34)*100</f>
        <v>0</v>
      </c>
      <c r="AZ36" s="618">
        <f ca="1">IF(AZ34=0,0,AZ35/AZ34)*100</f>
        <v>0</v>
      </c>
      <c r="BA36" s="712"/>
      <c r="BB36" s="618">
        <f ca="1">IF(BB34=0,0,BB35/BB34)*100</f>
        <v>0</v>
      </c>
      <c r="BC36" s="618">
        <f ca="1">IF(BC34=0,0,BC35/BC34)*100</f>
        <v>0</v>
      </c>
      <c r="BD36" s="712"/>
      <c r="BE36" s="618">
        <f ca="1">IF(BE34=0,0,BE35/BE34)*100</f>
        <v>0</v>
      </c>
      <c r="BF36" s="618">
        <f ca="1">IF(BF34=0,0,BF35/BF34)*100</f>
        <v>0</v>
      </c>
      <c r="BG36" s="712"/>
      <c r="BH36" s="618">
        <f>IF(BH34=0,0,BH35/BH34)*100</f>
        <v>0</v>
      </c>
      <c r="BI36" s="618">
        <f>IF(BI34=0,0,BI35/BI34)*100</f>
        <v>0</v>
      </c>
      <c r="BJ36" s="712"/>
      <c r="BK36" s="618">
        <f>IF(BK34=0,0,BK35/BK34)*100</f>
        <v>0</v>
      </c>
      <c r="BL36" s="618">
        <f>IF(BL34=0,0,BL35/BL34)*100</f>
        <v>0</v>
      </c>
      <c r="BM36" s="712"/>
      <c r="BN36" s="618">
        <f>IF(BN34=0,0,BN35/BN34)*100</f>
        <v>0</v>
      </c>
      <c r="BO36" s="618">
        <f>IF(BO34=0,0,BO35/BO34)*100</f>
        <v>0</v>
      </c>
      <c r="BP36" s="712"/>
      <c r="BQ36" s="618">
        <f>IF(BQ34=0,0,BQ35/BQ34)*100</f>
        <v>0</v>
      </c>
      <c r="BR36" s="618">
        <f>IF(BR34=0,0,BR35/BR34)*100</f>
        <v>0</v>
      </c>
      <c r="BS36" s="712"/>
      <c r="BT36" s="618">
        <f>IF(BT34=0,0,BT35/BT34)*100</f>
        <v>0</v>
      </c>
      <c r="BU36" s="618">
        <f>IF(BU34=0,0,BU35/BU34)*100</f>
        <v>0</v>
      </c>
      <c r="BV36" s="712"/>
      <c r="BW36" s="618">
        <f>IF(BW34=0,0,BW35/BW34)*100</f>
        <v>0</v>
      </c>
      <c r="BX36" s="618">
        <f>IF(BX34=0,0,BX35/BX34)*100</f>
        <v>0</v>
      </c>
      <c r="BY36" s="712"/>
      <c r="BZ36" s="618">
        <f>IF(BZ34=0,0,BZ35/BZ34)*100</f>
        <v>0</v>
      </c>
      <c r="CA36" s="618">
        <f>IF(CA34=0,0,CA35/CA34)*100</f>
        <v>0</v>
      </c>
      <c r="CB36" s="712"/>
      <c r="CC36" s="618">
        <f>IF(CC34=0,0,CC35/CC34)*100</f>
        <v>0</v>
      </c>
      <c r="CD36" s="618">
        <f>IF(CD34=0,0,CD35/CD34)*100</f>
        <v>0</v>
      </c>
      <c r="CE36" s="712"/>
      <c r="CF36" s="618">
        <f>IF(CF34=0,0,CF35/CF34)*100</f>
        <v>0</v>
      </c>
      <c r="CG36" s="618">
        <f>IF(CG34=0,0,CG35/CG34)*100</f>
        <v>0</v>
      </c>
      <c r="CH36" s="712"/>
      <c r="CI36" s="618">
        <f>IF(CI34=0,0,CI35/CI34)*100</f>
        <v>0</v>
      </c>
      <c r="CJ36" s="618">
        <f>IF(CJ34=0,0,CJ35/CJ34)*100</f>
        <v>0</v>
      </c>
      <c r="CK36" s="712"/>
      <c r="CL36" s="618">
        <f>IF(CL34=0,0,CL35/CL34)*100</f>
        <v>0</v>
      </c>
      <c r="CM36" s="618">
        <f>IF(CM34=0,0,CM35/CM34)*100</f>
        <v>0</v>
      </c>
      <c r="CN36" s="712"/>
      <c r="CO36" s="618">
        <f>IF(CO34=0,0,CO35/CO34)*100</f>
        <v>0</v>
      </c>
      <c r="CP36" s="618">
        <f>IF(CP34=0,0,CP35/CP34)*100</f>
        <v>0</v>
      </c>
      <c r="CQ36" s="712"/>
      <c r="CR36" s="618">
        <f>IF(CR34=0,0,CR35/CR34)*100</f>
        <v>0</v>
      </c>
      <c r="CS36" s="618">
        <f>IF(CS34=0,0,CS35/CS34)*100</f>
        <v>0</v>
      </c>
      <c r="CT36" s="712"/>
      <c r="CU36" s="618">
        <f>IF(CU34=0,0,CU35/CU34)*100</f>
        <v>0</v>
      </c>
      <c r="CV36" s="618">
        <f>IF(CV34=0,0,CV35/CV34)*100</f>
        <v>0</v>
      </c>
      <c r="CW36" s="712"/>
      <c r="CX36" s="618">
        <f>IF(CX34=0,0,CX35/CX34)*100</f>
        <v>0</v>
      </c>
      <c r="CY36" s="618">
        <f>IF(CY34=0,0,CY35/CY34)*100</f>
        <v>0</v>
      </c>
      <c r="CZ36" s="712"/>
      <c r="DA36" s="618">
        <f>IF(DA34=0,0,DA35/DA34)*100</f>
        <v>0</v>
      </c>
      <c r="DB36" s="618">
        <f>IF(DB34=0,0,DB35/DB34)*100</f>
        <v>0</v>
      </c>
      <c r="DC36" s="712"/>
      <c r="DD36" s="618">
        <f>IF(DD34=0,0,DD35/DD34)*100</f>
        <v>0</v>
      </c>
      <c r="DE36" s="618">
        <f>IF(DE34=0,0,DE35/DE34)*100</f>
        <v>0</v>
      </c>
      <c r="DF36" s="712"/>
      <c r="DG36" s="618">
        <f>IF(DG34=0,0,DG35/DG34)*100</f>
        <v>0</v>
      </c>
      <c r="DH36" s="618">
        <f>IF(DH34=0,0,DH35/DH34)*100</f>
        <v>0</v>
      </c>
      <c r="DI36" s="712"/>
      <c r="DJ36" s="618">
        <f>IF(DJ34=0,0,DJ35/DJ34)*100</f>
        <v>0</v>
      </c>
      <c r="DK36" s="618">
        <f>IF(DK34=0,0,DK35/DK34)*100</f>
        <v>0</v>
      </c>
      <c r="DL36" s="712"/>
      <c r="DM36" s="618">
        <f>IF(DM34=0,0,DM35/DM34)*100</f>
        <v>0</v>
      </c>
      <c r="DN36" s="618">
        <f>IF(DN34=0,0,DN35/DN34)*100</f>
        <v>0</v>
      </c>
      <c r="DO36" s="712"/>
      <c r="DP36" s="618">
        <f>IF(DP34=0,0,DP35/DP34)*100</f>
        <v>0</v>
      </c>
      <c r="DQ36" s="618">
        <f>IF(DQ34=0,0,DQ35/DQ34)*100</f>
        <v>0</v>
      </c>
      <c r="DR36" s="712"/>
      <c r="DS36" s="618">
        <f>IF(DS34=0,0,DS35/DS34)*100</f>
        <v>0</v>
      </c>
      <c r="DT36" s="618">
        <f>IF(DT34=0,0,DT35/DT34)*100</f>
        <v>0</v>
      </c>
      <c r="DU36" s="712"/>
      <c r="DV36" s="618">
        <f>IF(DV34=0,0,DV35/DV34)*100</f>
        <v>0</v>
      </c>
      <c r="DW36" s="618">
        <f>IF(DW34=0,0,DW35/DW34)*100</f>
        <v>0</v>
      </c>
      <c r="DX36" s="712"/>
      <c r="DY36" s="618">
        <f>IF(DY34=0,0,DY35/DY34)*100</f>
        <v>0</v>
      </c>
      <c r="DZ36" s="618">
        <f>IF(DZ34=0,0,DZ35/DZ34)*100</f>
        <v>0</v>
      </c>
      <c r="EA36" s="712"/>
      <c r="EB36" s="618">
        <f>IF(EB34=0,0,EB35/EB34)*100</f>
        <v>0</v>
      </c>
      <c r="EC36" s="618">
        <f>IF(EC34=0,0,EC35/EC34)*100</f>
        <v>0</v>
      </c>
      <c r="ED36" s="712"/>
      <c r="EE36" s="618">
        <f>IF(EE34=0,0,EE35/EE34)*100</f>
        <v>0</v>
      </c>
      <c r="EF36" s="618">
        <f>IF(EF34=0,0,EF35/EF34)*100</f>
        <v>0</v>
      </c>
      <c r="EG36" s="712"/>
      <c r="EH36" s="618">
        <f>IF(EH34=0,0,EH35/EH34)*100</f>
        <v>0</v>
      </c>
      <c r="EI36" s="618">
        <f>IF(EI34=0,0,EI35/EI34)*100</f>
        <v>0</v>
      </c>
      <c r="EJ36" s="712"/>
      <c r="EK36" s="618">
        <f>IF(EK34=0,0,EK35/EK34)*100</f>
        <v>0</v>
      </c>
      <c r="EL36" s="618">
        <f>IF(EL34=0,0,EL35/EL34)*100</f>
        <v>0</v>
      </c>
      <c r="EM36" s="712"/>
      <c r="EN36" s="618">
        <f>IF(EN34=0,0,EN35/EN34)*100</f>
        <v>0</v>
      </c>
      <c r="EO36" s="618">
        <f>IF(EO34=0,0,EO35/EO34)*100</f>
        <v>0</v>
      </c>
      <c r="EP36" s="712"/>
      <c r="EQ36" s="618">
        <f>IF(EQ34=0,0,EQ35/EQ34)*100</f>
        <v>0</v>
      </c>
      <c r="ER36" s="618">
        <f>IF(ER34=0,0,ER35/ER34)*100</f>
        <v>0</v>
      </c>
      <c r="ES36" s="712"/>
      <c r="ET36" s="618">
        <f>IF(ET34=0,0,ET35/ET34)*100</f>
        <v>0</v>
      </c>
      <c r="EU36" s="618">
        <f>IF(EU34=0,0,EU35/EU34)*100</f>
        <v>0</v>
      </c>
      <c r="EV36" s="712"/>
      <c r="EW36" s="618">
        <f>IF(EW34=0,0,EW35/EW34)*100</f>
        <v>0</v>
      </c>
      <c r="EX36" s="618">
        <f>IF(EX34=0,0,EX35/EX34)*100</f>
        <v>0</v>
      </c>
      <c r="EY36" s="712"/>
      <c r="EZ36" s="618">
        <f>IF(EZ34=0,0,EZ35/EZ34)*100</f>
        <v>0</v>
      </c>
      <c r="FA36" s="618">
        <f>IF(FA34=0,0,FA35/FA34)*100</f>
        <v>0</v>
      </c>
      <c r="FB36" s="712"/>
      <c r="FC36" s="618">
        <f>IF(FC34=0,0,FC35/FC34)*100</f>
        <v>0</v>
      </c>
      <c r="FD36" s="618">
        <f>IF(FD34=0,0,FD35/FD34)*100</f>
        <v>0</v>
      </c>
      <c r="FE36" s="712"/>
      <c r="FF36" s="618">
        <f>IF(FF34=0,0,FF35/FF34)*100</f>
        <v>0</v>
      </c>
      <c r="FG36" s="618">
        <f>IF(FG34=0,0,FG35/FG34)*100</f>
        <v>0</v>
      </c>
      <c r="FH36" s="712"/>
      <c r="FI36" s="618">
        <f>IF(FI34=0,0,FI35/FI34)*100</f>
        <v>0</v>
      </c>
      <c r="FJ36" s="618">
        <f>IF(FJ34=0,0,FJ35/FJ34)*100</f>
        <v>0</v>
      </c>
      <c r="FK36" s="712"/>
      <c r="FL36" s="618">
        <f>IF(FL34=0,0,FL35/FL34)*100</f>
        <v>0</v>
      </c>
      <c r="FM36" s="618">
        <f>IF(FM34=0,0,FM35/FM34)*100</f>
        <v>0</v>
      </c>
      <c r="FN36" s="712"/>
      <c r="FO36" s="618">
        <f>IF(FO34=0,0,FO35/FO34)*100</f>
        <v>0</v>
      </c>
      <c r="FP36" s="618">
        <f>IF(FP34=0,0,FP35/FP34)*100</f>
        <v>0</v>
      </c>
      <c r="FQ36" s="712"/>
      <c r="FR36" s="618">
        <f>IF(FR34=0,0,FR35/FR34)*100</f>
        <v>0</v>
      </c>
      <c r="FS36" s="618">
        <f>IF(FS34=0,0,FS35/FS34)*100</f>
        <v>0</v>
      </c>
      <c r="FT36" s="712"/>
      <c r="FU36" s="618">
        <f>IF(FU34=0,0,FU35/FU34)*100</f>
        <v>0</v>
      </c>
      <c r="FV36" s="618">
        <f>IF(FV34=0,0,FV35/FV34)*100</f>
        <v>0</v>
      </c>
      <c r="FW36" s="712"/>
      <c r="FX36" s="203"/>
      <c r="FZ36" s="689" t="s">
        <v>1655</v>
      </c>
    </row>
    <row r="37" spans="1:186" ht="14.65" hidden="1" customHeight="1">
      <c r="A37" s="59"/>
      <c r="B37" s="611" t="b" cm="1">
        <f t="array" ref="B37">B36</f>
        <v>0</v>
      </c>
      <c r="C37" s="59"/>
      <c r="D37" s="59"/>
      <c r="E37" s="460">
        <v>15</v>
      </c>
      <c r="F37" s="3" cm="1">
        <f t="array" aca="1" ref="F37" ca="1">OFFSET(E37,-1,1)</f>
        <v>0</v>
      </c>
      <c r="G37" s="25" t="s">
        <v>1656</v>
      </c>
      <c r="H37" s="59" t="s">
        <v>514</v>
      </c>
      <c r="I37" s="59" t="s">
        <v>1653</v>
      </c>
      <c r="J37" s="59"/>
      <c r="K37" s="59"/>
      <c r="L37" s="59"/>
      <c r="M37" s="59"/>
      <c r="N37" s="59"/>
      <c r="O37" s="59"/>
      <c r="P37" s="59"/>
      <c r="Q37" s="59"/>
      <c r="R37" s="59"/>
      <c r="S37" s="59"/>
      <c r="T37" s="351" t="b" cm="1">
        <f t="array" ref="T37">T36</f>
        <v>0</v>
      </c>
      <c r="U37" s="59"/>
      <c r="V37" s="59"/>
      <c r="W37" s="59"/>
      <c r="X37" s="1046"/>
      <c r="Y37" s="59"/>
      <c r="Z37" s="1007"/>
      <c r="AA37" s="59"/>
      <c r="AB37" s="54" t="s">
        <v>1657</v>
      </c>
      <c r="AC37" s="12" t="s">
        <v>585</v>
      </c>
      <c r="AD37" s="833">
        <f ca="1">IF(AND(method_reg="Метод индексации",god&lt;&gt;first_year),SUMIFS(INDEX('Калькуляция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(МИ)'!$AJ$25:$BC$315,,MATCH(AD$8,'Калькуляция (МИ)'!$AJ$8:$BC$8,0)),'Калькуляция (МИ)'!$F$25:$F$315,$F37,'Калькуляция (МИ)'!$G$25:$G$315,$G37))))</f>
        <v>0</v>
      </c>
      <c r="AE37" s="833">
        <f ca="1">IF(AND(method_reg="Метод индексации",god&lt;&gt;first_year),SUMIFS(INDEX('Калькуляция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(МИ)'!$AJ$25:$BC$315,,MATCH(AE$8,'Калькуляция (МИ)'!$AJ$8:$BC$8,0)),'Калькуляция (МИ)'!$F$25:$F$315,$F37,'Калькуляция (МИ)'!$G$25:$G$315,$G37))))</f>
        <v>0</v>
      </c>
      <c r="AF37" s="713">
        <f ca="1">IF(AD37=0,0,(AE37-AD37)/AD37*100)</f>
        <v>0</v>
      </c>
      <c r="AG37" s="190">
        <f ca="1">IF(AND(method_reg="Метод индексации",god&lt;&gt;first_year),SUMIFS(INDEX('Калькуляция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(МИ)'!$AJ$25:$BC$315,,MATCH(AG$8,'Калькуляция (МИ)'!$AJ$8:$BC$8,0)),'Калькуляция (МИ)'!$F$25:$F$315,$F37,'Калькуляция (МИ)'!$G$25:$G$315,$G37))))</f>
        <v>0</v>
      </c>
      <c r="AH37" s="190">
        <f ca="1">IF(AND(method_reg="Метод индексации",god&lt;&gt;first_year),SUMIFS(INDEX('Калькуляция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(МИ)'!$AJ$25:$BC$315,,MATCH(AH$8,'Калькуляция (МИ)'!$AJ$8:$BC$8,0)),'Калькуляция (МИ)'!$F$25:$F$315,$F37,'Калькуляция (МИ)'!$G$25:$G$315,$G37))))</f>
        <v>0</v>
      </c>
      <c r="AI37" s="713">
        <f ca="1">IF(AG37=0,0,(AH37-AG37)/AG37*100)</f>
        <v>0</v>
      </c>
      <c r="AJ37" s="190">
        <f ca="1">IF(AND(method_reg="Метод индексации",god&lt;&gt;first_year),SUMIFS(INDEX('Калькуляция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(МИ)'!$AJ$25:$BC$315,,MATCH(AJ$8,'Калькуляция (МИ)'!$AJ$8:$BC$8,0)),'Калькуляция (МИ)'!$F$25:$F$315,$F37,'Калькуляция (МИ)'!$G$25:$G$315,$G37))))</f>
        <v>0</v>
      </c>
      <c r="AK37" s="190">
        <f ca="1">IF(AND(method_reg="Метод индексации",god&lt;&gt;first_year),SUMIFS(INDEX('Калькуляция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(МИ)'!$AJ$25:$BC$315,,MATCH(AK$8,'Калькуляция (МИ)'!$AJ$8:$BC$8,0)),'Калькуляция (МИ)'!$F$25:$F$315,$F37,'Калькуляция (МИ)'!$G$25:$G$315,$G37))))</f>
        <v>0</v>
      </c>
      <c r="AL37" s="713">
        <f ca="1">IF(AJ37=0,0,(AK37-AJ37)/AJ37*100)</f>
        <v>0</v>
      </c>
      <c r="AM37" s="833">
        <f ca="1">IF(AND(method_reg="Метод индексации",god&lt;&gt;first_year),SUMIFS(INDEX('Калькуляция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(МИ)'!$AJ$25:$BC$315,,MATCH(AM$8,'Калькуляция (МИ)'!$AJ$8:$BC$8,0)),'Калькуляция (МИ)'!$F$25:$F$315,$F37,'Калькуляция (МИ)'!$G$25:$G$315,$G37))))</f>
        <v>0</v>
      </c>
      <c r="AN37" s="833">
        <f ca="1">IF(AND(method_reg="Метод индексации",god&lt;&gt;first_year),SUMIFS(INDEX('Калькуляция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(МИ)'!$AJ$25:$BC$315,,MATCH(AN$8,'Калькуляция (МИ)'!$AJ$8:$BC$8,0)),'Калькуляция (МИ)'!$F$25:$F$315,$F37,'Калькуляция (МИ)'!$G$25:$G$315,$G37))))</f>
        <v>0</v>
      </c>
      <c r="AO37" s="713">
        <f ca="1">IF(AM37=0,0,(AN37-AM37)/AM37*100)</f>
        <v>0</v>
      </c>
      <c r="AP37" s="833">
        <f ca="1">IF(AND(method_reg="Метод индексации",god&lt;&gt;first_year),SUMIFS(INDEX('Калькуляция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(МИ)'!$AJ$25:$BC$315,,MATCH(AP$8,'Калькуляция (МИ)'!$AJ$8:$BC$8,0)),'Калькуляция (МИ)'!$F$25:$F$315,$F37,'Калькуляция (МИ)'!$G$25:$G$315,$G37))))</f>
        <v>0</v>
      </c>
      <c r="AQ37" s="833">
        <f ca="1">IF(AND(method_reg="Метод индексации",god&lt;&gt;first_year),SUMIFS(INDEX('Калькуляция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(МИ)'!$AJ$25:$BC$315,,MATCH(AQ$8,'Калькуляция (МИ)'!$AJ$8:$BC$8,0)),'Калькуляция (МИ)'!$F$25:$F$315,$F37,'Калькуляция (МИ)'!$G$25:$G$315,$G37))))</f>
        <v>0</v>
      </c>
      <c r="AR37" s="713">
        <f ca="1">IF(AP37=0,0,(AQ37-AP37)/AP37*100)</f>
        <v>0</v>
      </c>
      <c r="AS37" s="833">
        <f ca="1">IF(AND(method_reg="Метод индексации",god&lt;&gt;first_year),SUMIFS(INDEX('Калькуляция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(МИ)'!$AJ$25:$BC$315,,MATCH(AS$8,'Калькуляция (МИ)'!$AJ$8:$BC$8,0)),'Калькуляция (МИ)'!$F$25:$F$315,$F37,'Калькуляция (МИ)'!$G$25:$G$315,$G37))))</f>
        <v>0</v>
      </c>
      <c r="AT37" s="833">
        <f ca="1">IF(AND(method_reg="Метод индексации",god&lt;&gt;first_year),SUMIFS(INDEX('Калькуляция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(МИ)'!$AJ$25:$BC$315,,MATCH(AT$8,'Калькуляция (МИ)'!$AJ$8:$BC$8,0)),'Калькуляция (МИ)'!$F$25:$F$315,$F37,'Калькуляция (МИ)'!$G$25:$G$315,$G37))))</f>
        <v>0</v>
      </c>
      <c r="AU37" s="713">
        <f ca="1">IF(AS37=0,0,(AT37-AS37)/AS37*100)</f>
        <v>0</v>
      </c>
      <c r="AV37" s="833">
        <f ca="1">IF(AND(method_reg="Метод индексации",god&lt;&gt;first_year),SUMIFS(INDEX('Калькуляция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(МИ)'!$AJ$25:$BC$315,,MATCH(AV$8,'Калькуляция (МИ)'!$AJ$8:$BC$8,0)),'Калькуляция (МИ)'!$F$25:$F$315,$F37,'Калькуляция (МИ)'!$G$25:$G$315,$G37))))</f>
        <v>0</v>
      </c>
      <c r="AW37" s="833">
        <f ca="1">IF(AND(method_reg="Метод индексации",god&lt;&gt;first_year),SUMIFS(INDEX('Калькуляция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(МИ)'!$AJ$25:$BC$315,,MATCH(AW$8,'Калькуляция (МИ)'!$AJ$8:$BC$8,0)),'Калькуляция (МИ)'!$F$25:$F$315,$F37,'Калькуляция (МИ)'!$G$25:$G$315,$G37))))</f>
        <v>0</v>
      </c>
      <c r="AX37" s="713">
        <f ca="1">IF(AV37=0,0,(AW37-AV37)/AV37*100)</f>
        <v>0</v>
      </c>
      <c r="AY37" s="833">
        <f ca="1">IF(AND(method_reg="Метод индексации",god&lt;&gt;first_year),SUMIFS(INDEX('Калькуляция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(МИ)'!$AJ$25:$BC$315,,MATCH(AY$8,'Калькуляция (МИ)'!$AJ$8:$BC$8,0)),'Калькуляция (МИ)'!$F$25:$F$315,$F37,'Калькуляция (МИ)'!$G$25:$G$315,$G37))))</f>
        <v>0</v>
      </c>
      <c r="AZ37" s="833">
        <f ca="1">IF(AND(method_reg="Метод индексации",god&lt;&gt;first_year),SUMIFS(INDEX('Калькуляция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(МИ)'!$AJ$25:$BC$315,,MATCH(AZ$8,'Калькуляция (МИ)'!$AJ$8:$BC$8,0)),'Калькуляция (МИ)'!$F$25:$F$315,$F37,'Калькуляция (МИ)'!$G$25:$G$315,$G37))))</f>
        <v>0</v>
      </c>
      <c r="BA37" s="713">
        <f ca="1">IF(AY37=0,0,(AZ37-AY37)/AY37*100)</f>
        <v>0</v>
      </c>
      <c r="BB37" s="833">
        <f ca="1">IF(AND(method_reg="Метод индексации",god&lt;&gt;first_year),SUMIFS(INDEX('Калькуляция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(МИ)'!$AJ$25:$BC$315,,MATCH(BB$8,'Калькуляция (МИ)'!$AJ$8:$BC$8,0)),'Калькуляция (МИ)'!$F$25:$F$315,$F37,'Калькуляция (МИ)'!$G$25:$G$315,$G37))))</f>
        <v>0</v>
      </c>
      <c r="BC37" s="833">
        <f ca="1">IF(AND(method_reg="Метод индексации",god&lt;&gt;first_year),SUMIFS(INDEX('Калькуляция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(МИ)'!$AJ$25:$BC$315,,MATCH(BC$8,'Калькуляция (МИ)'!$AJ$8:$BC$8,0)),'Калькуляция (МИ)'!$F$25:$F$315,$F37,'Калькуляция (МИ)'!$G$25:$G$315,$G37))))</f>
        <v>0</v>
      </c>
      <c r="BD37" s="713">
        <f ca="1">IF(BB37=0,0,(BC37-BB37)/BB37*100)</f>
        <v>0</v>
      </c>
      <c r="BE37" s="833">
        <f ca="1">IF(AND(method_reg="Метод индексации",god&lt;&gt;first_year),SUMIFS(INDEX('Калькуляция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(МИ)'!$AJ$25:$BC$315,,MATCH(BE$8,'Калькуляция (МИ)'!$AJ$8:$BC$8,0)),'Калькуляция (МИ)'!$F$25:$F$315,$F37,'Калькуляция (МИ)'!$G$25:$G$315,$G37))))</f>
        <v>0</v>
      </c>
      <c r="BF37" s="833">
        <f ca="1">IF(AND(method_reg="Метод индексации",god&lt;&gt;first_year),SUMIFS(INDEX('Калькуляция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(МИ)'!$AJ$25:$BC$315,,MATCH(BF$8,'Калькуляция (МИ)'!$AJ$8:$BC$8,0)),'Калькуляция (МИ)'!$F$25:$F$315,$F37,'Калькуляция (МИ)'!$G$25:$G$315,$G37))))</f>
        <v>0</v>
      </c>
      <c r="BG37" s="713">
        <f ca="1">IF(BE37=0,0,(BF37-BE37)/BE37*100)</f>
        <v>0</v>
      </c>
      <c r="BH37" s="833"/>
      <c r="BI37" s="833"/>
      <c r="BJ37" s="713">
        <f>IF(BH37=0,0,(BI37-BH37)/BH37*100)</f>
        <v>0</v>
      </c>
      <c r="BK37" s="833"/>
      <c r="BL37" s="833"/>
      <c r="BM37" s="713">
        <f>IF(BK37=0,0,(BL37-BK37)/BK37*100)</f>
        <v>0</v>
      </c>
      <c r="BN37" s="833"/>
      <c r="BO37" s="833"/>
      <c r="BP37" s="713">
        <f>IF(BN37=0,0,(BO37-BN37)/BN37*100)</f>
        <v>0</v>
      </c>
      <c r="BQ37" s="833"/>
      <c r="BR37" s="833"/>
      <c r="BS37" s="713">
        <f>IF(BQ37=0,0,(BR37-BQ37)/BQ37*100)</f>
        <v>0</v>
      </c>
      <c r="BT37" s="833"/>
      <c r="BU37" s="833"/>
      <c r="BV37" s="713">
        <f>IF(BT37=0,0,(BU37-BT37)/BT37*100)</f>
        <v>0</v>
      </c>
      <c r="BW37" s="833"/>
      <c r="BX37" s="833"/>
      <c r="BY37" s="713">
        <f>IF(BW37=0,0,(BX37-BW37)/BW37*100)</f>
        <v>0</v>
      </c>
      <c r="BZ37" s="833"/>
      <c r="CA37" s="833"/>
      <c r="CB37" s="713">
        <f>IF(BZ37=0,0,(CA37-BZ37)/BZ37*100)</f>
        <v>0</v>
      </c>
      <c r="CC37" s="833"/>
      <c r="CD37" s="833"/>
      <c r="CE37" s="713">
        <f>IF(CC37=0,0,(CD37-CC37)/CC37*100)</f>
        <v>0</v>
      </c>
      <c r="CF37" s="833"/>
      <c r="CG37" s="833"/>
      <c r="CH37" s="713">
        <f>IF(CF37=0,0,(CG37-CF37)/CF37*100)</f>
        <v>0</v>
      </c>
      <c r="CI37" s="833"/>
      <c r="CJ37" s="833"/>
      <c r="CK37" s="713">
        <f>IF(CI37=0,0,(CJ37-CI37)/CI37*100)</f>
        <v>0</v>
      </c>
      <c r="CL37" s="833"/>
      <c r="CM37" s="833"/>
      <c r="CN37" s="713">
        <f>IF(CL37=0,0,(CM37-CL37)/CL37*100)</f>
        <v>0</v>
      </c>
      <c r="CO37" s="833"/>
      <c r="CP37" s="833"/>
      <c r="CQ37" s="713">
        <f>IF(CO37=0,0,(CP37-CO37)/CO37*100)</f>
        <v>0</v>
      </c>
      <c r="CR37" s="833"/>
      <c r="CS37" s="833"/>
      <c r="CT37" s="713">
        <f>IF(CR37=0,0,(CS37-CR37)/CR37*100)</f>
        <v>0</v>
      </c>
      <c r="CU37" s="833"/>
      <c r="CV37" s="833"/>
      <c r="CW37" s="713">
        <f>IF(CU37=0,0,(CV37-CU37)/CU37*100)</f>
        <v>0</v>
      </c>
      <c r="CX37" s="833"/>
      <c r="CY37" s="833"/>
      <c r="CZ37" s="713">
        <f>IF(CX37=0,0,(CY37-CX37)/CX37*100)</f>
        <v>0</v>
      </c>
      <c r="DA37" s="833"/>
      <c r="DB37" s="833"/>
      <c r="DC37" s="713">
        <f>IF(DA37=0,0,(DB37-DA37)/DA37*100)</f>
        <v>0</v>
      </c>
      <c r="DD37" s="833"/>
      <c r="DE37" s="833"/>
      <c r="DF37" s="713">
        <f>IF(DD37=0,0,(DE37-DD37)/DD37*100)</f>
        <v>0</v>
      </c>
      <c r="DG37" s="833"/>
      <c r="DH37" s="833"/>
      <c r="DI37" s="713">
        <f>IF(DG37=0,0,(DH37-DG37)/DG37*100)</f>
        <v>0</v>
      </c>
      <c r="DJ37" s="833"/>
      <c r="DK37" s="833"/>
      <c r="DL37" s="713">
        <f>IF(DJ37=0,0,(DK37-DJ37)/DJ37*100)</f>
        <v>0</v>
      </c>
      <c r="DM37" s="833"/>
      <c r="DN37" s="833"/>
      <c r="DO37" s="713">
        <f>IF(DM37=0,0,(DN37-DM37)/DM37*100)</f>
        <v>0</v>
      </c>
      <c r="DP37" s="833"/>
      <c r="DQ37" s="833"/>
      <c r="DR37" s="713">
        <f>IF(DP37=0,0,(DQ37-DP37)/DP37*100)</f>
        <v>0</v>
      </c>
      <c r="DS37" s="833"/>
      <c r="DT37" s="833"/>
      <c r="DU37" s="713">
        <f>IF(DS37=0,0,(DT37-DS37)/DS37*100)</f>
        <v>0</v>
      </c>
      <c r="DV37" s="833"/>
      <c r="DW37" s="833"/>
      <c r="DX37" s="713">
        <f>IF(DV37=0,0,(DW37-DV37)/DV37*100)</f>
        <v>0</v>
      </c>
      <c r="DY37" s="833"/>
      <c r="DZ37" s="833"/>
      <c r="EA37" s="713">
        <f>IF(DY37=0,0,(DZ37-DY37)/DY37*100)</f>
        <v>0</v>
      </c>
      <c r="EB37" s="833"/>
      <c r="EC37" s="833"/>
      <c r="ED37" s="713">
        <f>IF(EB37=0,0,(EC37-EB37)/EB37*100)</f>
        <v>0</v>
      </c>
      <c r="EE37" s="833"/>
      <c r="EF37" s="833"/>
      <c r="EG37" s="713">
        <f>IF(EE37=0,0,(EF37-EE37)/EE37*100)</f>
        <v>0</v>
      </c>
      <c r="EH37" s="833"/>
      <c r="EI37" s="833"/>
      <c r="EJ37" s="713">
        <f>IF(EH37=0,0,(EI37-EH37)/EH37*100)</f>
        <v>0</v>
      </c>
      <c r="EK37" s="833"/>
      <c r="EL37" s="833"/>
      <c r="EM37" s="713">
        <f>IF(EK37=0,0,(EL37-EK37)/EK37*100)</f>
        <v>0</v>
      </c>
      <c r="EN37" s="833"/>
      <c r="EO37" s="833"/>
      <c r="EP37" s="713">
        <f>IF(EN37=0,0,(EO37-EN37)/EN37*100)</f>
        <v>0</v>
      </c>
      <c r="EQ37" s="833"/>
      <c r="ER37" s="833"/>
      <c r="ES37" s="713">
        <f>IF(EQ37=0,0,(ER37-EQ37)/EQ37*100)</f>
        <v>0</v>
      </c>
      <c r="ET37" s="833"/>
      <c r="EU37" s="833"/>
      <c r="EV37" s="713">
        <f>IF(ET37=0,0,(EU37-ET37)/ET37*100)</f>
        <v>0</v>
      </c>
      <c r="EW37" s="833"/>
      <c r="EX37" s="833"/>
      <c r="EY37" s="713">
        <f>IF(EW37=0,0,(EX37-EW37)/EW37*100)</f>
        <v>0</v>
      </c>
      <c r="EZ37" s="833"/>
      <c r="FA37" s="833"/>
      <c r="FB37" s="713">
        <f>IF(EZ37=0,0,(FA37-EZ37)/EZ37*100)</f>
        <v>0</v>
      </c>
      <c r="FC37" s="833"/>
      <c r="FD37" s="833"/>
      <c r="FE37" s="713">
        <f>IF(FC37=0,0,(FD37-FC37)/FC37*100)</f>
        <v>0</v>
      </c>
      <c r="FF37" s="833"/>
      <c r="FG37" s="833"/>
      <c r="FH37" s="713">
        <f>IF(FF37=0,0,(FG37-FF37)/FF37*100)</f>
        <v>0</v>
      </c>
      <c r="FI37" s="833"/>
      <c r="FJ37" s="833"/>
      <c r="FK37" s="713">
        <f>IF(FI37=0,0,(FJ37-FI37)/FI37*100)</f>
        <v>0</v>
      </c>
      <c r="FL37" s="833"/>
      <c r="FM37" s="833"/>
      <c r="FN37" s="713">
        <f>IF(FL37=0,0,(FM37-FL37)/FL37*100)</f>
        <v>0</v>
      </c>
      <c r="FO37" s="833"/>
      <c r="FP37" s="833"/>
      <c r="FQ37" s="713">
        <f>IF(FO37=0,0,(FP37-FO37)/FO37*100)</f>
        <v>0</v>
      </c>
      <c r="FR37" s="833"/>
      <c r="FS37" s="833"/>
      <c r="FT37" s="713">
        <f>IF(FR37=0,0,(FS37-FR37)/FR37*100)</f>
        <v>0</v>
      </c>
      <c r="FU37" s="833"/>
      <c r="FV37" s="833"/>
      <c r="FW37" s="713">
        <f>IF(FU37=0,0,(FV37-FU37)/FU37*100)</f>
        <v>0</v>
      </c>
      <c r="FX37" s="203"/>
      <c r="FZ37" s="689" t="s">
        <v>1658</v>
      </c>
    </row>
    <row r="38" spans="1:186" s="203" customFormat="1" ht="23.85" hidden="1" customHeight="1">
      <c r="A38" s="592"/>
      <c r="B38" s="611" t="b" cm="1">
        <f t="array" ref="B38">B37</f>
        <v>0</v>
      </c>
      <c r="C38" s="592"/>
      <c r="D38" s="592"/>
      <c r="E38" s="593">
        <v>24.5</v>
      </c>
      <c r="F38" s="3" cm="1">
        <f t="array" aca="1" ref="F38" ca="1">OFFSET(E38,-1,1)</f>
        <v>0</v>
      </c>
      <c r="G38" s="25" t="s">
        <v>1659</v>
      </c>
      <c r="H38" s="59" t="s">
        <v>507</v>
      </c>
      <c r="I38" s="59" t="s">
        <v>1660</v>
      </c>
      <c r="J38" s="592"/>
      <c r="K38" s="592"/>
      <c r="L38" s="59"/>
      <c r="M38" s="592"/>
      <c r="N38" s="592"/>
      <c r="O38" s="592"/>
      <c r="P38" s="592"/>
      <c r="Q38" s="592"/>
      <c r="R38" s="59"/>
      <c r="S38" s="59"/>
      <c r="T38" s="351" t="b" cm="1">
        <f t="array" ref="T38">T37</f>
        <v>0</v>
      </c>
      <c r="U38" s="592"/>
      <c r="V38" s="592"/>
      <c r="W38" s="592"/>
      <c r="X38" s="1046"/>
      <c r="Y38" s="592"/>
      <c r="Z38" s="1007"/>
      <c r="AA38" s="592"/>
      <c r="AB38" s="204" t="s">
        <v>1661</v>
      </c>
      <c r="AC38" s="205" t="s">
        <v>1647</v>
      </c>
      <c r="AD38" s="895">
        <f ca="1">IF(AND(method_reg="Метод индексации",god&lt;&gt;first_year),SUMIFS(INDEX('Калькуляция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(МИ)'!$AJ$25:$BC$315,,MATCH(AD$8,'Калькуляция (МИ)'!$AJ$8:$BC$8,0)),'Калькуляция (МИ)'!$F$25:$F$315,$F38,'Калькуляция (МИ)'!$G$25:$G$315,$G38))))</f>
        <v>0</v>
      </c>
      <c r="AE38" s="895">
        <f ca="1">IF(AND(method_reg="Метод индексации",god&lt;&gt;first_year),SUMIFS(INDEX('Калькуляция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(МИ)'!$AJ$25:$BC$315,,MATCH(AE$8,'Калькуляция (МИ)'!$AJ$8:$BC$8,0)),'Калькуляция (МИ)'!$F$25:$F$315,$F38,'Калькуляция (МИ)'!$G$25:$G$315,$G38))))</f>
        <v>0</v>
      </c>
      <c r="AF38" s="207">
        <f ca="1">IF(AD38=0,0,(AE38-AD38)/AD38*100)</f>
        <v>0</v>
      </c>
      <c r="AG38" s="594">
        <f ca="1">IF(AND(method_reg="Метод индексации",god&lt;&gt;first_year),SUMIFS(INDEX('Калькуляция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(МИ)'!$AJ$25:$BC$315,,MATCH(AG$8,'Калькуляция (МИ)'!$AJ$8:$BC$8,0)),'Калькуляция (МИ)'!$F$25:$F$315,$F38,'Калькуляция (МИ)'!$G$25:$G$315,$G38))))</f>
        <v>0</v>
      </c>
      <c r="AH38" s="594">
        <f ca="1">IF(AND(method_reg="Метод индексации",god&lt;&gt;first_year),SUMIFS(INDEX('Калькуляция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(МИ)'!$AJ$25:$BC$315,,MATCH(AH$8,'Калькуляция (МИ)'!$AJ$8:$BC$8,0)),'Калькуляция (МИ)'!$F$25:$F$315,$F38,'Калькуляция (МИ)'!$G$25:$G$315,$G38))))</f>
        <v>0</v>
      </c>
      <c r="AI38" s="207">
        <f ca="1">IF(AG38=0,0,(AH38-AG38)/AG38*100)</f>
        <v>0</v>
      </c>
      <c r="AJ38" s="594">
        <f ca="1">IF(AND(method_reg="Метод индексации",god&lt;&gt;first_year),SUMIFS(INDEX('Калькуляция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(МИ)'!$AJ$25:$BC$315,,MATCH(AJ$8,'Калькуляция (МИ)'!$AJ$8:$BC$8,0)),'Калькуляция (МИ)'!$F$25:$F$315,$F38,'Калькуляция (МИ)'!$G$25:$G$315,$G38))))</f>
        <v>0</v>
      </c>
      <c r="AK38" s="594">
        <f ca="1">IF(AND(method_reg="Метод индексации",god&lt;&gt;first_year),SUMIFS(INDEX('Калькуляция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(МИ)'!$AJ$25:$BC$315,,MATCH(AK$8,'Калькуляция (МИ)'!$AJ$8:$BC$8,0)),'Калькуляция (МИ)'!$F$25:$F$315,$F38,'Калькуляция (МИ)'!$G$25:$G$315,$G38))))</f>
        <v>0</v>
      </c>
      <c r="AL38" s="207">
        <f ca="1">IF(AJ38=0,0,(AK38-AJ38)/AJ38*100)</f>
        <v>0</v>
      </c>
      <c r="AM38" s="895">
        <f ca="1">IF(AND(method_reg="Метод индексации",god&lt;&gt;first_year),SUMIFS(INDEX('Калькуляция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(МИ)'!$AJ$25:$BC$315,,MATCH(AM$8,'Калькуляция (МИ)'!$AJ$8:$BC$8,0)),'Калькуляция (МИ)'!$F$25:$F$315,$F38,'Калькуляция (МИ)'!$G$25:$G$315,$G38))))</f>
        <v>0</v>
      </c>
      <c r="AN38" s="895">
        <f ca="1">IF(AND(method_reg="Метод индексации",god&lt;&gt;first_year),SUMIFS(INDEX('Калькуляция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(МИ)'!$AJ$25:$BC$315,,MATCH(AN$8,'Калькуляция (МИ)'!$AJ$8:$BC$8,0)),'Калькуляция (МИ)'!$F$25:$F$315,$F38,'Калькуляция (МИ)'!$G$25:$G$315,$G38))))</f>
        <v>0</v>
      </c>
      <c r="AO38" s="207">
        <f ca="1">IF(AM38=0,0,(AN38-AM38)/AM38*100)</f>
        <v>0</v>
      </c>
      <c r="AP38" s="895">
        <f ca="1">IF(AND(method_reg="Метод индексации",god&lt;&gt;first_year),SUMIFS(INDEX('Калькуляция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(МИ)'!$AJ$25:$BC$315,,MATCH(AP$8,'Калькуляция (МИ)'!$AJ$8:$BC$8,0)),'Калькуляция (МИ)'!$F$25:$F$315,$F38,'Калькуляция (МИ)'!$G$25:$G$315,$G38))))</f>
        <v>0</v>
      </c>
      <c r="AQ38" s="895">
        <f ca="1">IF(AND(method_reg="Метод индексации",god&lt;&gt;first_year),SUMIFS(INDEX('Калькуляция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(МИ)'!$AJ$25:$BC$315,,MATCH(AQ$8,'Калькуляция (МИ)'!$AJ$8:$BC$8,0)),'Калькуляция (МИ)'!$F$25:$F$315,$F38,'Калькуляция (МИ)'!$G$25:$G$315,$G38))))</f>
        <v>0</v>
      </c>
      <c r="AR38" s="207">
        <f ca="1">IF(AP38=0,0,(AQ38-AP38)/AP38*100)</f>
        <v>0</v>
      </c>
      <c r="AS38" s="895">
        <f ca="1">IF(AND(method_reg="Метод индексации",god&lt;&gt;first_year),SUMIFS(INDEX('Калькуляция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(МИ)'!$AJ$25:$BC$315,,MATCH(AS$8,'Калькуляция (МИ)'!$AJ$8:$BC$8,0)),'Калькуляция (МИ)'!$F$25:$F$315,$F38,'Калькуляция (МИ)'!$G$25:$G$315,$G38))))</f>
        <v>0</v>
      </c>
      <c r="AT38" s="895">
        <f ca="1">IF(AND(method_reg="Метод индексации",god&lt;&gt;first_year),SUMIFS(INDEX('Калькуляция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(МИ)'!$AJ$25:$BC$315,,MATCH(AT$8,'Калькуляция (МИ)'!$AJ$8:$BC$8,0)),'Калькуляция (МИ)'!$F$25:$F$315,$F38,'Калькуляция (МИ)'!$G$25:$G$315,$G38))))</f>
        <v>0</v>
      </c>
      <c r="AU38" s="207">
        <f ca="1">IF(AS38=0,0,(AT38-AS38)/AS38*100)</f>
        <v>0</v>
      </c>
      <c r="AV38" s="895">
        <f ca="1">IF(AND(method_reg="Метод индексации",god&lt;&gt;first_year),SUMIFS(INDEX('Калькуляция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(МИ)'!$AJ$25:$BC$315,,MATCH(AV$8,'Калькуляция (МИ)'!$AJ$8:$BC$8,0)),'Калькуляция (МИ)'!$F$25:$F$315,$F38,'Калькуляция (МИ)'!$G$25:$G$315,$G38))))</f>
        <v>0</v>
      </c>
      <c r="AW38" s="895">
        <f ca="1">IF(AND(method_reg="Метод индексации",god&lt;&gt;first_year),SUMIFS(INDEX('Калькуляция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(МИ)'!$AJ$25:$BC$315,,MATCH(AW$8,'Калькуляция (МИ)'!$AJ$8:$BC$8,0)),'Калькуляция (МИ)'!$F$25:$F$315,$F38,'Калькуляция (МИ)'!$G$25:$G$315,$G38))))</f>
        <v>0</v>
      </c>
      <c r="AX38" s="207">
        <f ca="1">IF(AV38=0,0,(AW38-AV38)/AV38*100)</f>
        <v>0</v>
      </c>
      <c r="AY38" s="895">
        <f ca="1">IF(AND(method_reg="Метод индексации",god&lt;&gt;first_year),SUMIFS(INDEX('Калькуляция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(МИ)'!$AJ$25:$BC$315,,MATCH(AY$8,'Калькуляция (МИ)'!$AJ$8:$BC$8,0)),'Калькуляция (МИ)'!$F$25:$F$315,$F38,'Калькуляция (МИ)'!$G$25:$G$315,$G38))))</f>
        <v>0</v>
      </c>
      <c r="AZ38" s="895">
        <f ca="1">IF(AND(method_reg="Метод индексации",god&lt;&gt;first_year),SUMIFS(INDEX('Калькуляция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(МИ)'!$AJ$25:$BC$315,,MATCH(AZ$8,'Калькуляция (МИ)'!$AJ$8:$BC$8,0)),'Калькуляция (МИ)'!$F$25:$F$315,$F38,'Калькуляция (МИ)'!$G$25:$G$315,$G38))))</f>
        <v>0</v>
      </c>
      <c r="BA38" s="207">
        <f ca="1">IF(AY38=0,0,(AZ38-AY38)/AY38*100)</f>
        <v>0</v>
      </c>
      <c r="BB38" s="895">
        <f ca="1">IF(AND(method_reg="Метод индексации",god&lt;&gt;first_year),SUMIFS(INDEX('Калькуляция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(МИ)'!$AJ$25:$BC$315,,MATCH(BB$8,'Калькуляция (МИ)'!$AJ$8:$BC$8,0)),'Калькуляция (МИ)'!$F$25:$F$315,$F38,'Калькуляция (МИ)'!$G$25:$G$315,$G38))))</f>
        <v>0</v>
      </c>
      <c r="BC38" s="895">
        <f ca="1">IF(AND(method_reg="Метод индексации",god&lt;&gt;first_year),SUMIFS(INDEX('Калькуляция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(МИ)'!$AJ$25:$BC$315,,MATCH(BC$8,'Калькуляция (МИ)'!$AJ$8:$BC$8,0)),'Калькуляция (МИ)'!$F$25:$F$315,$F38,'Калькуляция (МИ)'!$G$25:$G$315,$G38))))</f>
        <v>0</v>
      </c>
      <c r="BD38" s="207">
        <f ca="1">IF(BB38=0,0,(BC38-BB38)/BB38*100)</f>
        <v>0</v>
      </c>
      <c r="BE38" s="895">
        <f ca="1">IF(AND(method_reg="Метод индексации",god&lt;&gt;first_year),SUMIFS(INDEX('Калькуляция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(МИ)'!$AJ$25:$BC$315,,MATCH(BE$8,'Калькуляция (МИ)'!$AJ$8:$BC$8,0)),'Калькуляция (МИ)'!$F$25:$F$315,$F38,'Калькуляция (МИ)'!$G$25:$G$315,$G38))))</f>
        <v>0</v>
      </c>
      <c r="BF38" s="895">
        <f ca="1">IF(AND(method_reg="Метод индексации",god&lt;&gt;first_year),SUMIFS(INDEX('Калькуляция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(МИ)'!$AJ$25:$BC$315,,MATCH(BF$8,'Калькуляция (МИ)'!$AJ$8:$BC$8,0)),'Калькуляция (МИ)'!$F$25:$F$315,$F38,'Калькуляция (МИ)'!$G$25:$G$315,$G38))))</f>
        <v>0</v>
      </c>
      <c r="BG38" s="207">
        <f ca="1">IF(BE38=0,0,(BF38-BE38)/BE38*100)</f>
        <v>0</v>
      </c>
      <c r="BH38" s="895"/>
      <c r="BI38" s="895"/>
      <c r="BJ38" s="207">
        <f>IF(BH38=0,0,(BI38-BH38)/BH38*100)</f>
        <v>0</v>
      </c>
      <c r="BK38" s="895"/>
      <c r="BL38" s="895"/>
      <c r="BM38" s="207">
        <f>IF(BK38=0,0,(BL38-BK38)/BK38*100)</f>
        <v>0</v>
      </c>
      <c r="BN38" s="895"/>
      <c r="BO38" s="895"/>
      <c r="BP38" s="207">
        <f>IF(BN38=0,0,(BO38-BN38)/BN38*100)</f>
        <v>0</v>
      </c>
      <c r="BQ38" s="895"/>
      <c r="BR38" s="895"/>
      <c r="BS38" s="207">
        <f>IF(BQ38=0,0,(BR38-BQ38)/BQ38*100)</f>
        <v>0</v>
      </c>
      <c r="BT38" s="895"/>
      <c r="BU38" s="895"/>
      <c r="BV38" s="207">
        <f>IF(BT38=0,0,(BU38-BT38)/BT38*100)</f>
        <v>0</v>
      </c>
      <c r="BW38" s="895"/>
      <c r="BX38" s="895"/>
      <c r="BY38" s="207">
        <f>IF(BW38=0,0,(BX38-BW38)/BW38*100)</f>
        <v>0</v>
      </c>
      <c r="BZ38" s="895"/>
      <c r="CA38" s="895"/>
      <c r="CB38" s="207">
        <f>IF(BZ38=0,0,(CA38-BZ38)/BZ38*100)</f>
        <v>0</v>
      </c>
      <c r="CC38" s="895"/>
      <c r="CD38" s="895"/>
      <c r="CE38" s="207">
        <f>IF(CC38=0,0,(CD38-CC38)/CC38*100)</f>
        <v>0</v>
      </c>
      <c r="CF38" s="895"/>
      <c r="CG38" s="895"/>
      <c r="CH38" s="207">
        <f>IF(CF38=0,0,(CG38-CF38)/CF38*100)</f>
        <v>0</v>
      </c>
      <c r="CI38" s="895"/>
      <c r="CJ38" s="895"/>
      <c r="CK38" s="207">
        <f>IF(CI38=0,0,(CJ38-CI38)/CI38*100)</f>
        <v>0</v>
      </c>
      <c r="CL38" s="895"/>
      <c r="CM38" s="895"/>
      <c r="CN38" s="207">
        <f>IF(CL38=0,0,(CM38-CL38)/CL38*100)</f>
        <v>0</v>
      </c>
      <c r="CO38" s="895"/>
      <c r="CP38" s="895"/>
      <c r="CQ38" s="207">
        <f>IF(CO38=0,0,(CP38-CO38)/CO38*100)</f>
        <v>0</v>
      </c>
      <c r="CR38" s="895"/>
      <c r="CS38" s="895"/>
      <c r="CT38" s="207">
        <f>IF(CR38=0,0,(CS38-CR38)/CR38*100)</f>
        <v>0</v>
      </c>
      <c r="CU38" s="895"/>
      <c r="CV38" s="895"/>
      <c r="CW38" s="207">
        <f>IF(CU38=0,0,(CV38-CU38)/CU38*100)</f>
        <v>0</v>
      </c>
      <c r="CX38" s="895"/>
      <c r="CY38" s="895"/>
      <c r="CZ38" s="207">
        <f>IF(CX38=0,0,(CY38-CX38)/CX38*100)</f>
        <v>0</v>
      </c>
      <c r="DA38" s="895"/>
      <c r="DB38" s="895"/>
      <c r="DC38" s="207">
        <f>IF(DA38=0,0,(DB38-DA38)/DA38*100)</f>
        <v>0</v>
      </c>
      <c r="DD38" s="895"/>
      <c r="DE38" s="895"/>
      <c r="DF38" s="207">
        <f>IF(DD38=0,0,(DE38-DD38)/DD38*100)</f>
        <v>0</v>
      </c>
      <c r="DG38" s="895"/>
      <c r="DH38" s="895"/>
      <c r="DI38" s="207">
        <f>IF(DG38=0,0,(DH38-DG38)/DG38*100)</f>
        <v>0</v>
      </c>
      <c r="DJ38" s="895"/>
      <c r="DK38" s="895"/>
      <c r="DL38" s="207">
        <f>IF(DJ38=0,0,(DK38-DJ38)/DJ38*100)</f>
        <v>0</v>
      </c>
      <c r="DM38" s="895"/>
      <c r="DN38" s="895"/>
      <c r="DO38" s="207">
        <f>IF(DM38=0,0,(DN38-DM38)/DM38*100)</f>
        <v>0</v>
      </c>
      <c r="DP38" s="895"/>
      <c r="DQ38" s="895"/>
      <c r="DR38" s="207">
        <f>IF(DP38=0,0,(DQ38-DP38)/DP38*100)</f>
        <v>0</v>
      </c>
      <c r="DS38" s="895"/>
      <c r="DT38" s="895"/>
      <c r="DU38" s="207">
        <f>IF(DS38=0,0,(DT38-DS38)/DS38*100)</f>
        <v>0</v>
      </c>
      <c r="DV38" s="895"/>
      <c r="DW38" s="895"/>
      <c r="DX38" s="207">
        <f>IF(DV38=0,0,(DW38-DV38)/DV38*100)</f>
        <v>0</v>
      </c>
      <c r="DY38" s="895"/>
      <c r="DZ38" s="895"/>
      <c r="EA38" s="207">
        <f>IF(DY38=0,0,(DZ38-DY38)/DY38*100)</f>
        <v>0</v>
      </c>
      <c r="EB38" s="895"/>
      <c r="EC38" s="895"/>
      <c r="ED38" s="207">
        <f>IF(EB38=0,0,(EC38-EB38)/EB38*100)</f>
        <v>0</v>
      </c>
      <c r="EE38" s="895"/>
      <c r="EF38" s="895"/>
      <c r="EG38" s="207">
        <f>IF(EE38=0,0,(EF38-EE38)/EE38*100)</f>
        <v>0</v>
      </c>
      <c r="EH38" s="895"/>
      <c r="EI38" s="895"/>
      <c r="EJ38" s="207">
        <f>IF(EH38=0,0,(EI38-EH38)/EH38*100)</f>
        <v>0</v>
      </c>
      <c r="EK38" s="895"/>
      <c r="EL38" s="895"/>
      <c r="EM38" s="207">
        <f>IF(EK38=0,0,(EL38-EK38)/EK38*100)</f>
        <v>0</v>
      </c>
      <c r="EN38" s="895"/>
      <c r="EO38" s="895"/>
      <c r="EP38" s="207">
        <f>IF(EN38=0,0,(EO38-EN38)/EN38*100)</f>
        <v>0</v>
      </c>
      <c r="EQ38" s="895"/>
      <c r="ER38" s="895"/>
      <c r="ES38" s="207">
        <f>IF(EQ38=0,0,(ER38-EQ38)/EQ38*100)</f>
        <v>0</v>
      </c>
      <c r="ET38" s="895"/>
      <c r="EU38" s="895"/>
      <c r="EV38" s="207">
        <f>IF(ET38=0,0,(EU38-ET38)/ET38*100)</f>
        <v>0</v>
      </c>
      <c r="EW38" s="895"/>
      <c r="EX38" s="895"/>
      <c r="EY38" s="207">
        <f>IF(EW38=0,0,(EX38-EW38)/EW38*100)</f>
        <v>0</v>
      </c>
      <c r="EZ38" s="895"/>
      <c r="FA38" s="895"/>
      <c r="FB38" s="207">
        <f>IF(EZ38=0,0,(FA38-EZ38)/EZ38*100)</f>
        <v>0</v>
      </c>
      <c r="FC38" s="895"/>
      <c r="FD38" s="895"/>
      <c r="FE38" s="207">
        <f>IF(FC38=0,0,(FD38-FC38)/FC38*100)</f>
        <v>0</v>
      </c>
      <c r="FF38" s="895"/>
      <c r="FG38" s="895"/>
      <c r="FH38" s="207">
        <f>IF(FF38=0,0,(FG38-FF38)/FF38*100)</f>
        <v>0</v>
      </c>
      <c r="FI38" s="895"/>
      <c r="FJ38" s="895"/>
      <c r="FK38" s="207">
        <f>IF(FI38=0,0,(FJ38-FI38)/FI38*100)</f>
        <v>0</v>
      </c>
      <c r="FL38" s="895"/>
      <c r="FM38" s="895"/>
      <c r="FN38" s="207">
        <f>IF(FL38=0,0,(FM38-FL38)/FL38*100)</f>
        <v>0</v>
      </c>
      <c r="FO38" s="895"/>
      <c r="FP38" s="895"/>
      <c r="FQ38" s="207">
        <f>IF(FO38=0,0,(FP38-FO38)/FO38*100)</f>
        <v>0</v>
      </c>
      <c r="FR38" s="895"/>
      <c r="FS38" s="895"/>
      <c r="FT38" s="207">
        <f>IF(FR38=0,0,(FS38-FR38)/FR38*100)</f>
        <v>0</v>
      </c>
      <c r="FU38" s="895"/>
      <c r="FV38" s="895"/>
      <c r="FW38" s="207">
        <f>IF(FU38=0,0,(FV38-FU38)/FU38*100)</f>
        <v>0</v>
      </c>
      <c r="FZ38" s="689" t="s">
        <v>1662</v>
      </c>
      <c r="GA38" s="689"/>
      <c r="GB38" s="689"/>
      <c r="GC38" s="690"/>
      <c r="GD38" s="690"/>
    </row>
    <row r="39" spans="1:186" s="203" customFormat="1" ht="23.85" hidden="1" customHeight="1">
      <c r="A39" s="592"/>
      <c r="B39" s="611" t="b" cm="1">
        <f t="array" ref="B39">B38</f>
        <v>0</v>
      </c>
      <c r="C39" s="592"/>
      <c r="D39" s="592"/>
      <c r="E39" s="593">
        <v>24.5</v>
      </c>
      <c r="F39" s="3" cm="1">
        <f t="array" aca="1" ref="F39" ca="1">OFFSET(E39,-1,1)</f>
        <v>0</v>
      </c>
      <c r="G39" s="25" t="s">
        <v>1663</v>
      </c>
      <c r="H39" s="59" t="s">
        <v>507</v>
      </c>
      <c r="I39" s="59" t="s">
        <v>1664</v>
      </c>
      <c r="J39" s="592"/>
      <c r="K39" s="592"/>
      <c r="L39" s="59"/>
      <c r="M39" s="592"/>
      <c r="N39" s="592"/>
      <c r="O39" s="592"/>
      <c r="P39" s="592"/>
      <c r="Q39" s="592"/>
      <c r="R39" s="59"/>
      <c r="S39" s="59"/>
      <c r="T39" s="351" t="b" cm="1">
        <f t="array" ref="T39">T38</f>
        <v>0</v>
      </c>
      <c r="U39" s="592"/>
      <c r="V39" s="592"/>
      <c r="W39" s="592"/>
      <c r="X39" s="1046"/>
      <c r="Y39" s="592"/>
      <c r="Z39" s="1007"/>
      <c r="AA39" s="592"/>
      <c r="AB39" s="711" t="s">
        <v>1665</v>
      </c>
      <c r="AC39" s="205" t="s">
        <v>1647</v>
      </c>
      <c r="AD39" s="895">
        <f ca="1">IF(AND(method_reg="Метод индексации",god&lt;&gt;first_year),SUMIFS(INDEX('Калькуляция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(МИ)'!$AJ$25:$BC$315,,MATCH(AD$8,'Калькуляция (МИ)'!$AJ$8:$BC$8,0)),'Калькуляция (МИ)'!$F$25:$F$315,$F39,'Калькуляция (МИ)'!$G$25:$G$315,$G39))))</f>
        <v>0</v>
      </c>
      <c r="AE39" s="895">
        <f ca="1">IF(AND(method_reg="Метод индексации",god&lt;&gt;first_year),SUMIFS(INDEX('Калькуляция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(МИ)'!$AJ$25:$BC$315,,MATCH(AE$8,'Калькуляция (МИ)'!$AJ$8:$BC$8,0)),'Калькуляция (МИ)'!$F$25:$F$315,$F39,'Калькуляция (МИ)'!$G$25:$G$315,$G39))))</f>
        <v>0</v>
      </c>
      <c r="AF39" s="207">
        <f ca="1">IF(AD39=0,0,(AE39-AD39)/AD39*100)</f>
        <v>0</v>
      </c>
      <c r="AG39" s="594">
        <f ca="1">IF(AND(method_reg="Метод индексации",god&lt;&gt;first_year),SUMIFS(INDEX('Калькуляция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(МИ)'!$AJ$25:$BC$315,,MATCH(AG$8,'Калькуляция (МИ)'!$AJ$8:$BC$8,0)),'Калькуляция (МИ)'!$F$25:$F$315,$F39,'Калькуляция (МИ)'!$G$25:$G$315,$G39))))</f>
        <v>0</v>
      </c>
      <c r="AH39" s="594">
        <f ca="1">IF(AND(method_reg="Метод индексации",god&lt;&gt;first_year),SUMIFS(INDEX('Калькуляция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(МИ)'!$AJ$25:$BC$315,,MATCH(AH$8,'Калькуляция (МИ)'!$AJ$8:$BC$8,0)),'Калькуляция (МИ)'!$F$25:$F$315,$F39,'Калькуляция (МИ)'!$G$25:$G$315,$G39))))</f>
        <v>0</v>
      </c>
      <c r="AI39" s="207">
        <f ca="1">IF(AG39=0,0,(AH39-AG39)/AG39*100)</f>
        <v>0</v>
      </c>
      <c r="AJ39" s="594">
        <f ca="1">IF(AND(method_reg="Метод индексации",god&lt;&gt;first_year),SUMIFS(INDEX('Калькуляция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(МИ)'!$AJ$25:$BC$315,,MATCH(AJ$8,'Калькуляция (МИ)'!$AJ$8:$BC$8,0)),'Калькуляция (МИ)'!$F$25:$F$315,$F39,'Калькуляция (МИ)'!$G$25:$G$315,$G39))))</f>
        <v>0</v>
      </c>
      <c r="AK39" s="594">
        <f ca="1">IF(AND(method_reg="Метод индексации",god&lt;&gt;first_year),SUMIFS(INDEX('Калькуляция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(МИ)'!$AJ$25:$BC$315,,MATCH(AK$8,'Калькуляция (МИ)'!$AJ$8:$BC$8,0)),'Калькуляция (МИ)'!$F$25:$F$315,$F39,'Калькуляция (МИ)'!$G$25:$G$315,$G39))))</f>
        <v>0</v>
      </c>
      <c r="AL39" s="207">
        <f ca="1">IF(AJ39=0,0,(AK39-AJ39)/AJ39*100)</f>
        <v>0</v>
      </c>
      <c r="AM39" s="895">
        <f ca="1">IF(AND(method_reg="Метод индексации",god&lt;&gt;first_year),SUMIFS(INDEX('Калькуляция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(МИ)'!$AJ$25:$BC$315,,MATCH(AM$8,'Калькуляция (МИ)'!$AJ$8:$BC$8,0)),'Калькуляция (МИ)'!$F$25:$F$315,$F39,'Калькуляция (МИ)'!$G$25:$G$315,$G39))))</f>
        <v>0</v>
      </c>
      <c r="AN39" s="895">
        <f ca="1">IF(AND(method_reg="Метод индексации",god&lt;&gt;first_year),SUMIFS(INDEX('Калькуляция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(МИ)'!$AJ$25:$BC$315,,MATCH(AN$8,'Калькуляция (МИ)'!$AJ$8:$BC$8,0)),'Калькуляция (МИ)'!$F$25:$F$315,$F39,'Калькуляция (МИ)'!$G$25:$G$315,$G39))))</f>
        <v>0</v>
      </c>
      <c r="AO39" s="207">
        <f ca="1">IF(AM39=0,0,(AN39-AM39)/AM39*100)</f>
        <v>0</v>
      </c>
      <c r="AP39" s="895">
        <f ca="1">IF(AND(method_reg="Метод индексации",god&lt;&gt;first_year),SUMIFS(INDEX('Калькуляция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(МИ)'!$AJ$25:$BC$315,,MATCH(AP$8,'Калькуляция (МИ)'!$AJ$8:$BC$8,0)),'Калькуляция (МИ)'!$F$25:$F$315,$F39,'Калькуляция (МИ)'!$G$25:$G$315,$G39))))</f>
        <v>0</v>
      </c>
      <c r="AQ39" s="895">
        <f ca="1">IF(AND(method_reg="Метод индексации",god&lt;&gt;first_year),SUMIFS(INDEX('Калькуляция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(МИ)'!$AJ$25:$BC$315,,MATCH(AQ$8,'Калькуляция (МИ)'!$AJ$8:$BC$8,0)),'Калькуляция (МИ)'!$F$25:$F$315,$F39,'Калькуляция (МИ)'!$G$25:$G$315,$G39))))</f>
        <v>0</v>
      </c>
      <c r="AR39" s="207">
        <f ca="1">IF(AP39=0,0,(AQ39-AP39)/AP39*100)</f>
        <v>0</v>
      </c>
      <c r="AS39" s="895">
        <f ca="1">IF(AND(method_reg="Метод индексации",god&lt;&gt;first_year),SUMIFS(INDEX('Калькуляция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(МИ)'!$AJ$25:$BC$315,,MATCH(AS$8,'Калькуляция (МИ)'!$AJ$8:$BC$8,0)),'Калькуляция (МИ)'!$F$25:$F$315,$F39,'Калькуляция (МИ)'!$G$25:$G$315,$G39))))</f>
        <v>0</v>
      </c>
      <c r="AT39" s="895">
        <f ca="1">IF(AND(method_reg="Метод индексации",god&lt;&gt;first_year),SUMIFS(INDEX('Калькуляция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(МИ)'!$AJ$25:$BC$315,,MATCH(AT$8,'Калькуляция (МИ)'!$AJ$8:$BC$8,0)),'Калькуляция (МИ)'!$F$25:$F$315,$F39,'Калькуляция (МИ)'!$G$25:$G$315,$G39))))</f>
        <v>0</v>
      </c>
      <c r="AU39" s="207">
        <f ca="1">IF(AS39=0,0,(AT39-AS39)/AS39*100)</f>
        <v>0</v>
      </c>
      <c r="AV39" s="895">
        <f ca="1">IF(AND(method_reg="Метод индексации",god&lt;&gt;first_year),SUMIFS(INDEX('Калькуляция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(МИ)'!$AJ$25:$BC$315,,MATCH(AV$8,'Калькуляция (МИ)'!$AJ$8:$BC$8,0)),'Калькуляция (МИ)'!$F$25:$F$315,$F39,'Калькуляция (МИ)'!$G$25:$G$315,$G39))))</f>
        <v>0</v>
      </c>
      <c r="AW39" s="895">
        <f ca="1">IF(AND(method_reg="Метод индексации",god&lt;&gt;first_year),SUMIFS(INDEX('Калькуляция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(МИ)'!$AJ$25:$BC$315,,MATCH(AW$8,'Калькуляция (МИ)'!$AJ$8:$BC$8,0)),'Калькуляция (МИ)'!$F$25:$F$315,$F39,'Калькуляция (МИ)'!$G$25:$G$315,$G39))))</f>
        <v>0</v>
      </c>
      <c r="AX39" s="207">
        <f ca="1">IF(AV39=0,0,(AW39-AV39)/AV39*100)</f>
        <v>0</v>
      </c>
      <c r="AY39" s="895">
        <f ca="1">IF(AND(method_reg="Метод индексации",god&lt;&gt;first_year),SUMIFS(INDEX('Калькуляция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(МИ)'!$AJ$25:$BC$315,,MATCH(AY$8,'Калькуляция (МИ)'!$AJ$8:$BC$8,0)),'Калькуляция (МИ)'!$F$25:$F$315,$F39,'Калькуляция (МИ)'!$G$25:$G$315,$G39))))</f>
        <v>0</v>
      </c>
      <c r="AZ39" s="895">
        <f ca="1">IF(AND(method_reg="Метод индексации",god&lt;&gt;first_year),SUMIFS(INDEX('Калькуляция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(МИ)'!$AJ$25:$BC$315,,MATCH(AZ$8,'Калькуляция (МИ)'!$AJ$8:$BC$8,0)),'Калькуляция (МИ)'!$F$25:$F$315,$F39,'Калькуляция (МИ)'!$G$25:$G$315,$G39))))</f>
        <v>0</v>
      </c>
      <c r="BA39" s="207">
        <f ca="1">IF(AY39=0,0,(AZ39-AY39)/AY39*100)</f>
        <v>0</v>
      </c>
      <c r="BB39" s="895">
        <f ca="1">IF(AND(method_reg="Метод индексации",god&lt;&gt;first_year),SUMIFS(INDEX('Калькуляция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(МИ)'!$AJ$25:$BC$315,,MATCH(BB$8,'Калькуляция (МИ)'!$AJ$8:$BC$8,0)),'Калькуляция (МИ)'!$F$25:$F$315,$F39,'Калькуляция (МИ)'!$G$25:$G$315,$G39))))</f>
        <v>0</v>
      </c>
      <c r="BC39" s="895">
        <f ca="1">IF(AND(method_reg="Метод индексации",god&lt;&gt;first_year),SUMIFS(INDEX('Калькуляция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(МИ)'!$AJ$25:$BC$315,,MATCH(BC$8,'Калькуляция (МИ)'!$AJ$8:$BC$8,0)),'Калькуляция (МИ)'!$F$25:$F$315,$F39,'Калькуляция (МИ)'!$G$25:$G$315,$G39))))</f>
        <v>0</v>
      </c>
      <c r="BD39" s="207">
        <f ca="1">IF(BB39=0,0,(BC39-BB39)/BB39*100)</f>
        <v>0</v>
      </c>
      <c r="BE39" s="895">
        <f ca="1">IF(AND(method_reg="Метод индексации",god&lt;&gt;first_year),SUMIFS(INDEX('Калькуляция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(МИ)'!$AJ$25:$BC$315,,MATCH(BE$8,'Калькуляция (МИ)'!$AJ$8:$BC$8,0)),'Калькуляция (МИ)'!$F$25:$F$315,$F39,'Калькуляция (МИ)'!$G$25:$G$315,$G39))))</f>
        <v>0</v>
      </c>
      <c r="BF39" s="895">
        <f ca="1">IF(AND(method_reg="Метод индексации",god&lt;&gt;first_year),SUMIFS(INDEX('Калькуляция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(МИ)'!$AJ$25:$BC$315,,MATCH(BF$8,'Калькуляция (МИ)'!$AJ$8:$BC$8,0)),'Калькуляция (МИ)'!$F$25:$F$315,$F39,'Калькуляция (МИ)'!$G$25:$G$315,$G39))))</f>
        <v>0</v>
      </c>
      <c r="BG39" s="207">
        <f ca="1">IF(BE39=0,0,(BF39-BE39)/BE39*100)</f>
        <v>0</v>
      </c>
      <c r="BH39" s="895"/>
      <c r="BI39" s="895"/>
      <c r="BJ39" s="207">
        <f>IF(BH39=0,0,(BI39-BH39)/BH39*100)</f>
        <v>0</v>
      </c>
      <c r="BK39" s="895"/>
      <c r="BL39" s="895"/>
      <c r="BM39" s="207">
        <f>IF(BK39=0,0,(BL39-BK39)/BK39*100)</f>
        <v>0</v>
      </c>
      <c r="BN39" s="895"/>
      <c r="BO39" s="895"/>
      <c r="BP39" s="207">
        <f>IF(BN39=0,0,(BO39-BN39)/BN39*100)</f>
        <v>0</v>
      </c>
      <c r="BQ39" s="895"/>
      <c r="BR39" s="895"/>
      <c r="BS39" s="207">
        <f>IF(BQ39=0,0,(BR39-BQ39)/BQ39*100)</f>
        <v>0</v>
      </c>
      <c r="BT39" s="895"/>
      <c r="BU39" s="895"/>
      <c r="BV39" s="207">
        <f>IF(BT39=0,0,(BU39-BT39)/BT39*100)</f>
        <v>0</v>
      </c>
      <c r="BW39" s="895"/>
      <c r="BX39" s="895"/>
      <c r="BY39" s="207">
        <f>IF(BW39=0,0,(BX39-BW39)/BW39*100)</f>
        <v>0</v>
      </c>
      <c r="BZ39" s="895"/>
      <c r="CA39" s="895"/>
      <c r="CB39" s="207">
        <f>IF(BZ39=0,0,(CA39-BZ39)/BZ39*100)</f>
        <v>0</v>
      </c>
      <c r="CC39" s="895"/>
      <c r="CD39" s="895"/>
      <c r="CE39" s="207">
        <f>IF(CC39=0,0,(CD39-CC39)/CC39*100)</f>
        <v>0</v>
      </c>
      <c r="CF39" s="895"/>
      <c r="CG39" s="895"/>
      <c r="CH39" s="207">
        <f>IF(CF39=0,0,(CG39-CF39)/CF39*100)</f>
        <v>0</v>
      </c>
      <c r="CI39" s="895"/>
      <c r="CJ39" s="895"/>
      <c r="CK39" s="207">
        <f>IF(CI39=0,0,(CJ39-CI39)/CI39*100)</f>
        <v>0</v>
      </c>
      <c r="CL39" s="895"/>
      <c r="CM39" s="895"/>
      <c r="CN39" s="207">
        <f>IF(CL39=0,0,(CM39-CL39)/CL39*100)</f>
        <v>0</v>
      </c>
      <c r="CO39" s="895"/>
      <c r="CP39" s="895"/>
      <c r="CQ39" s="207">
        <f>IF(CO39=0,0,(CP39-CO39)/CO39*100)</f>
        <v>0</v>
      </c>
      <c r="CR39" s="895"/>
      <c r="CS39" s="895"/>
      <c r="CT39" s="207">
        <f>IF(CR39=0,0,(CS39-CR39)/CR39*100)</f>
        <v>0</v>
      </c>
      <c r="CU39" s="895"/>
      <c r="CV39" s="895"/>
      <c r="CW39" s="207">
        <f>IF(CU39=0,0,(CV39-CU39)/CU39*100)</f>
        <v>0</v>
      </c>
      <c r="CX39" s="895"/>
      <c r="CY39" s="895"/>
      <c r="CZ39" s="207">
        <f>IF(CX39=0,0,(CY39-CX39)/CX39*100)</f>
        <v>0</v>
      </c>
      <c r="DA39" s="895"/>
      <c r="DB39" s="895"/>
      <c r="DC39" s="207">
        <f>IF(DA39=0,0,(DB39-DA39)/DA39*100)</f>
        <v>0</v>
      </c>
      <c r="DD39" s="895"/>
      <c r="DE39" s="895"/>
      <c r="DF39" s="207">
        <f>IF(DD39=0,0,(DE39-DD39)/DD39*100)</f>
        <v>0</v>
      </c>
      <c r="DG39" s="895"/>
      <c r="DH39" s="895"/>
      <c r="DI39" s="207">
        <f>IF(DG39=0,0,(DH39-DG39)/DG39*100)</f>
        <v>0</v>
      </c>
      <c r="DJ39" s="895"/>
      <c r="DK39" s="895"/>
      <c r="DL39" s="207">
        <f>IF(DJ39=0,0,(DK39-DJ39)/DJ39*100)</f>
        <v>0</v>
      </c>
      <c r="DM39" s="895"/>
      <c r="DN39" s="895"/>
      <c r="DO39" s="207">
        <f>IF(DM39=0,0,(DN39-DM39)/DM39*100)</f>
        <v>0</v>
      </c>
      <c r="DP39" s="895"/>
      <c r="DQ39" s="895"/>
      <c r="DR39" s="207">
        <f>IF(DP39=0,0,(DQ39-DP39)/DP39*100)</f>
        <v>0</v>
      </c>
      <c r="DS39" s="895"/>
      <c r="DT39" s="895"/>
      <c r="DU39" s="207">
        <f>IF(DS39=0,0,(DT39-DS39)/DS39*100)</f>
        <v>0</v>
      </c>
      <c r="DV39" s="895"/>
      <c r="DW39" s="895"/>
      <c r="DX39" s="207">
        <f>IF(DV39=0,0,(DW39-DV39)/DV39*100)</f>
        <v>0</v>
      </c>
      <c r="DY39" s="895"/>
      <c r="DZ39" s="895"/>
      <c r="EA39" s="207">
        <f>IF(DY39=0,0,(DZ39-DY39)/DY39*100)</f>
        <v>0</v>
      </c>
      <c r="EB39" s="895"/>
      <c r="EC39" s="895"/>
      <c r="ED39" s="207">
        <f>IF(EB39=0,0,(EC39-EB39)/EB39*100)</f>
        <v>0</v>
      </c>
      <c r="EE39" s="895"/>
      <c r="EF39" s="895"/>
      <c r="EG39" s="207">
        <f>IF(EE39=0,0,(EF39-EE39)/EE39*100)</f>
        <v>0</v>
      </c>
      <c r="EH39" s="895"/>
      <c r="EI39" s="895"/>
      <c r="EJ39" s="207">
        <f>IF(EH39=0,0,(EI39-EH39)/EH39*100)</f>
        <v>0</v>
      </c>
      <c r="EK39" s="895"/>
      <c r="EL39" s="895"/>
      <c r="EM39" s="207">
        <f>IF(EK39=0,0,(EL39-EK39)/EK39*100)</f>
        <v>0</v>
      </c>
      <c r="EN39" s="895"/>
      <c r="EO39" s="895"/>
      <c r="EP39" s="207">
        <f>IF(EN39=0,0,(EO39-EN39)/EN39*100)</f>
        <v>0</v>
      </c>
      <c r="EQ39" s="895"/>
      <c r="ER39" s="895"/>
      <c r="ES39" s="207">
        <f>IF(EQ39=0,0,(ER39-EQ39)/EQ39*100)</f>
        <v>0</v>
      </c>
      <c r="ET39" s="895"/>
      <c r="EU39" s="895"/>
      <c r="EV39" s="207">
        <f>IF(ET39=0,0,(EU39-ET39)/ET39*100)</f>
        <v>0</v>
      </c>
      <c r="EW39" s="895"/>
      <c r="EX39" s="895"/>
      <c r="EY39" s="207">
        <f>IF(EW39=0,0,(EX39-EW39)/EW39*100)</f>
        <v>0</v>
      </c>
      <c r="EZ39" s="895"/>
      <c r="FA39" s="895"/>
      <c r="FB39" s="207">
        <f>IF(EZ39=0,0,(FA39-EZ39)/EZ39*100)</f>
        <v>0</v>
      </c>
      <c r="FC39" s="895"/>
      <c r="FD39" s="895"/>
      <c r="FE39" s="207">
        <f>IF(FC39=0,0,(FD39-FC39)/FC39*100)</f>
        <v>0</v>
      </c>
      <c r="FF39" s="895"/>
      <c r="FG39" s="895"/>
      <c r="FH39" s="207">
        <f>IF(FF39=0,0,(FG39-FF39)/FF39*100)</f>
        <v>0</v>
      </c>
      <c r="FI39" s="895"/>
      <c r="FJ39" s="895"/>
      <c r="FK39" s="207">
        <f>IF(FI39=0,0,(FJ39-FI39)/FI39*100)</f>
        <v>0</v>
      </c>
      <c r="FL39" s="895"/>
      <c r="FM39" s="895"/>
      <c r="FN39" s="207">
        <f>IF(FL39=0,0,(FM39-FL39)/FL39*100)</f>
        <v>0</v>
      </c>
      <c r="FO39" s="895"/>
      <c r="FP39" s="895"/>
      <c r="FQ39" s="207">
        <f>IF(FO39=0,0,(FP39-FO39)/FO39*100)</f>
        <v>0</v>
      </c>
      <c r="FR39" s="895"/>
      <c r="FS39" s="895"/>
      <c r="FT39" s="207">
        <f>IF(FR39=0,0,(FS39-FR39)/FR39*100)</f>
        <v>0</v>
      </c>
      <c r="FU39" s="895"/>
      <c r="FV39" s="895"/>
      <c r="FW39" s="207">
        <f>IF(FU39=0,0,(FV39-FU39)/FU39*100)</f>
        <v>0</v>
      </c>
      <c r="FZ39" s="689" t="s">
        <v>1666</v>
      </c>
      <c r="GA39" s="689"/>
      <c r="GB39" s="689"/>
      <c r="GC39" s="690"/>
      <c r="GD39" s="690"/>
    </row>
    <row r="40" spans="1:186" ht="14.65" hidden="1" customHeight="1">
      <c r="A40" s="59"/>
      <c r="B40" s="611" t="b" cm="1">
        <f t="array" ref="B40">B39</f>
        <v>0</v>
      </c>
      <c r="C40" s="59"/>
      <c r="D40" s="59"/>
      <c r="E40" s="460">
        <v>15</v>
      </c>
      <c r="F40" s="3" cm="1">
        <f t="array" aca="1" ref="F40" ca="1">OFFSET(E40,-1,1)</f>
        <v>0</v>
      </c>
      <c r="G40" s="25"/>
      <c r="H40" s="59" t="s">
        <v>511</v>
      </c>
      <c r="I40" s="59" t="s">
        <v>1667</v>
      </c>
      <c r="J40" s="59"/>
      <c r="K40" s="59"/>
      <c r="L40" s="59"/>
      <c r="M40" s="59"/>
      <c r="N40" s="59"/>
      <c r="O40" s="59"/>
      <c r="P40" s="59"/>
      <c r="Q40" s="592"/>
      <c r="R40" s="59"/>
      <c r="S40" s="59"/>
      <c r="T40" s="351" t="b" cm="1">
        <f t="array" ref="T40">T39</f>
        <v>0</v>
      </c>
      <c r="U40" s="59"/>
      <c r="V40" s="59"/>
      <c r="W40" s="59"/>
      <c r="X40" s="1046"/>
      <c r="Y40" s="59"/>
      <c r="Z40" s="1007"/>
      <c r="AA40" s="59"/>
      <c r="AB40" s="54" t="s">
        <v>1654</v>
      </c>
      <c r="AC40" s="12" t="s">
        <v>501</v>
      </c>
      <c r="AD40" s="618">
        <f ca="1">IF(AD38=0,0,AD39/AD38)*100</f>
        <v>0</v>
      </c>
      <c r="AE40" s="618">
        <f ca="1">IF(AE38=0,0,AE39/AE38)*100</f>
        <v>0</v>
      </c>
      <c r="AF40" s="712"/>
      <c r="AG40" s="618">
        <f ca="1">IF(AG38=0,0,AG39/AG38)*100</f>
        <v>0</v>
      </c>
      <c r="AH40" s="618">
        <f ca="1">IF(AH38=0,0,AH39/AH38)*100</f>
        <v>0</v>
      </c>
      <c r="AI40" s="712"/>
      <c r="AJ40" s="618">
        <f ca="1">IF(AJ38=0,0,AJ39/AJ38)*100</f>
        <v>0</v>
      </c>
      <c r="AK40" s="618">
        <f ca="1">IF(AK38=0,0,AK39/AK38)*100</f>
        <v>0</v>
      </c>
      <c r="AL40" s="712"/>
      <c r="AM40" s="618">
        <f ca="1">IF(AM38=0,0,AM39/AM38)*100</f>
        <v>0</v>
      </c>
      <c r="AN40" s="618">
        <f ca="1">IF(AN38=0,0,AN39/AN38)*100</f>
        <v>0</v>
      </c>
      <c r="AO40" s="712"/>
      <c r="AP40" s="618">
        <f ca="1">IF(AP38=0,0,AP39/AP38)*100</f>
        <v>0</v>
      </c>
      <c r="AQ40" s="618">
        <f ca="1">IF(AQ38=0,0,AQ39/AQ38)*100</f>
        <v>0</v>
      </c>
      <c r="AR40" s="712"/>
      <c r="AS40" s="618">
        <f ca="1">IF(AS38=0,0,AS39/AS38)*100</f>
        <v>0</v>
      </c>
      <c r="AT40" s="618">
        <f ca="1">IF(AT38=0,0,AT39/AT38)*100</f>
        <v>0</v>
      </c>
      <c r="AU40" s="712"/>
      <c r="AV40" s="618">
        <f ca="1">IF(AV38=0,0,AV39/AV38)*100</f>
        <v>0</v>
      </c>
      <c r="AW40" s="618">
        <f ca="1">IF(AW38=0,0,AW39/AW38)*100</f>
        <v>0</v>
      </c>
      <c r="AX40" s="712"/>
      <c r="AY40" s="618">
        <f ca="1">IF(AY38=0,0,AY39/AY38)*100</f>
        <v>0</v>
      </c>
      <c r="AZ40" s="618">
        <f ca="1">IF(AZ38=0,0,AZ39/AZ38)*100</f>
        <v>0</v>
      </c>
      <c r="BA40" s="712"/>
      <c r="BB40" s="618">
        <f ca="1">IF(BB38=0,0,BB39/BB38)*100</f>
        <v>0</v>
      </c>
      <c r="BC40" s="618">
        <f ca="1">IF(BC38=0,0,BC39/BC38)*100</f>
        <v>0</v>
      </c>
      <c r="BD40" s="712"/>
      <c r="BE40" s="618">
        <f ca="1">IF(BE38=0,0,BE39/BE38)*100</f>
        <v>0</v>
      </c>
      <c r="BF40" s="618">
        <f ca="1">IF(BF38=0,0,BF39/BF38)*100</f>
        <v>0</v>
      </c>
      <c r="BG40" s="712"/>
      <c r="BH40" s="618">
        <f>IF(BH38=0,0,BH39/BH38)*100</f>
        <v>0</v>
      </c>
      <c r="BI40" s="618">
        <f>IF(BI38=0,0,BI39/BI38)*100</f>
        <v>0</v>
      </c>
      <c r="BJ40" s="712"/>
      <c r="BK40" s="618">
        <f>IF(BK38=0,0,BK39/BK38)*100</f>
        <v>0</v>
      </c>
      <c r="BL40" s="618">
        <f>IF(BL38=0,0,BL39/BL38)*100</f>
        <v>0</v>
      </c>
      <c r="BM40" s="712"/>
      <c r="BN40" s="618">
        <f>IF(BN38=0,0,BN39/BN38)*100</f>
        <v>0</v>
      </c>
      <c r="BO40" s="618">
        <f>IF(BO38=0,0,BO39/BO38)*100</f>
        <v>0</v>
      </c>
      <c r="BP40" s="712"/>
      <c r="BQ40" s="618">
        <f>IF(BQ38=0,0,BQ39/BQ38)*100</f>
        <v>0</v>
      </c>
      <c r="BR40" s="618">
        <f>IF(BR38=0,0,BR39/BR38)*100</f>
        <v>0</v>
      </c>
      <c r="BS40" s="712"/>
      <c r="BT40" s="618">
        <f>IF(BT38=0,0,BT39/BT38)*100</f>
        <v>0</v>
      </c>
      <c r="BU40" s="618">
        <f>IF(BU38=0,0,BU39/BU38)*100</f>
        <v>0</v>
      </c>
      <c r="BV40" s="712"/>
      <c r="BW40" s="618">
        <f>IF(BW38=0,0,BW39/BW38)*100</f>
        <v>0</v>
      </c>
      <c r="BX40" s="618">
        <f>IF(BX38=0,0,BX39/BX38)*100</f>
        <v>0</v>
      </c>
      <c r="BY40" s="712"/>
      <c r="BZ40" s="618">
        <f>IF(BZ38=0,0,BZ39/BZ38)*100</f>
        <v>0</v>
      </c>
      <c r="CA40" s="618">
        <f>IF(CA38=0,0,CA39/CA38)*100</f>
        <v>0</v>
      </c>
      <c r="CB40" s="712"/>
      <c r="CC40" s="618">
        <f>IF(CC38=0,0,CC39/CC38)*100</f>
        <v>0</v>
      </c>
      <c r="CD40" s="618">
        <f>IF(CD38=0,0,CD39/CD38)*100</f>
        <v>0</v>
      </c>
      <c r="CE40" s="712"/>
      <c r="CF40" s="618">
        <f>IF(CF38=0,0,CF39/CF38)*100</f>
        <v>0</v>
      </c>
      <c r="CG40" s="618">
        <f>IF(CG38=0,0,CG39/CG38)*100</f>
        <v>0</v>
      </c>
      <c r="CH40" s="712"/>
      <c r="CI40" s="618">
        <f>IF(CI38=0,0,CI39/CI38)*100</f>
        <v>0</v>
      </c>
      <c r="CJ40" s="618">
        <f>IF(CJ38=0,0,CJ39/CJ38)*100</f>
        <v>0</v>
      </c>
      <c r="CK40" s="712"/>
      <c r="CL40" s="618">
        <f>IF(CL38=0,0,CL39/CL38)*100</f>
        <v>0</v>
      </c>
      <c r="CM40" s="618">
        <f>IF(CM38=0,0,CM39/CM38)*100</f>
        <v>0</v>
      </c>
      <c r="CN40" s="712"/>
      <c r="CO40" s="618">
        <f>IF(CO38=0,0,CO39/CO38)*100</f>
        <v>0</v>
      </c>
      <c r="CP40" s="618">
        <f>IF(CP38=0,0,CP39/CP38)*100</f>
        <v>0</v>
      </c>
      <c r="CQ40" s="712"/>
      <c r="CR40" s="618">
        <f>IF(CR38=0,0,CR39/CR38)*100</f>
        <v>0</v>
      </c>
      <c r="CS40" s="618">
        <f>IF(CS38=0,0,CS39/CS38)*100</f>
        <v>0</v>
      </c>
      <c r="CT40" s="712"/>
      <c r="CU40" s="618">
        <f>IF(CU38=0,0,CU39/CU38)*100</f>
        <v>0</v>
      </c>
      <c r="CV40" s="618">
        <f>IF(CV38=0,0,CV39/CV38)*100</f>
        <v>0</v>
      </c>
      <c r="CW40" s="712"/>
      <c r="CX40" s="618">
        <f>IF(CX38=0,0,CX39/CX38)*100</f>
        <v>0</v>
      </c>
      <c r="CY40" s="618">
        <f>IF(CY38=0,0,CY39/CY38)*100</f>
        <v>0</v>
      </c>
      <c r="CZ40" s="712"/>
      <c r="DA40" s="618">
        <f>IF(DA38=0,0,DA39/DA38)*100</f>
        <v>0</v>
      </c>
      <c r="DB40" s="618">
        <f>IF(DB38=0,0,DB39/DB38)*100</f>
        <v>0</v>
      </c>
      <c r="DC40" s="712"/>
      <c r="DD40" s="618">
        <f>IF(DD38=0,0,DD39/DD38)*100</f>
        <v>0</v>
      </c>
      <c r="DE40" s="618">
        <f>IF(DE38=0,0,DE39/DE38)*100</f>
        <v>0</v>
      </c>
      <c r="DF40" s="712"/>
      <c r="DG40" s="618">
        <f>IF(DG38=0,0,DG39/DG38)*100</f>
        <v>0</v>
      </c>
      <c r="DH40" s="618">
        <f>IF(DH38=0,0,DH39/DH38)*100</f>
        <v>0</v>
      </c>
      <c r="DI40" s="712"/>
      <c r="DJ40" s="618">
        <f>IF(DJ38=0,0,DJ39/DJ38)*100</f>
        <v>0</v>
      </c>
      <c r="DK40" s="618">
        <f>IF(DK38=0,0,DK39/DK38)*100</f>
        <v>0</v>
      </c>
      <c r="DL40" s="712"/>
      <c r="DM40" s="618">
        <f>IF(DM38=0,0,DM39/DM38)*100</f>
        <v>0</v>
      </c>
      <c r="DN40" s="618">
        <f>IF(DN38=0,0,DN39/DN38)*100</f>
        <v>0</v>
      </c>
      <c r="DO40" s="712"/>
      <c r="DP40" s="618">
        <f>IF(DP38=0,0,DP39/DP38)*100</f>
        <v>0</v>
      </c>
      <c r="DQ40" s="618">
        <f>IF(DQ38=0,0,DQ39/DQ38)*100</f>
        <v>0</v>
      </c>
      <c r="DR40" s="712"/>
      <c r="DS40" s="618">
        <f>IF(DS38=0,0,DS39/DS38)*100</f>
        <v>0</v>
      </c>
      <c r="DT40" s="618">
        <f>IF(DT38=0,0,DT39/DT38)*100</f>
        <v>0</v>
      </c>
      <c r="DU40" s="712"/>
      <c r="DV40" s="618">
        <f>IF(DV38=0,0,DV39/DV38)*100</f>
        <v>0</v>
      </c>
      <c r="DW40" s="618">
        <f>IF(DW38=0,0,DW39/DW38)*100</f>
        <v>0</v>
      </c>
      <c r="DX40" s="712"/>
      <c r="DY40" s="618">
        <f>IF(DY38=0,0,DY39/DY38)*100</f>
        <v>0</v>
      </c>
      <c r="DZ40" s="618">
        <f>IF(DZ38=0,0,DZ39/DZ38)*100</f>
        <v>0</v>
      </c>
      <c r="EA40" s="712"/>
      <c r="EB40" s="618">
        <f>IF(EB38=0,0,EB39/EB38)*100</f>
        <v>0</v>
      </c>
      <c r="EC40" s="618">
        <f>IF(EC38=0,0,EC39/EC38)*100</f>
        <v>0</v>
      </c>
      <c r="ED40" s="712"/>
      <c r="EE40" s="618">
        <f>IF(EE38=0,0,EE39/EE38)*100</f>
        <v>0</v>
      </c>
      <c r="EF40" s="618">
        <f>IF(EF38=0,0,EF39/EF38)*100</f>
        <v>0</v>
      </c>
      <c r="EG40" s="712"/>
      <c r="EH40" s="618">
        <f>IF(EH38=0,0,EH39/EH38)*100</f>
        <v>0</v>
      </c>
      <c r="EI40" s="618">
        <f>IF(EI38=0,0,EI39/EI38)*100</f>
        <v>0</v>
      </c>
      <c r="EJ40" s="712"/>
      <c r="EK40" s="618">
        <f>IF(EK38=0,0,EK39/EK38)*100</f>
        <v>0</v>
      </c>
      <c r="EL40" s="618">
        <f>IF(EL38=0,0,EL39/EL38)*100</f>
        <v>0</v>
      </c>
      <c r="EM40" s="712"/>
      <c r="EN40" s="618">
        <f>IF(EN38=0,0,EN39/EN38)*100</f>
        <v>0</v>
      </c>
      <c r="EO40" s="618">
        <f>IF(EO38=0,0,EO39/EO38)*100</f>
        <v>0</v>
      </c>
      <c r="EP40" s="712"/>
      <c r="EQ40" s="618">
        <f>IF(EQ38=0,0,EQ39/EQ38)*100</f>
        <v>0</v>
      </c>
      <c r="ER40" s="618">
        <f>IF(ER38=0,0,ER39/ER38)*100</f>
        <v>0</v>
      </c>
      <c r="ES40" s="712"/>
      <c r="ET40" s="618">
        <f>IF(ET38=0,0,ET39/ET38)*100</f>
        <v>0</v>
      </c>
      <c r="EU40" s="618">
        <f>IF(EU38=0,0,EU39/EU38)*100</f>
        <v>0</v>
      </c>
      <c r="EV40" s="712"/>
      <c r="EW40" s="618">
        <f>IF(EW38=0,0,EW39/EW38)*100</f>
        <v>0</v>
      </c>
      <c r="EX40" s="618">
        <f>IF(EX38=0,0,EX39/EX38)*100</f>
        <v>0</v>
      </c>
      <c r="EY40" s="712"/>
      <c r="EZ40" s="618">
        <f>IF(EZ38=0,0,EZ39/EZ38)*100</f>
        <v>0</v>
      </c>
      <c r="FA40" s="618">
        <f>IF(FA38=0,0,FA39/FA38)*100</f>
        <v>0</v>
      </c>
      <c r="FB40" s="712"/>
      <c r="FC40" s="618">
        <f>IF(FC38=0,0,FC39/FC38)*100</f>
        <v>0</v>
      </c>
      <c r="FD40" s="618">
        <f>IF(FD38=0,0,FD39/FD38)*100</f>
        <v>0</v>
      </c>
      <c r="FE40" s="712"/>
      <c r="FF40" s="618">
        <f>IF(FF38=0,0,FF39/FF38)*100</f>
        <v>0</v>
      </c>
      <c r="FG40" s="618">
        <f>IF(FG38=0,0,FG39/FG38)*100</f>
        <v>0</v>
      </c>
      <c r="FH40" s="712"/>
      <c r="FI40" s="618">
        <f>IF(FI38=0,0,FI39/FI38)*100</f>
        <v>0</v>
      </c>
      <c r="FJ40" s="618">
        <f>IF(FJ38=0,0,FJ39/FJ38)*100</f>
        <v>0</v>
      </c>
      <c r="FK40" s="712"/>
      <c r="FL40" s="618">
        <f>IF(FL38=0,0,FL39/FL38)*100</f>
        <v>0</v>
      </c>
      <c r="FM40" s="618">
        <f>IF(FM38=0,0,FM39/FM38)*100</f>
        <v>0</v>
      </c>
      <c r="FN40" s="712"/>
      <c r="FO40" s="618">
        <f>IF(FO38=0,0,FO39/FO38)*100</f>
        <v>0</v>
      </c>
      <c r="FP40" s="618">
        <f>IF(FP38=0,0,FP39/FP38)*100</f>
        <v>0</v>
      </c>
      <c r="FQ40" s="712"/>
      <c r="FR40" s="618">
        <f>IF(FR38=0,0,FR39/FR38)*100</f>
        <v>0</v>
      </c>
      <c r="FS40" s="618">
        <f>IF(FS38=0,0,FS39/FS38)*100</f>
        <v>0</v>
      </c>
      <c r="FT40" s="712"/>
      <c r="FU40" s="618">
        <f>IF(FU38=0,0,FU39/FU38)*100</f>
        <v>0</v>
      </c>
      <c r="FV40" s="618">
        <f>IF(FV38=0,0,FV39/FV38)*100</f>
        <v>0</v>
      </c>
      <c r="FW40" s="712"/>
      <c r="FX40" s="203"/>
      <c r="FZ40" s="689" t="s">
        <v>1668</v>
      </c>
    </row>
    <row r="41" spans="1:186" ht="14.65" hidden="1" customHeight="1">
      <c r="A41" s="59"/>
      <c r="B41" s="611" t="b" cm="1">
        <f t="array" ref="B41">B40</f>
        <v>0</v>
      </c>
      <c r="C41" s="59"/>
      <c r="D41" s="59"/>
      <c r="E41" s="460">
        <v>15</v>
      </c>
      <c r="F41" s="3" cm="1">
        <f t="array" aca="1" ref="F41" ca="1">OFFSET(E41,-1,1)</f>
        <v>0</v>
      </c>
      <c r="G41" s="25" t="s">
        <v>1669</v>
      </c>
      <c r="H41" s="59" t="s">
        <v>514</v>
      </c>
      <c r="I41" s="59" t="s">
        <v>1667</v>
      </c>
      <c r="J41" s="59"/>
      <c r="K41" s="59"/>
      <c r="L41" s="59"/>
      <c r="M41" s="59"/>
      <c r="N41" s="59"/>
      <c r="O41" s="59"/>
      <c r="P41" s="59"/>
      <c r="Q41" s="592"/>
      <c r="R41" s="59"/>
      <c r="S41" s="59"/>
      <c r="T41" s="351" t="b" cm="1">
        <f t="array" ref="T41">T40</f>
        <v>0</v>
      </c>
      <c r="U41" s="59"/>
      <c r="V41" s="59"/>
      <c r="W41" s="59"/>
      <c r="X41" s="1046"/>
      <c r="Y41" s="59"/>
      <c r="Z41" s="1007"/>
      <c r="AA41" s="59"/>
      <c r="AB41" s="54" t="s">
        <v>1670</v>
      </c>
      <c r="AC41" s="12" t="s">
        <v>585</v>
      </c>
      <c r="AD41" s="833">
        <f ca="1">IF(AND(method_reg="Метод индексации",god&lt;&gt;first_year),SUMIFS(INDEX('Калькуляция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(МИ)'!$AJ$25:$BC$315,,MATCH(AD$8,'Калькуляция (МИ)'!$AJ$8:$BC$8,0)),'Калькуляция (МИ)'!$F$25:$F$315,$F41,'Калькуляция (МИ)'!$G$25:$G$315,$G41))))</f>
        <v>0</v>
      </c>
      <c r="AE41" s="833">
        <f ca="1">IF(AND(method_reg="Метод индексации",god&lt;&gt;first_year),SUMIFS(INDEX('Калькуляция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(МИ)'!$AJ$25:$BC$315,,MATCH(AE$8,'Калькуляция (МИ)'!$AJ$8:$BC$8,0)),'Калькуляция (МИ)'!$F$25:$F$315,$F41,'Калькуляция (МИ)'!$G$25:$G$315,$G41))))</f>
        <v>0</v>
      </c>
      <c r="AF41" s="713">
        <f ca="1">IF(AD41=0,0,(AE41-AD41)/AD41*100)</f>
        <v>0</v>
      </c>
      <c r="AG41" s="190">
        <f ca="1">IF(AND(method_reg="Метод индексации",god&lt;&gt;first_year),SUMIFS(INDEX('Калькуляция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(МИ)'!$AJ$25:$BC$315,,MATCH(AG$8,'Калькуляция (МИ)'!$AJ$8:$BC$8,0)),'Калькуляция (МИ)'!$F$25:$F$315,$F41,'Калькуляция (МИ)'!$G$25:$G$315,$G41))))</f>
        <v>0</v>
      </c>
      <c r="AH41" s="190">
        <f ca="1">IF(AND(method_reg="Метод индексации",god&lt;&gt;first_year),SUMIFS(INDEX('Калькуляция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(МИ)'!$AJ$25:$BC$315,,MATCH(AH$8,'Калькуляция (МИ)'!$AJ$8:$BC$8,0)),'Калькуляция (МИ)'!$F$25:$F$315,$F41,'Калькуляция (МИ)'!$G$25:$G$315,$G41))))</f>
        <v>0</v>
      </c>
      <c r="AI41" s="713">
        <f ca="1">IF(AG41=0,0,(AH41-AG41)/AG41*100)</f>
        <v>0</v>
      </c>
      <c r="AJ41" s="190">
        <f ca="1">IF(AND(method_reg="Метод индексации",god&lt;&gt;first_year),SUMIFS(INDEX('Калькуляция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(МИ)'!$AJ$25:$BC$315,,MATCH(AJ$8,'Калькуляция (МИ)'!$AJ$8:$BC$8,0)),'Калькуляция (МИ)'!$F$25:$F$315,$F41,'Калькуляция (МИ)'!$G$25:$G$315,$G41))))</f>
        <v>0</v>
      </c>
      <c r="AK41" s="190">
        <f ca="1">IF(AND(method_reg="Метод индексации",god&lt;&gt;first_year),SUMIFS(INDEX('Калькуляция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(МИ)'!$AJ$25:$BC$315,,MATCH(AK$8,'Калькуляция (МИ)'!$AJ$8:$BC$8,0)),'Калькуляция (МИ)'!$F$25:$F$315,$F41,'Калькуляция (МИ)'!$G$25:$G$315,$G41))))</f>
        <v>0</v>
      </c>
      <c r="AL41" s="713">
        <f ca="1">IF(AJ41=0,0,(AK41-AJ41)/AJ41*100)</f>
        <v>0</v>
      </c>
      <c r="AM41" s="833">
        <f ca="1">IF(AND(method_reg="Метод индексации",god&lt;&gt;first_year),SUMIFS(INDEX('Калькуляция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(МИ)'!$AJ$25:$BC$315,,MATCH(AM$8,'Калькуляция (МИ)'!$AJ$8:$BC$8,0)),'Калькуляция (МИ)'!$F$25:$F$315,$F41,'Калькуляция (МИ)'!$G$25:$G$315,$G41))))</f>
        <v>0</v>
      </c>
      <c r="AN41" s="833">
        <f ca="1">IF(AND(method_reg="Метод индексации",god&lt;&gt;first_year),SUMIFS(INDEX('Калькуляция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(МИ)'!$AJ$25:$BC$315,,MATCH(AN$8,'Калькуляция (МИ)'!$AJ$8:$BC$8,0)),'Калькуляция (МИ)'!$F$25:$F$315,$F41,'Калькуляция (МИ)'!$G$25:$G$315,$G41))))</f>
        <v>0</v>
      </c>
      <c r="AO41" s="713">
        <f ca="1">IF(AM41=0,0,(AN41-AM41)/AM41*100)</f>
        <v>0</v>
      </c>
      <c r="AP41" s="833">
        <f ca="1">IF(AND(method_reg="Метод индексации",god&lt;&gt;first_year),SUMIFS(INDEX('Калькуляция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(МИ)'!$AJ$25:$BC$315,,MATCH(AP$8,'Калькуляция (МИ)'!$AJ$8:$BC$8,0)),'Калькуляция (МИ)'!$F$25:$F$315,$F41,'Калькуляция (МИ)'!$G$25:$G$315,$G41))))</f>
        <v>0</v>
      </c>
      <c r="AQ41" s="833">
        <f ca="1">IF(AND(method_reg="Метод индексации",god&lt;&gt;first_year),SUMIFS(INDEX('Калькуляция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(МИ)'!$AJ$25:$BC$315,,MATCH(AQ$8,'Калькуляция (МИ)'!$AJ$8:$BC$8,0)),'Калькуляция (МИ)'!$F$25:$F$315,$F41,'Калькуляция (МИ)'!$G$25:$G$315,$G41))))</f>
        <v>0</v>
      </c>
      <c r="AR41" s="713">
        <f ca="1">IF(AP41=0,0,(AQ41-AP41)/AP41*100)</f>
        <v>0</v>
      </c>
      <c r="AS41" s="833">
        <f ca="1">IF(AND(method_reg="Метод индексации",god&lt;&gt;first_year),SUMIFS(INDEX('Калькуляция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(МИ)'!$AJ$25:$BC$315,,MATCH(AS$8,'Калькуляция (МИ)'!$AJ$8:$BC$8,0)),'Калькуляция (МИ)'!$F$25:$F$315,$F41,'Калькуляция (МИ)'!$G$25:$G$315,$G41))))</f>
        <v>0</v>
      </c>
      <c r="AT41" s="833">
        <f ca="1">IF(AND(method_reg="Метод индексации",god&lt;&gt;first_year),SUMIFS(INDEX('Калькуляция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(МИ)'!$AJ$25:$BC$315,,MATCH(AT$8,'Калькуляция (МИ)'!$AJ$8:$BC$8,0)),'Калькуляция (МИ)'!$F$25:$F$315,$F41,'Калькуляция (МИ)'!$G$25:$G$315,$G41))))</f>
        <v>0</v>
      </c>
      <c r="AU41" s="713">
        <f ca="1">IF(AS41=0,0,(AT41-AS41)/AS41*100)</f>
        <v>0</v>
      </c>
      <c r="AV41" s="833">
        <f ca="1">IF(AND(method_reg="Метод индексации",god&lt;&gt;first_year),SUMIFS(INDEX('Калькуляция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(МИ)'!$AJ$25:$BC$315,,MATCH(AV$8,'Калькуляция (МИ)'!$AJ$8:$BC$8,0)),'Калькуляция (МИ)'!$F$25:$F$315,$F41,'Калькуляция (МИ)'!$G$25:$G$315,$G41))))</f>
        <v>0</v>
      </c>
      <c r="AW41" s="833">
        <f ca="1">IF(AND(method_reg="Метод индексации",god&lt;&gt;first_year),SUMIFS(INDEX('Калькуляция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(МИ)'!$AJ$25:$BC$315,,MATCH(AW$8,'Калькуляция (МИ)'!$AJ$8:$BC$8,0)),'Калькуляция (МИ)'!$F$25:$F$315,$F41,'Калькуляция (МИ)'!$G$25:$G$315,$G41))))</f>
        <v>0</v>
      </c>
      <c r="AX41" s="713">
        <f ca="1">IF(AV41=0,0,(AW41-AV41)/AV41*100)</f>
        <v>0</v>
      </c>
      <c r="AY41" s="833">
        <f ca="1">IF(AND(method_reg="Метод индексации",god&lt;&gt;first_year),SUMIFS(INDEX('Калькуляция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(МИ)'!$AJ$25:$BC$315,,MATCH(AY$8,'Калькуляция (МИ)'!$AJ$8:$BC$8,0)),'Калькуляция (МИ)'!$F$25:$F$315,$F41,'Калькуляция (МИ)'!$G$25:$G$315,$G41))))</f>
        <v>0</v>
      </c>
      <c r="AZ41" s="833">
        <f ca="1">IF(AND(method_reg="Метод индексации",god&lt;&gt;first_year),SUMIFS(INDEX('Калькуляция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(МИ)'!$AJ$25:$BC$315,,MATCH(AZ$8,'Калькуляция (МИ)'!$AJ$8:$BC$8,0)),'Калькуляция (МИ)'!$F$25:$F$315,$F41,'Калькуляция (МИ)'!$G$25:$G$315,$G41))))</f>
        <v>0</v>
      </c>
      <c r="BA41" s="713">
        <f ca="1">IF(AY41=0,0,(AZ41-AY41)/AY41*100)</f>
        <v>0</v>
      </c>
      <c r="BB41" s="833">
        <f ca="1">IF(AND(method_reg="Метод индексации",god&lt;&gt;first_year),SUMIFS(INDEX('Калькуляция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(МИ)'!$AJ$25:$BC$315,,MATCH(BB$8,'Калькуляция (МИ)'!$AJ$8:$BC$8,0)),'Калькуляция (МИ)'!$F$25:$F$315,$F41,'Калькуляция (МИ)'!$G$25:$G$315,$G41))))</f>
        <v>0</v>
      </c>
      <c r="BC41" s="833">
        <f ca="1">IF(AND(method_reg="Метод индексации",god&lt;&gt;first_year),SUMIFS(INDEX('Калькуляция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(МИ)'!$AJ$25:$BC$315,,MATCH(BC$8,'Калькуляция (МИ)'!$AJ$8:$BC$8,0)),'Калькуляция (МИ)'!$F$25:$F$315,$F41,'Калькуляция (МИ)'!$G$25:$G$315,$G41))))</f>
        <v>0</v>
      </c>
      <c r="BD41" s="713">
        <f ca="1">IF(BB41=0,0,(BC41-BB41)/BB41*100)</f>
        <v>0</v>
      </c>
      <c r="BE41" s="833">
        <f ca="1">IF(AND(method_reg="Метод индексации",god&lt;&gt;first_year),SUMIFS(INDEX('Калькуляция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(МИ)'!$AJ$25:$BC$315,,MATCH(BE$8,'Калькуляция (МИ)'!$AJ$8:$BC$8,0)),'Калькуляция (МИ)'!$F$25:$F$315,$F41,'Калькуляция (МИ)'!$G$25:$G$315,$G41))))</f>
        <v>0</v>
      </c>
      <c r="BF41" s="833">
        <f ca="1">IF(AND(method_reg="Метод индексации",god&lt;&gt;first_year),SUMIFS(INDEX('Калькуляция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(МИ)'!$AJ$25:$BC$315,,MATCH(BF$8,'Калькуляция (МИ)'!$AJ$8:$BC$8,0)),'Калькуляция (МИ)'!$F$25:$F$315,$F41,'Калькуляция (МИ)'!$G$25:$G$315,$G41))))</f>
        <v>0</v>
      </c>
      <c r="BG41" s="713">
        <f ca="1">IF(BE41=0,0,(BF41-BE41)/BE41*100)</f>
        <v>0</v>
      </c>
      <c r="BH41" s="833"/>
      <c r="BI41" s="833"/>
      <c r="BJ41" s="713">
        <f>IF(BH41=0,0,(BI41-BH41)/BH41*100)</f>
        <v>0</v>
      </c>
      <c r="BK41" s="833"/>
      <c r="BL41" s="833"/>
      <c r="BM41" s="713">
        <f>IF(BK41=0,0,(BL41-BK41)/BK41*100)</f>
        <v>0</v>
      </c>
      <c r="BN41" s="833"/>
      <c r="BO41" s="833"/>
      <c r="BP41" s="713">
        <f>IF(BN41=0,0,(BO41-BN41)/BN41*100)</f>
        <v>0</v>
      </c>
      <c r="BQ41" s="833"/>
      <c r="BR41" s="833"/>
      <c r="BS41" s="713">
        <f>IF(BQ41=0,0,(BR41-BQ41)/BQ41*100)</f>
        <v>0</v>
      </c>
      <c r="BT41" s="833"/>
      <c r="BU41" s="833"/>
      <c r="BV41" s="713">
        <f>IF(BT41=0,0,(BU41-BT41)/BT41*100)</f>
        <v>0</v>
      </c>
      <c r="BW41" s="833"/>
      <c r="BX41" s="833"/>
      <c r="BY41" s="713">
        <f>IF(BW41=0,0,(BX41-BW41)/BW41*100)</f>
        <v>0</v>
      </c>
      <c r="BZ41" s="833"/>
      <c r="CA41" s="833"/>
      <c r="CB41" s="713">
        <f>IF(BZ41=0,0,(CA41-BZ41)/BZ41*100)</f>
        <v>0</v>
      </c>
      <c r="CC41" s="833"/>
      <c r="CD41" s="833"/>
      <c r="CE41" s="713">
        <f>IF(CC41=0,0,(CD41-CC41)/CC41*100)</f>
        <v>0</v>
      </c>
      <c r="CF41" s="833"/>
      <c r="CG41" s="833"/>
      <c r="CH41" s="713">
        <f>IF(CF41=0,0,(CG41-CF41)/CF41*100)</f>
        <v>0</v>
      </c>
      <c r="CI41" s="833"/>
      <c r="CJ41" s="833"/>
      <c r="CK41" s="713">
        <f>IF(CI41=0,0,(CJ41-CI41)/CI41*100)</f>
        <v>0</v>
      </c>
      <c r="CL41" s="833"/>
      <c r="CM41" s="833"/>
      <c r="CN41" s="713">
        <f>IF(CL41=0,0,(CM41-CL41)/CL41*100)</f>
        <v>0</v>
      </c>
      <c r="CO41" s="833"/>
      <c r="CP41" s="833"/>
      <c r="CQ41" s="713">
        <f>IF(CO41=0,0,(CP41-CO41)/CO41*100)</f>
        <v>0</v>
      </c>
      <c r="CR41" s="833"/>
      <c r="CS41" s="833"/>
      <c r="CT41" s="713">
        <f>IF(CR41=0,0,(CS41-CR41)/CR41*100)</f>
        <v>0</v>
      </c>
      <c r="CU41" s="833"/>
      <c r="CV41" s="833"/>
      <c r="CW41" s="713">
        <f>IF(CU41=0,0,(CV41-CU41)/CU41*100)</f>
        <v>0</v>
      </c>
      <c r="CX41" s="833"/>
      <c r="CY41" s="833"/>
      <c r="CZ41" s="713">
        <f>IF(CX41=0,0,(CY41-CX41)/CX41*100)</f>
        <v>0</v>
      </c>
      <c r="DA41" s="833"/>
      <c r="DB41" s="833"/>
      <c r="DC41" s="713">
        <f>IF(DA41=0,0,(DB41-DA41)/DA41*100)</f>
        <v>0</v>
      </c>
      <c r="DD41" s="833"/>
      <c r="DE41" s="833"/>
      <c r="DF41" s="713">
        <f>IF(DD41=0,0,(DE41-DD41)/DD41*100)</f>
        <v>0</v>
      </c>
      <c r="DG41" s="833"/>
      <c r="DH41" s="833"/>
      <c r="DI41" s="713">
        <f>IF(DG41=0,0,(DH41-DG41)/DG41*100)</f>
        <v>0</v>
      </c>
      <c r="DJ41" s="833"/>
      <c r="DK41" s="833"/>
      <c r="DL41" s="713">
        <f>IF(DJ41=0,0,(DK41-DJ41)/DJ41*100)</f>
        <v>0</v>
      </c>
      <c r="DM41" s="833"/>
      <c r="DN41" s="833"/>
      <c r="DO41" s="713">
        <f>IF(DM41=0,0,(DN41-DM41)/DM41*100)</f>
        <v>0</v>
      </c>
      <c r="DP41" s="833"/>
      <c r="DQ41" s="833"/>
      <c r="DR41" s="713">
        <f>IF(DP41=0,0,(DQ41-DP41)/DP41*100)</f>
        <v>0</v>
      </c>
      <c r="DS41" s="833"/>
      <c r="DT41" s="833"/>
      <c r="DU41" s="713">
        <f>IF(DS41=0,0,(DT41-DS41)/DS41*100)</f>
        <v>0</v>
      </c>
      <c r="DV41" s="833"/>
      <c r="DW41" s="833"/>
      <c r="DX41" s="713">
        <f>IF(DV41=0,0,(DW41-DV41)/DV41*100)</f>
        <v>0</v>
      </c>
      <c r="DY41" s="833"/>
      <c r="DZ41" s="833"/>
      <c r="EA41" s="713">
        <f>IF(DY41=0,0,(DZ41-DY41)/DY41*100)</f>
        <v>0</v>
      </c>
      <c r="EB41" s="833"/>
      <c r="EC41" s="833"/>
      <c r="ED41" s="713">
        <f>IF(EB41=0,0,(EC41-EB41)/EB41*100)</f>
        <v>0</v>
      </c>
      <c r="EE41" s="833"/>
      <c r="EF41" s="833"/>
      <c r="EG41" s="713">
        <f>IF(EE41=0,0,(EF41-EE41)/EE41*100)</f>
        <v>0</v>
      </c>
      <c r="EH41" s="833"/>
      <c r="EI41" s="833"/>
      <c r="EJ41" s="713">
        <f>IF(EH41=0,0,(EI41-EH41)/EH41*100)</f>
        <v>0</v>
      </c>
      <c r="EK41" s="833"/>
      <c r="EL41" s="833"/>
      <c r="EM41" s="713">
        <f>IF(EK41=0,0,(EL41-EK41)/EK41*100)</f>
        <v>0</v>
      </c>
      <c r="EN41" s="833"/>
      <c r="EO41" s="833"/>
      <c r="EP41" s="713">
        <f>IF(EN41=0,0,(EO41-EN41)/EN41*100)</f>
        <v>0</v>
      </c>
      <c r="EQ41" s="833"/>
      <c r="ER41" s="833"/>
      <c r="ES41" s="713">
        <f>IF(EQ41=0,0,(ER41-EQ41)/EQ41*100)</f>
        <v>0</v>
      </c>
      <c r="ET41" s="833"/>
      <c r="EU41" s="833"/>
      <c r="EV41" s="713">
        <f>IF(ET41=0,0,(EU41-ET41)/ET41*100)</f>
        <v>0</v>
      </c>
      <c r="EW41" s="833"/>
      <c r="EX41" s="833"/>
      <c r="EY41" s="713">
        <f>IF(EW41=0,0,(EX41-EW41)/EW41*100)</f>
        <v>0</v>
      </c>
      <c r="EZ41" s="833"/>
      <c r="FA41" s="833"/>
      <c r="FB41" s="713">
        <f>IF(EZ41=0,0,(FA41-EZ41)/EZ41*100)</f>
        <v>0</v>
      </c>
      <c r="FC41" s="833"/>
      <c r="FD41" s="833"/>
      <c r="FE41" s="713">
        <f>IF(FC41=0,0,(FD41-FC41)/FC41*100)</f>
        <v>0</v>
      </c>
      <c r="FF41" s="833"/>
      <c r="FG41" s="833"/>
      <c r="FH41" s="713">
        <f>IF(FF41=0,0,(FG41-FF41)/FF41*100)</f>
        <v>0</v>
      </c>
      <c r="FI41" s="833"/>
      <c r="FJ41" s="833"/>
      <c r="FK41" s="713">
        <f>IF(FI41=0,0,(FJ41-FI41)/FI41*100)</f>
        <v>0</v>
      </c>
      <c r="FL41" s="833"/>
      <c r="FM41" s="833"/>
      <c r="FN41" s="713">
        <f>IF(FL41=0,0,(FM41-FL41)/FL41*100)</f>
        <v>0</v>
      </c>
      <c r="FO41" s="833"/>
      <c r="FP41" s="833"/>
      <c r="FQ41" s="713">
        <f>IF(FO41=0,0,(FP41-FO41)/FO41*100)</f>
        <v>0</v>
      </c>
      <c r="FR41" s="833"/>
      <c r="FS41" s="833"/>
      <c r="FT41" s="713">
        <f>IF(FR41=0,0,(FS41-FR41)/FR41*100)</f>
        <v>0</v>
      </c>
      <c r="FU41" s="833"/>
      <c r="FV41" s="833"/>
      <c r="FW41" s="713">
        <f>IF(FU41=0,0,(FV41-FU41)/FU41*100)</f>
        <v>0</v>
      </c>
      <c r="FX41" s="203"/>
      <c r="FZ41" s="689" t="s">
        <v>1671</v>
      </c>
    </row>
    <row r="42" spans="1:186" ht="18.2" hidden="1" customHeight="1">
      <c r="A42" s="59"/>
      <c r="B42" s="611" t="b" cm="1">
        <f t="array" ref="B42">B41</f>
        <v>0</v>
      </c>
      <c r="C42" s="59"/>
      <c r="D42" s="59"/>
      <c r="E42" s="460">
        <v>18.75</v>
      </c>
      <c r="F42" s="3" cm="1">
        <f t="array" aca="1" ref="F42" ca="1">OFFSET(E42,-1,1)</f>
        <v>0</v>
      </c>
      <c r="G42" s="59"/>
      <c r="H42" s="59" t="s">
        <v>507</v>
      </c>
      <c r="I42" s="59" cm="1">
        <f t="array" ref="I42">AB42</f>
        <v>0</v>
      </c>
      <c r="J42" s="59"/>
      <c r="K42" s="59"/>
      <c r="L42" s="59"/>
      <c r="M42" s="59"/>
      <c r="N42" s="59"/>
      <c r="O42" s="59"/>
      <c r="P42" s="59"/>
      <c r="Q42" s="592"/>
      <c r="R42" s="59"/>
      <c r="S42" s="59"/>
      <c r="T42" s="351" t="b">
        <f ca="1">AND(F42&gt;0,Y42&gt;0)</f>
        <v>0</v>
      </c>
      <c r="U42" s="59"/>
      <c r="V42" s="59"/>
      <c r="W42" s="59" t="s">
        <v>171</v>
      </c>
      <c r="X42" s="1046"/>
      <c r="Y42" s="1046">
        <v>0</v>
      </c>
      <c r="Z42" s="1007"/>
      <c r="AA42" s="995" t="s">
        <v>172</v>
      </c>
      <c r="AB42" s="897"/>
      <c r="AC42" s="12" t="s">
        <v>1647</v>
      </c>
      <c r="AD42" s="817"/>
      <c r="AE42" s="898"/>
      <c r="AF42" s="712">
        <f>IF(AD42=0,0,(AE42-AD42)/AD42*100)</f>
        <v>0</v>
      </c>
      <c r="AG42" s="57"/>
      <c r="AH42" s="714"/>
      <c r="AI42" s="712">
        <f>IF(AG42=0,0,(AH42-AG42)/AG42*100)</f>
        <v>0</v>
      </c>
      <c r="AJ42" s="57"/>
      <c r="AK42" s="714"/>
      <c r="AL42" s="712">
        <f>IF(AJ42=0,0,(AK42-AJ42)/AJ42*100)</f>
        <v>0</v>
      </c>
      <c r="AM42" s="817"/>
      <c r="AN42" s="898"/>
      <c r="AO42" s="712">
        <f>IF(AM42=0,0,(AN42-AM42)/AM42*100)</f>
        <v>0</v>
      </c>
      <c r="AP42" s="817"/>
      <c r="AQ42" s="898"/>
      <c r="AR42" s="712">
        <f>IF(AP42=0,0,(AQ42-AP42)/AP42*100)</f>
        <v>0</v>
      </c>
      <c r="AS42" s="817"/>
      <c r="AT42" s="898"/>
      <c r="AU42" s="712">
        <f>IF(AS42=0,0,(AT42-AS42)/AS42*100)</f>
        <v>0</v>
      </c>
      <c r="AV42" s="817"/>
      <c r="AW42" s="898"/>
      <c r="AX42" s="712">
        <f>IF(AV42=0,0,(AW42-AV42)/AV42*100)</f>
        <v>0</v>
      </c>
      <c r="AY42" s="817"/>
      <c r="AZ42" s="898"/>
      <c r="BA42" s="712">
        <f>IF(AY42=0,0,(AZ42-AY42)/AY42*100)</f>
        <v>0</v>
      </c>
      <c r="BB42" s="817"/>
      <c r="BC42" s="898"/>
      <c r="BD42" s="712">
        <f>IF(BB42=0,0,(BC42-BB42)/BB42*100)</f>
        <v>0</v>
      </c>
      <c r="BE42" s="817"/>
      <c r="BF42" s="898"/>
      <c r="BG42" s="712">
        <f>IF(BE42=0,0,(BF42-BE42)/BE42*100)</f>
        <v>0</v>
      </c>
      <c r="BH42" s="817"/>
      <c r="BI42" s="898"/>
      <c r="BJ42" s="712">
        <f>IF(BH42=0,0,(BI42-BH42)/BH42*100)</f>
        <v>0</v>
      </c>
      <c r="BK42" s="817"/>
      <c r="BL42" s="898"/>
      <c r="BM42" s="712">
        <f>IF(BK42=0,0,(BL42-BK42)/BK42*100)</f>
        <v>0</v>
      </c>
      <c r="BN42" s="817"/>
      <c r="BO42" s="898"/>
      <c r="BP42" s="712">
        <f>IF(BN42=0,0,(BO42-BN42)/BN42*100)</f>
        <v>0</v>
      </c>
      <c r="BQ42" s="817"/>
      <c r="BR42" s="898"/>
      <c r="BS42" s="712">
        <f>IF(BQ42=0,0,(BR42-BQ42)/BQ42*100)</f>
        <v>0</v>
      </c>
      <c r="BT42" s="817"/>
      <c r="BU42" s="898"/>
      <c r="BV42" s="712">
        <f>IF(BT42=0,0,(BU42-BT42)/BT42*100)</f>
        <v>0</v>
      </c>
      <c r="BW42" s="817"/>
      <c r="BX42" s="898"/>
      <c r="BY42" s="712">
        <f>IF(BW42=0,0,(BX42-BW42)/BW42*100)</f>
        <v>0</v>
      </c>
      <c r="BZ42" s="817"/>
      <c r="CA42" s="898"/>
      <c r="CB42" s="712">
        <f>IF(BZ42=0,0,(CA42-BZ42)/BZ42*100)</f>
        <v>0</v>
      </c>
      <c r="CC42" s="817"/>
      <c r="CD42" s="898"/>
      <c r="CE42" s="712">
        <f>IF(CC42=0,0,(CD42-CC42)/CC42*100)</f>
        <v>0</v>
      </c>
      <c r="CF42" s="817"/>
      <c r="CG42" s="898"/>
      <c r="CH42" s="712">
        <f>IF(CF42=0,0,(CG42-CF42)/CF42*100)</f>
        <v>0</v>
      </c>
      <c r="CI42" s="817"/>
      <c r="CJ42" s="898"/>
      <c r="CK42" s="712">
        <f>IF(CI42=0,0,(CJ42-CI42)/CI42*100)</f>
        <v>0</v>
      </c>
      <c r="CL42" s="817"/>
      <c r="CM42" s="898"/>
      <c r="CN42" s="712">
        <f>IF(CL42=0,0,(CM42-CL42)/CL42*100)</f>
        <v>0</v>
      </c>
      <c r="CO42" s="817"/>
      <c r="CP42" s="898"/>
      <c r="CQ42" s="712">
        <f>IF(CO42=0,0,(CP42-CO42)/CO42*100)</f>
        <v>0</v>
      </c>
      <c r="CR42" s="817"/>
      <c r="CS42" s="898"/>
      <c r="CT42" s="712">
        <f>IF(CR42=0,0,(CS42-CR42)/CR42*100)</f>
        <v>0</v>
      </c>
      <c r="CU42" s="817"/>
      <c r="CV42" s="898"/>
      <c r="CW42" s="712">
        <f>IF(CU42=0,0,(CV42-CU42)/CU42*100)</f>
        <v>0</v>
      </c>
      <c r="CX42" s="817"/>
      <c r="CY42" s="898"/>
      <c r="CZ42" s="712">
        <f>IF(CX42=0,0,(CY42-CX42)/CX42*100)</f>
        <v>0</v>
      </c>
      <c r="DA42" s="817"/>
      <c r="DB42" s="898"/>
      <c r="DC42" s="712">
        <f>IF(DA42=0,0,(DB42-DA42)/DA42*100)</f>
        <v>0</v>
      </c>
      <c r="DD42" s="817"/>
      <c r="DE42" s="898"/>
      <c r="DF42" s="712">
        <f>IF(DD42=0,0,(DE42-DD42)/DD42*100)</f>
        <v>0</v>
      </c>
      <c r="DG42" s="817"/>
      <c r="DH42" s="898"/>
      <c r="DI42" s="712">
        <f>IF(DG42=0,0,(DH42-DG42)/DG42*100)</f>
        <v>0</v>
      </c>
      <c r="DJ42" s="817"/>
      <c r="DK42" s="898"/>
      <c r="DL42" s="712">
        <f>IF(DJ42=0,0,(DK42-DJ42)/DJ42*100)</f>
        <v>0</v>
      </c>
      <c r="DM42" s="817"/>
      <c r="DN42" s="898"/>
      <c r="DO42" s="712">
        <f>IF(DM42=0,0,(DN42-DM42)/DM42*100)</f>
        <v>0</v>
      </c>
      <c r="DP42" s="817"/>
      <c r="DQ42" s="898"/>
      <c r="DR42" s="712">
        <f>IF(DP42=0,0,(DQ42-DP42)/DP42*100)</f>
        <v>0</v>
      </c>
      <c r="DS42" s="817"/>
      <c r="DT42" s="898"/>
      <c r="DU42" s="712">
        <f>IF(DS42=0,0,(DT42-DS42)/DS42*100)</f>
        <v>0</v>
      </c>
      <c r="DV42" s="817"/>
      <c r="DW42" s="898"/>
      <c r="DX42" s="712">
        <f>IF(DV42=0,0,(DW42-DV42)/DV42*100)</f>
        <v>0</v>
      </c>
      <c r="DY42" s="817"/>
      <c r="DZ42" s="898"/>
      <c r="EA42" s="712">
        <f>IF(DY42=0,0,(DZ42-DY42)/DY42*100)</f>
        <v>0</v>
      </c>
      <c r="EB42" s="817"/>
      <c r="EC42" s="898"/>
      <c r="ED42" s="712">
        <f>IF(EB42=0,0,(EC42-EB42)/EB42*100)</f>
        <v>0</v>
      </c>
      <c r="EE42" s="817"/>
      <c r="EF42" s="898"/>
      <c r="EG42" s="712">
        <f>IF(EE42=0,0,(EF42-EE42)/EE42*100)</f>
        <v>0</v>
      </c>
      <c r="EH42" s="817"/>
      <c r="EI42" s="898"/>
      <c r="EJ42" s="712">
        <f>IF(EH42=0,0,(EI42-EH42)/EH42*100)</f>
        <v>0</v>
      </c>
      <c r="EK42" s="817"/>
      <c r="EL42" s="898"/>
      <c r="EM42" s="712">
        <f>IF(EK42=0,0,(EL42-EK42)/EK42*100)</f>
        <v>0</v>
      </c>
      <c r="EN42" s="817"/>
      <c r="EO42" s="898"/>
      <c r="EP42" s="712">
        <f>IF(EN42=0,0,(EO42-EN42)/EN42*100)</f>
        <v>0</v>
      </c>
      <c r="EQ42" s="817"/>
      <c r="ER42" s="898"/>
      <c r="ES42" s="712">
        <f>IF(EQ42=0,0,(ER42-EQ42)/EQ42*100)</f>
        <v>0</v>
      </c>
      <c r="ET42" s="817"/>
      <c r="EU42" s="898"/>
      <c r="EV42" s="712">
        <f>IF(ET42=0,0,(EU42-ET42)/ET42*100)</f>
        <v>0</v>
      </c>
      <c r="EW42" s="817"/>
      <c r="EX42" s="898"/>
      <c r="EY42" s="712">
        <f>IF(EW42=0,0,(EX42-EW42)/EW42*100)</f>
        <v>0</v>
      </c>
      <c r="EZ42" s="817"/>
      <c r="FA42" s="898"/>
      <c r="FB42" s="712">
        <f>IF(EZ42=0,0,(FA42-EZ42)/EZ42*100)</f>
        <v>0</v>
      </c>
      <c r="FC42" s="817"/>
      <c r="FD42" s="898"/>
      <c r="FE42" s="712">
        <f>IF(FC42=0,0,(FD42-FC42)/FC42*100)</f>
        <v>0</v>
      </c>
      <c r="FF42" s="817"/>
      <c r="FG42" s="898"/>
      <c r="FH42" s="712">
        <f>IF(FF42=0,0,(FG42-FF42)/FF42*100)</f>
        <v>0</v>
      </c>
      <c r="FI42" s="817"/>
      <c r="FJ42" s="898"/>
      <c r="FK42" s="712">
        <f>IF(FI42=0,0,(FJ42-FI42)/FI42*100)</f>
        <v>0</v>
      </c>
      <c r="FL42" s="817"/>
      <c r="FM42" s="898"/>
      <c r="FN42" s="712">
        <f>IF(FL42=0,0,(FM42-FL42)/FL42*100)</f>
        <v>0</v>
      </c>
      <c r="FO42" s="817"/>
      <c r="FP42" s="898"/>
      <c r="FQ42" s="712">
        <f>IF(FO42=0,0,(FP42-FO42)/FO42*100)</f>
        <v>0</v>
      </c>
      <c r="FR42" s="817"/>
      <c r="FS42" s="898"/>
      <c r="FT42" s="712">
        <f>IF(FR42=0,0,(FS42-FR42)/FR42*100)</f>
        <v>0</v>
      </c>
      <c r="FU42" s="817"/>
      <c r="FV42" s="898"/>
      <c r="FW42" s="712">
        <f>IF(FU42=0,0,(FV42-FU42)/FU42*100)</f>
        <v>0</v>
      </c>
      <c r="FX42" s="203"/>
      <c r="FZ42" s="689" t="s">
        <v>1672</v>
      </c>
      <c r="GA42" s="669" t="s">
        <v>1673</v>
      </c>
      <c r="GB42" s="669" cm="1">
        <f t="array" ref="GB42">AB42</f>
        <v>0</v>
      </c>
      <c r="GD42" s="459" t="b">
        <v>1</v>
      </c>
    </row>
    <row r="43" spans="1:186" ht="14.65" hidden="1" customHeight="1">
      <c r="A43" s="59"/>
      <c r="B43" s="611" t="b" cm="1">
        <f t="array" ref="B43">B42</f>
        <v>0</v>
      </c>
      <c r="C43" s="59"/>
      <c r="D43" s="59"/>
      <c r="E43" s="460">
        <v>15</v>
      </c>
      <c r="F43" s="3" cm="1">
        <f t="array" aca="1" ref="F43" ca="1">OFFSET(E43,-1,1)</f>
        <v>0</v>
      </c>
      <c r="G43" s="59"/>
      <c r="H43" s="59" t="s">
        <v>514</v>
      </c>
      <c r="I43" s="59" cm="1">
        <f t="array" ref="I43">I42</f>
        <v>0</v>
      </c>
      <c r="J43" s="59"/>
      <c r="K43" s="59"/>
      <c r="L43" s="59"/>
      <c r="M43" s="59"/>
      <c r="N43" s="59"/>
      <c r="O43" s="59"/>
      <c r="P43" s="59"/>
      <c r="Q43" s="592"/>
      <c r="R43" s="59"/>
      <c r="S43" s="59"/>
      <c r="T43" s="351" t="b" cm="1">
        <f t="array" aca="1" ref="T43" ca="1">T42</f>
        <v>0</v>
      </c>
      <c r="U43" s="59"/>
      <c r="V43" s="59"/>
      <c r="W43" s="59"/>
      <c r="X43" s="1046"/>
      <c r="Y43" s="1046"/>
      <c r="Z43" s="1007"/>
      <c r="AA43" s="995"/>
      <c r="AB43" s="54" t="s">
        <v>1674</v>
      </c>
      <c r="AC43" s="7" t="s">
        <v>585</v>
      </c>
      <c r="AD43" s="833"/>
      <c r="AE43" s="833"/>
      <c r="AF43" s="713">
        <f>IF(AD43=0,0,(AE43-AD43)/AD43*100)</f>
        <v>0</v>
      </c>
      <c r="AG43" s="190"/>
      <c r="AH43" s="190"/>
      <c r="AI43" s="713">
        <f>IF(AG43=0,0,(AH43-AG43)/AG43*100)</f>
        <v>0</v>
      </c>
      <c r="AJ43" s="190"/>
      <c r="AK43" s="190"/>
      <c r="AL43" s="713">
        <f>IF(AJ43=0,0,(AK43-AJ43)/AJ43*100)</f>
        <v>0</v>
      </c>
      <c r="AM43" s="833"/>
      <c r="AN43" s="833"/>
      <c r="AO43" s="713">
        <f>IF(AM43=0,0,(AN43-AM43)/AM43*100)</f>
        <v>0</v>
      </c>
      <c r="AP43" s="833"/>
      <c r="AQ43" s="833"/>
      <c r="AR43" s="713">
        <f>IF(AP43=0,0,(AQ43-AP43)/AP43*100)</f>
        <v>0</v>
      </c>
      <c r="AS43" s="833"/>
      <c r="AT43" s="833"/>
      <c r="AU43" s="713">
        <f>IF(AS43=0,0,(AT43-AS43)/AS43*100)</f>
        <v>0</v>
      </c>
      <c r="AV43" s="833"/>
      <c r="AW43" s="833"/>
      <c r="AX43" s="713">
        <f>IF(AV43=0,0,(AW43-AV43)/AV43*100)</f>
        <v>0</v>
      </c>
      <c r="AY43" s="833"/>
      <c r="AZ43" s="833"/>
      <c r="BA43" s="713">
        <f>IF(AY43=0,0,(AZ43-AY43)/AY43*100)</f>
        <v>0</v>
      </c>
      <c r="BB43" s="833"/>
      <c r="BC43" s="833"/>
      <c r="BD43" s="713">
        <f>IF(BB43=0,0,(BC43-BB43)/BB43*100)</f>
        <v>0</v>
      </c>
      <c r="BE43" s="833"/>
      <c r="BF43" s="833"/>
      <c r="BG43" s="713">
        <f>IF(BE43=0,0,(BF43-BE43)/BE43*100)</f>
        <v>0</v>
      </c>
      <c r="BH43" s="833"/>
      <c r="BI43" s="833"/>
      <c r="BJ43" s="713">
        <f>IF(BH43=0,0,(BI43-BH43)/BH43*100)</f>
        <v>0</v>
      </c>
      <c r="BK43" s="833"/>
      <c r="BL43" s="833"/>
      <c r="BM43" s="713">
        <f>IF(BK43=0,0,(BL43-BK43)/BK43*100)</f>
        <v>0</v>
      </c>
      <c r="BN43" s="833"/>
      <c r="BO43" s="833"/>
      <c r="BP43" s="713">
        <f>IF(BN43=0,0,(BO43-BN43)/BN43*100)</f>
        <v>0</v>
      </c>
      <c r="BQ43" s="833"/>
      <c r="BR43" s="833"/>
      <c r="BS43" s="713">
        <f>IF(BQ43=0,0,(BR43-BQ43)/BQ43*100)</f>
        <v>0</v>
      </c>
      <c r="BT43" s="833"/>
      <c r="BU43" s="833"/>
      <c r="BV43" s="713">
        <f>IF(BT43=0,0,(BU43-BT43)/BT43*100)</f>
        <v>0</v>
      </c>
      <c r="BW43" s="833"/>
      <c r="BX43" s="833"/>
      <c r="BY43" s="713">
        <f>IF(BW43=0,0,(BX43-BW43)/BW43*100)</f>
        <v>0</v>
      </c>
      <c r="BZ43" s="833"/>
      <c r="CA43" s="833"/>
      <c r="CB43" s="713">
        <f>IF(BZ43=0,0,(CA43-BZ43)/BZ43*100)</f>
        <v>0</v>
      </c>
      <c r="CC43" s="833"/>
      <c r="CD43" s="833"/>
      <c r="CE43" s="713">
        <f>IF(CC43=0,0,(CD43-CC43)/CC43*100)</f>
        <v>0</v>
      </c>
      <c r="CF43" s="833"/>
      <c r="CG43" s="833"/>
      <c r="CH43" s="713">
        <f>IF(CF43=0,0,(CG43-CF43)/CF43*100)</f>
        <v>0</v>
      </c>
      <c r="CI43" s="833"/>
      <c r="CJ43" s="833"/>
      <c r="CK43" s="713">
        <f>IF(CI43=0,0,(CJ43-CI43)/CI43*100)</f>
        <v>0</v>
      </c>
      <c r="CL43" s="833"/>
      <c r="CM43" s="833"/>
      <c r="CN43" s="713">
        <f>IF(CL43=0,0,(CM43-CL43)/CL43*100)</f>
        <v>0</v>
      </c>
      <c r="CO43" s="833"/>
      <c r="CP43" s="833"/>
      <c r="CQ43" s="713">
        <f>IF(CO43=0,0,(CP43-CO43)/CO43*100)</f>
        <v>0</v>
      </c>
      <c r="CR43" s="833"/>
      <c r="CS43" s="833"/>
      <c r="CT43" s="713">
        <f>IF(CR43=0,0,(CS43-CR43)/CR43*100)</f>
        <v>0</v>
      </c>
      <c r="CU43" s="833"/>
      <c r="CV43" s="833"/>
      <c r="CW43" s="713">
        <f>IF(CU43=0,0,(CV43-CU43)/CU43*100)</f>
        <v>0</v>
      </c>
      <c r="CX43" s="833"/>
      <c r="CY43" s="833"/>
      <c r="CZ43" s="713">
        <f>IF(CX43=0,0,(CY43-CX43)/CX43*100)</f>
        <v>0</v>
      </c>
      <c r="DA43" s="833"/>
      <c r="DB43" s="833"/>
      <c r="DC43" s="713">
        <f>IF(DA43=0,0,(DB43-DA43)/DA43*100)</f>
        <v>0</v>
      </c>
      <c r="DD43" s="833"/>
      <c r="DE43" s="833"/>
      <c r="DF43" s="713">
        <f>IF(DD43=0,0,(DE43-DD43)/DD43*100)</f>
        <v>0</v>
      </c>
      <c r="DG43" s="833"/>
      <c r="DH43" s="833"/>
      <c r="DI43" s="713">
        <f>IF(DG43=0,0,(DH43-DG43)/DG43*100)</f>
        <v>0</v>
      </c>
      <c r="DJ43" s="833"/>
      <c r="DK43" s="833"/>
      <c r="DL43" s="713">
        <f>IF(DJ43=0,0,(DK43-DJ43)/DJ43*100)</f>
        <v>0</v>
      </c>
      <c r="DM43" s="833"/>
      <c r="DN43" s="833"/>
      <c r="DO43" s="713">
        <f>IF(DM43=0,0,(DN43-DM43)/DM43*100)</f>
        <v>0</v>
      </c>
      <c r="DP43" s="833"/>
      <c r="DQ43" s="833"/>
      <c r="DR43" s="713">
        <f>IF(DP43=0,0,(DQ43-DP43)/DP43*100)</f>
        <v>0</v>
      </c>
      <c r="DS43" s="833"/>
      <c r="DT43" s="833"/>
      <c r="DU43" s="713">
        <f>IF(DS43=0,0,(DT43-DS43)/DS43*100)</f>
        <v>0</v>
      </c>
      <c r="DV43" s="833"/>
      <c r="DW43" s="833"/>
      <c r="DX43" s="713">
        <f>IF(DV43=0,0,(DW43-DV43)/DV43*100)</f>
        <v>0</v>
      </c>
      <c r="DY43" s="833"/>
      <c r="DZ43" s="833"/>
      <c r="EA43" s="713">
        <f>IF(DY43=0,0,(DZ43-DY43)/DY43*100)</f>
        <v>0</v>
      </c>
      <c r="EB43" s="833"/>
      <c r="EC43" s="833"/>
      <c r="ED43" s="713">
        <f>IF(EB43=0,0,(EC43-EB43)/EB43*100)</f>
        <v>0</v>
      </c>
      <c r="EE43" s="833"/>
      <c r="EF43" s="833"/>
      <c r="EG43" s="713">
        <f>IF(EE43=0,0,(EF43-EE43)/EE43*100)</f>
        <v>0</v>
      </c>
      <c r="EH43" s="833"/>
      <c r="EI43" s="833"/>
      <c r="EJ43" s="713">
        <f>IF(EH43=0,0,(EI43-EH43)/EH43*100)</f>
        <v>0</v>
      </c>
      <c r="EK43" s="833"/>
      <c r="EL43" s="833"/>
      <c r="EM43" s="713">
        <f>IF(EK43=0,0,(EL43-EK43)/EK43*100)</f>
        <v>0</v>
      </c>
      <c r="EN43" s="833"/>
      <c r="EO43" s="833"/>
      <c r="EP43" s="713">
        <f>IF(EN43=0,0,(EO43-EN43)/EN43*100)</f>
        <v>0</v>
      </c>
      <c r="EQ43" s="833"/>
      <c r="ER43" s="833"/>
      <c r="ES43" s="713">
        <f>IF(EQ43=0,0,(ER43-EQ43)/EQ43*100)</f>
        <v>0</v>
      </c>
      <c r="ET43" s="833"/>
      <c r="EU43" s="833"/>
      <c r="EV43" s="713">
        <f>IF(ET43=0,0,(EU43-ET43)/ET43*100)</f>
        <v>0</v>
      </c>
      <c r="EW43" s="833"/>
      <c r="EX43" s="833"/>
      <c r="EY43" s="713">
        <f>IF(EW43=0,0,(EX43-EW43)/EW43*100)</f>
        <v>0</v>
      </c>
      <c r="EZ43" s="833"/>
      <c r="FA43" s="833"/>
      <c r="FB43" s="713">
        <f>IF(EZ43=0,0,(FA43-EZ43)/EZ43*100)</f>
        <v>0</v>
      </c>
      <c r="FC43" s="833"/>
      <c r="FD43" s="833"/>
      <c r="FE43" s="713">
        <f>IF(FC43=0,0,(FD43-FC43)/FC43*100)</f>
        <v>0</v>
      </c>
      <c r="FF43" s="833"/>
      <c r="FG43" s="833"/>
      <c r="FH43" s="713">
        <f>IF(FF43=0,0,(FG43-FF43)/FF43*100)</f>
        <v>0</v>
      </c>
      <c r="FI43" s="833"/>
      <c r="FJ43" s="833"/>
      <c r="FK43" s="713">
        <f>IF(FI43=0,0,(FJ43-FI43)/FI43*100)</f>
        <v>0</v>
      </c>
      <c r="FL43" s="833"/>
      <c r="FM43" s="833"/>
      <c r="FN43" s="713">
        <f>IF(FL43=0,0,(FM43-FL43)/FL43*100)</f>
        <v>0</v>
      </c>
      <c r="FO43" s="833"/>
      <c r="FP43" s="833"/>
      <c r="FQ43" s="713">
        <f>IF(FO43=0,0,(FP43-FO43)/FO43*100)</f>
        <v>0</v>
      </c>
      <c r="FR43" s="833"/>
      <c r="FS43" s="833"/>
      <c r="FT43" s="713">
        <f>IF(FR43=0,0,(FS43-FR43)/FR43*100)</f>
        <v>0</v>
      </c>
      <c r="FU43" s="833"/>
      <c r="FV43" s="833"/>
      <c r="FW43" s="713">
        <f>IF(FU43=0,0,(FV43-FU43)/FU43*100)</f>
        <v>0</v>
      </c>
      <c r="FX43" s="203"/>
      <c r="FZ43" s="689" t="s">
        <v>1675</v>
      </c>
      <c r="GA43" s="669" t="s">
        <v>1673</v>
      </c>
      <c r="GB43" s="669" cm="1">
        <f t="array" ref="GB43">GB42</f>
        <v>0</v>
      </c>
    </row>
    <row r="44" spans="1:186" ht="14.65" hidden="1" customHeight="1">
      <c r="A44" s="59"/>
      <c r="B44" s="611" t="b" cm="1">
        <f t="array" ref="B44">B43</f>
        <v>0</v>
      </c>
      <c r="C44" s="59"/>
      <c r="D44" s="59"/>
      <c r="E44" s="460">
        <v>15</v>
      </c>
      <c r="F44" s="3" cm="1">
        <f t="array" aca="1" ref="F44" ca="1">OFFSET(E44,-1,1)</f>
        <v>0</v>
      </c>
      <c r="G44" s="59"/>
      <c r="H44" s="59"/>
      <c r="I44" s="17" t="s">
        <v>1676</v>
      </c>
      <c r="J44" s="59"/>
      <c r="K44" s="59"/>
      <c r="L44" s="59"/>
      <c r="M44" s="59"/>
      <c r="N44" s="59"/>
      <c r="O44" s="59"/>
      <c r="P44" s="59"/>
      <c r="Q44" s="59"/>
      <c r="R44" s="4"/>
      <c r="S44" s="59"/>
      <c r="T44" s="351" t="b">
        <f ca="1">F44&gt;0</f>
        <v>0</v>
      </c>
      <c r="U44" s="59"/>
      <c r="W44" s="515" t="s">
        <v>1677</v>
      </c>
      <c r="X44" s="1046"/>
      <c r="Z44" s="1007"/>
      <c r="AB44" s="171" t="s">
        <v>175</v>
      </c>
      <c r="AC44" s="175"/>
      <c r="AD44" s="715"/>
      <c r="AE44" s="715"/>
      <c r="AF44" s="715"/>
      <c r="AG44" s="715"/>
      <c r="AH44" s="715"/>
      <c r="AI44" s="715"/>
      <c r="AJ44" s="715"/>
      <c r="AK44" s="715"/>
      <c r="AL44" s="715"/>
      <c r="AM44" s="715"/>
      <c r="AN44" s="715"/>
      <c r="AO44" s="715"/>
      <c r="AP44" s="715"/>
      <c r="AQ44" s="715"/>
      <c r="AR44" s="715"/>
      <c r="AS44" s="715"/>
      <c r="AT44" s="715"/>
      <c r="AU44" s="715"/>
      <c r="AV44" s="715"/>
      <c r="AW44" s="715"/>
      <c r="AX44" s="715"/>
      <c r="AY44" s="715"/>
      <c r="AZ44" s="715"/>
      <c r="BA44" s="715"/>
      <c r="BB44" s="715"/>
      <c r="BC44" s="715"/>
      <c r="BD44" s="715"/>
      <c r="BE44" s="715"/>
      <c r="BF44" s="715"/>
      <c r="BG44" s="715"/>
      <c r="BH44" s="715"/>
      <c r="BI44" s="715"/>
      <c r="BJ44" s="715"/>
      <c r="BK44" s="715"/>
      <c r="BL44" s="715"/>
      <c r="BM44" s="715"/>
      <c r="BN44" s="715"/>
      <c r="BO44" s="715"/>
      <c r="BP44" s="715"/>
      <c r="BQ44" s="715"/>
      <c r="BR44" s="715"/>
      <c r="BS44" s="715"/>
      <c r="BT44" s="715"/>
      <c r="BU44" s="715"/>
      <c r="BV44" s="715"/>
      <c r="BW44" s="715"/>
      <c r="BX44" s="715"/>
      <c r="BY44" s="715"/>
      <c r="BZ44" s="715"/>
      <c r="CA44" s="715"/>
      <c r="CB44" s="715"/>
      <c r="CC44" s="715"/>
      <c r="CD44" s="715"/>
      <c r="CE44" s="715"/>
      <c r="CF44" s="715"/>
      <c r="CG44" s="715"/>
      <c r="CH44" s="715"/>
      <c r="CI44" s="715"/>
      <c r="CJ44" s="715"/>
      <c r="CK44" s="715"/>
      <c r="CL44" s="715"/>
      <c r="CM44" s="715"/>
      <c r="CN44" s="715"/>
      <c r="CO44" s="715"/>
      <c r="CP44" s="715"/>
      <c r="CQ44" s="715"/>
      <c r="CR44" s="715"/>
      <c r="CS44" s="715"/>
      <c r="CT44" s="715"/>
      <c r="CU44" s="715"/>
      <c r="CV44" s="715"/>
      <c r="CW44" s="715"/>
      <c r="CX44" s="715"/>
      <c r="CY44" s="715"/>
      <c r="CZ44" s="715"/>
      <c r="DA44" s="715"/>
      <c r="DB44" s="715"/>
      <c r="DC44" s="715"/>
      <c r="DD44" s="715"/>
      <c r="DE44" s="715"/>
      <c r="DF44" s="715"/>
      <c r="DG44" s="715"/>
      <c r="DH44" s="715"/>
      <c r="DI44" s="715"/>
      <c r="DJ44" s="715"/>
      <c r="DK44" s="715"/>
      <c r="DL44" s="715"/>
      <c r="DM44" s="715"/>
      <c r="DN44" s="715"/>
      <c r="DO44" s="715"/>
      <c r="DP44" s="715"/>
      <c r="DQ44" s="715"/>
      <c r="DR44" s="715"/>
      <c r="DS44" s="715"/>
      <c r="DT44" s="715"/>
      <c r="DU44" s="715"/>
      <c r="DV44" s="715"/>
      <c r="DW44" s="715"/>
      <c r="DX44" s="715"/>
      <c r="DY44" s="715"/>
      <c r="DZ44" s="715"/>
      <c r="EA44" s="715"/>
      <c r="EB44" s="715"/>
      <c r="EC44" s="715"/>
      <c r="ED44" s="715"/>
      <c r="EE44" s="715"/>
      <c r="EF44" s="715"/>
      <c r="EG44" s="715"/>
      <c r="EH44" s="715"/>
      <c r="EI44" s="715"/>
      <c r="EJ44" s="715"/>
      <c r="EK44" s="715"/>
      <c r="EL44" s="715"/>
      <c r="EM44" s="715"/>
      <c r="EN44" s="715"/>
      <c r="EO44" s="715"/>
      <c r="EP44" s="715"/>
      <c r="EQ44" s="715"/>
      <c r="ER44" s="715"/>
      <c r="ES44" s="715"/>
      <c r="ET44" s="715"/>
      <c r="EU44" s="715"/>
      <c r="EV44" s="715"/>
      <c r="EW44" s="715"/>
      <c r="EX44" s="715"/>
      <c r="EY44" s="715"/>
      <c r="EZ44" s="715"/>
      <c r="FA44" s="715"/>
      <c r="FB44" s="715"/>
      <c r="FC44" s="715"/>
      <c r="FD44" s="715"/>
      <c r="FE44" s="715"/>
      <c r="FF44" s="715"/>
      <c r="FG44" s="715"/>
      <c r="FH44" s="715"/>
      <c r="FI44" s="715"/>
      <c r="FJ44" s="715"/>
      <c r="FK44" s="715"/>
      <c r="FL44" s="715"/>
      <c r="FM44" s="715"/>
      <c r="FN44" s="715"/>
      <c r="FO44" s="715"/>
      <c r="FP44" s="715"/>
      <c r="FQ44" s="715"/>
      <c r="FR44" s="715"/>
      <c r="FS44" s="715"/>
      <c r="FT44" s="715"/>
      <c r="FU44" s="715"/>
      <c r="FV44" s="715"/>
      <c r="FW44" s="716"/>
      <c r="FZ44" s="689" t="s">
        <v>124</v>
      </c>
      <c r="GC44" s="459" t="s">
        <v>1673</v>
      </c>
    </row>
    <row r="45" spans="1:186" ht="14.65" hidden="1" customHeight="1">
      <c r="A45" s="59"/>
      <c r="B45" s="611" t="b">
        <f>AND(R29="двухставочный",NOT(S29))</f>
        <v>0</v>
      </c>
      <c r="C45" s="59"/>
      <c r="D45" s="59"/>
      <c r="E45" s="460">
        <v>15</v>
      </c>
      <c r="F45" s="3" cm="1">
        <f t="array" aca="1" ref="F45" ca="1">OFFSET(E45,-1,1)</f>
        <v>0</v>
      </c>
      <c r="G45" s="59"/>
      <c r="H45" s="59"/>
      <c r="I45" s="59"/>
      <c r="J45" s="59"/>
      <c r="K45" s="59"/>
      <c r="L45" s="59"/>
      <c r="M45" s="59"/>
      <c r="N45" s="59"/>
      <c r="O45" s="59"/>
      <c r="P45" s="59"/>
      <c r="Q45" s="59"/>
      <c r="R45" s="4"/>
      <c r="S45" s="59"/>
      <c r="T45" s="351" t="b" cm="1">
        <f t="array" aca="1" ref="T45" ca="1">T44</f>
        <v>0</v>
      </c>
      <c r="U45" s="59"/>
      <c r="V45" s="59"/>
      <c r="W45" s="59"/>
      <c r="X45" s="1046"/>
      <c r="Y45" s="59"/>
      <c r="Z45" s="1007"/>
      <c r="AA45" s="59"/>
      <c r="AB45" s="590" t="s">
        <v>1678</v>
      </c>
      <c r="AC45" s="59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1"/>
      <c r="FD45" s="201"/>
      <c r="FE45" s="201"/>
      <c r="FF45" s="201"/>
      <c r="FG45" s="201"/>
      <c r="FH45" s="201"/>
      <c r="FI45" s="201"/>
      <c r="FJ45" s="201"/>
      <c r="FK45" s="201"/>
      <c r="FL45" s="201"/>
      <c r="FM45" s="201"/>
      <c r="FN45" s="201"/>
      <c r="FO45" s="201"/>
      <c r="FP45" s="201"/>
      <c r="FQ45" s="201"/>
      <c r="FR45" s="201"/>
      <c r="FS45" s="201"/>
      <c r="FT45" s="201"/>
      <c r="FU45" s="201"/>
      <c r="FV45" s="201"/>
      <c r="FW45" s="202"/>
      <c r="FZ45" s="689" t="s">
        <v>124</v>
      </c>
    </row>
    <row r="46" spans="1:186" ht="23.85" hidden="1" customHeight="1">
      <c r="A46" s="59"/>
      <c r="B46" s="611" t="b" cm="1">
        <f t="array" ref="B46">B45</f>
        <v>0</v>
      </c>
      <c r="C46" s="59"/>
      <c r="D46" s="59"/>
      <c r="E46" s="460">
        <v>24.5</v>
      </c>
      <c r="F46" s="3" cm="1">
        <f t="array" aca="1" ref="F46" ca="1">OFFSET(E46,-1,1)</f>
        <v>0</v>
      </c>
      <c r="G46" s="59"/>
      <c r="H46" s="59"/>
      <c r="I46" s="59"/>
      <c r="J46" s="59"/>
      <c r="K46" s="59"/>
      <c r="L46" s="59"/>
      <c r="M46" s="59"/>
      <c r="N46" s="59"/>
      <c r="O46" s="59"/>
      <c r="P46" s="59"/>
      <c r="Q46" s="59"/>
      <c r="R46" s="59"/>
      <c r="S46" s="59"/>
      <c r="T46" s="351" t="b" cm="1">
        <f t="array" aca="1" ref="T46" ca="1">T45</f>
        <v>0</v>
      </c>
      <c r="U46" s="59"/>
      <c r="V46" s="59"/>
      <c r="W46" s="59"/>
      <c r="X46" s="1046"/>
      <c r="Y46" s="59"/>
      <c r="Z46" s="1007"/>
      <c r="AA46" s="59"/>
      <c r="AB46" s="204" t="s">
        <v>1679</v>
      </c>
      <c r="AC46" s="595"/>
      <c r="AD46" s="717"/>
      <c r="AE46" s="717"/>
      <c r="AF46" s="717"/>
      <c r="AG46" s="717"/>
      <c r="AH46" s="717"/>
      <c r="AI46" s="717"/>
      <c r="AJ46" s="717"/>
      <c r="AK46" s="717"/>
      <c r="AL46" s="717"/>
      <c r="AM46" s="717"/>
      <c r="AN46" s="717"/>
      <c r="AO46" s="717"/>
      <c r="AP46" s="717"/>
      <c r="AQ46" s="717"/>
      <c r="AR46" s="717"/>
      <c r="AS46" s="717"/>
      <c r="AT46" s="717"/>
      <c r="AU46" s="717"/>
      <c r="AV46" s="717"/>
      <c r="AW46" s="717"/>
      <c r="AX46" s="717"/>
      <c r="AY46" s="717"/>
      <c r="AZ46" s="717"/>
      <c r="BA46" s="717"/>
      <c r="BB46" s="717"/>
      <c r="BC46" s="717"/>
      <c r="BD46" s="717"/>
      <c r="BE46" s="717"/>
      <c r="BF46" s="717"/>
      <c r="BG46" s="717"/>
      <c r="BH46" s="717"/>
      <c r="BI46" s="717"/>
      <c r="BJ46" s="717"/>
      <c r="BK46" s="717"/>
      <c r="BL46" s="717"/>
      <c r="BM46" s="717"/>
      <c r="BN46" s="717"/>
      <c r="BO46" s="717"/>
      <c r="BP46" s="717"/>
      <c r="BQ46" s="717"/>
      <c r="BR46" s="717"/>
      <c r="BS46" s="717"/>
      <c r="BT46" s="717"/>
      <c r="BU46" s="717"/>
      <c r="BV46" s="717"/>
      <c r="BW46" s="717"/>
      <c r="BX46" s="717"/>
      <c r="BY46" s="717"/>
      <c r="BZ46" s="717"/>
      <c r="CA46" s="717"/>
      <c r="CB46" s="717"/>
      <c r="CC46" s="717"/>
      <c r="CD46" s="717"/>
      <c r="CE46" s="717"/>
      <c r="CF46" s="717"/>
      <c r="CG46" s="717"/>
      <c r="CH46" s="717"/>
      <c r="CI46" s="717"/>
      <c r="CJ46" s="717"/>
      <c r="CK46" s="717"/>
      <c r="CL46" s="717"/>
      <c r="CM46" s="717"/>
      <c r="CN46" s="717"/>
      <c r="CO46" s="717"/>
      <c r="CP46" s="717"/>
      <c r="CQ46" s="717"/>
      <c r="CR46" s="717"/>
      <c r="CS46" s="717"/>
      <c r="CT46" s="717"/>
      <c r="CU46" s="717"/>
      <c r="CV46" s="717"/>
      <c r="CW46" s="717"/>
      <c r="CX46" s="717"/>
      <c r="CY46" s="717"/>
      <c r="CZ46" s="717"/>
      <c r="DA46" s="717"/>
      <c r="DB46" s="717"/>
      <c r="DC46" s="717"/>
      <c r="DD46" s="717"/>
      <c r="DE46" s="717"/>
      <c r="DF46" s="717"/>
      <c r="DG46" s="717"/>
      <c r="DH46" s="717"/>
      <c r="DI46" s="717"/>
      <c r="DJ46" s="717"/>
      <c r="DK46" s="717"/>
      <c r="DL46" s="717"/>
      <c r="DM46" s="717"/>
      <c r="DN46" s="717"/>
      <c r="DO46" s="717"/>
      <c r="DP46" s="717"/>
      <c r="DQ46" s="717"/>
      <c r="DR46" s="717"/>
      <c r="DS46" s="717"/>
      <c r="DT46" s="717"/>
      <c r="DU46" s="717"/>
      <c r="DV46" s="717"/>
      <c r="DW46" s="717"/>
      <c r="DX46" s="717"/>
      <c r="DY46" s="717"/>
      <c r="DZ46" s="717"/>
      <c r="EA46" s="717"/>
      <c r="EB46" s="717"/>
      <c r="EC46" s="717"/>
      <c r="ED46" s="717"/>
      <c r="EE46" s="717"/>
      <c r="EF46" s="717"/>
      <c r="EG46" s="717"/>
      <c r="EH46" s="717"/>
      <c r="EI46" s="717"/>
      <c r="EJ46" s="717"/>
      <c r="EK46" s="717"/>
      <c r="EL46" s="717"/>
      <c r="EM46" s="717"/>
      <c r="EN46" s="717"/>
      <c r="EO46" s="717"/>
      <c r="EP46" s="717"/>
      <c r="EQ46" s="717"/>
      <c r="ER46" s="717"/>
      <c r="ES46" s="717"/>
      <c r="ET46" s="717"/>
      <c r="EU46" s="717"/>
      <c r="EV46" s="717"/>
      <c r="EW46" s="717"/>
      <c r="EX46" s="717"/>
      <c r="EY46" s="717"/>
      <c r="EZ46" s="717"/>
      <c r="FA46" s="717"/>
      <c r="FB46" s="717"/>
      <c r="FC46" s="717"/>
      <c r="FD46" s="717"/>
      <c r="FE46" s="717"/>
      <c r="FF46" s="717"/>
      <c r="FG46" s="717"/>
      <c r="FH46" s="717"/>
      <c r="FI46" s="717"/>
      <c r="FJ46" s="717"/>
      <c r="FK46" s="717"/>
      <c r="FL46" s="717"/>
      <c r="FM46" s="717"/>
      <c r="FN46" s="717"/>
      <c r="FO46" s="717"/>
      <c r="FP46" s="717"/>
      <c r="FQ46" s="717"/>
      <c r="FR46" s="717"/>
      <c r="FS46" s="717"/>
      <c r="FT46" s="717"/>
      <c r="FU46" s="717"/>
      <c r="FV46" s="717"/>
      <c r="FW46" s="718"/>
      <c r="FZ46" s="689" t="s">
        <v>124</v>
      </c>
    </row>
    <row r="47" spans="1:186" ht="14.65" hidden="1" customHeight="1">
      <c r="A47" s="59"/>
      <c r="B47" s="611" t="b" cm="1">
        <f t="array" ref="B47">B46</f>
        <v>0</v>
      </c>
      <c r="C47" s="59"/>
      <c r="D47" s="59"/>
      <c r="E47" s="460">
        <v>15</v>
      </c>
      <c r="F47" s="3" cm="1">
        <f t="array" aca="1" ref="F47" ca="1">OFFSET(E47,-1,1)</f>
        <v>0</v>
      </c>
      <c r="G47" s="59"/>
      <c r="H47" s="59" t="s">
        <v>1604</v>
      </c>
      <c r="I47" s="59" t="s">
        <v>1645</v>
      </c>
      <c r="J47" s="59"/>
      <c r="K47" s="59"/>
      <c r="L47" s="59"/>
      <c r="M47" s="59"/>
      <c r="N47" s="59"/>
      <c r="O47" s="59"/>
      <c r="P47" s="59"/>
      <c r="Q47" s="59"/>
      <c r="R47" s="59"/>
      <c r="S47" s="59"/>
      <c r="T47" s="351" t="b" cm="1">
        <f t="array" aca="1" ref="T47" ca="1">T46</f>
        <v>0</v>
      </c>
      <c r="U47" s="59"/>
      <c r="V47" s="59"/>
      <c r="W47" s="59"/>
      <c r="X47" s="1046"/>
      <c r="Y47" s="59"/>
      <c r="Z47" s="1007"/>
      <c r="AA47" s="59"/>
      <c r="AB47" s="105" t="s">
        <v>1680</v>
      </c>
      <c r="AC47" s="12" t="s">
        <v>1647</v>
      </c>
      <c r="AD47" s="817">
        <f ca="1">IF(AD49=0,0,(AD48*AD49+AD50*AD51*IF(god=2026,9,6))/AD49)</f>
        <v>0</v>
      </c>
      <c r="AE47" s="817">
        <f ca="1">IF(AE49=0,0,(AE48*AE49+AE50*AE51*IF(god=2026,9,6))/AE49)</f>
        <v>0</v>
      </c>
      <c r="AF47" s="712">
        <f ca="1">IF(AD47=0,0,(AE47-AD47)/AD47*100)</f>
        <v>0</v>
      </c>
      <c r="AG47" s="57">
        <f ca="1">IF(AG49=0,0,(AG48*AG49+AG50*AG51*IF(god=2025,9,6))/AG49)</f>
        <v>0</v>
      </c>
      <c r="AH47" s="57">
        <f ca="1">IF(AH49=0,0,(AH48*AH49+AH50*AH51*IF(god=2025,9,6))/AH49)</f>
        <v>0</v>
      </c>
      <c r="AI47" s="712">
        <f ca="1">IF(AG47=0,0,(AH47-AG47)/AG47*100)</f>
        <v>0</v>
      </c>
      <c r="AJ47" s="57">
        <f ca="1">IF(AJ49=0,0,(AJ48*AJ49+AJ50*AJ51*6)/AJ49)</f>
        <v>0</v>
      </c>
      <c r="AK47" s="57">
        <f ca="1">IF(AK49=0,0,(AK48*AK49+AK50*AK51*6)/AK49)</f>
        <v>0</v>
      </c>
      <c r="AL47" s="712">
        <f ca="1">IF(AJ47=0,0,(AK47-AJ47)/AJ47*100)</f>
        <v>0</v>
      </c>
      <c r="AM47" s="817">
        <f ca="1">IF(AM49=0,0,(AM48*AM49+AM50*AM51*6)/AM49)</f>
        <v>0</v>
      </c>
      <c r="AN47" s="817">
        <f ca="1">IF(AN49=0,0,(AN48*AN49+AN50*AN51*6)/AN49)</f>
        <v>0</v>
      </c>
      <c r="AO47" s="712">
        <f ca="1">IF(AM47=0,0,(AN47-AM47)/AM47*100)</f>
        <v>0</v>
      </c>
      <c r="AP47" s="817">
        <f ca="1">IF(AP49=0,0,(AP48*AP49+AP50*AP51*6)/AP49)</f>
        <v>0</v>
      </c>
      <c r="AQ47" s="817">
        <f ca="1">IF(AQ49=0,0,(AQ48*AQ49+AQ50*AQ51*6)/AQ49)</f>
        <v>0</v>
      </c>
      <c r="AR47" s="712">
        <f ca="1">IF(AP47=0,0,(AQ47-AP47)/AP47*100)</f>
        <v>0</v>
      </c>
      <c r="AS47" s="817">
        <f ca="1">IF(AS49=0,0,(AS48*AS49+AS50*AS51*6)/AS49)</f>
        <v>0</v>
      </c>
      <c r="AT47" s="817">
        <f ca="1">IF(AT49=0,0,(AT48*AT49+AT50*AT51*6)/AT49)</f>
        <v>0</v>
      </c>
      <c r="AU47" s="712">
        <f ca="1">IF(AS47=0,0,(AT47-AS47)/AS47*100)</f>
        <v>0</v>
      </c>
      <c r="AV47" s="817">
        <f ca="1">IF(AV49=0,0,(AV48*AV49+AV50*AV51*6)/AV49)</f>
        <v>0</v>
      </c>
      <c r="AW47" s="817">
        <f ca="1">IF(AW49=0,0,(AW48*AW49+AW50*AW51*6)/AW49)</f>
        <v>0</v>
      </c>
      <c r="AX47" s="712">
        <f ca="1">IF(AV47=0,0,(AW47-AV47)/AV47*100)</f>
        <v>0</v>
      </c>
      <c r="AY47" s="817">
        <f ca="1">IF(AY49=0,0,(AY48*AY49+AY50*AY51*6)/AY49)</f>
        <v>0</v>
      </c>
      <c r="AZ47" s="817">
        <f ca="1">IF(AZ49=0,0,(AZ48*AZ49+AZ50*AZ51*6)/AZ49)</f>
        <v>0</v>
      </c>
      <c r="BA47" s="712">
        <f ca="1">IF(AY47=0,0,(AZ47-AY47)/AY47*100)</f>
        <v>0</v>
      </c>
      <c r="BB47" s="817">
        <f ca="1">IF(BB49=0,0,(BB48*BB49+BB50*BB51*6)/BB49)</f>
        <v>0</v>
      </c>
      <c r="BC47" s="817">
        <f ca="1">IF(BC49=0,0,(BC48*BC49+BC50*BC51*6)/BC49)</f>
        <v>0</v>
      </c>
      <c r="BD47" s="712">
        <f ca="1">IF(BB47=0,0,(BC47-BB47)/BB47*100)</f>
        <v>0</v>
      </c>
      <c r="BE47" s="817">
        <f ca="1">IF(BE49=0,0,(BE48*BE49+BE50*BE51*6)/BE49)</f>
        <v>0</v>
      </c>
      <c r="BF47" s="817">
        <f ca="1">IF(BF49=0,0,(BF48*BF49+BF50*BF51*6)/BF49)</f>
        <v>0</v>
      </c>
      <c r="BG47" s="712">
        <f ca="1">IF(BE47=0,0,(BF47-BE47)/BE47*100)</f>
        <v>0</v>
      </c>
      <c r="BH47" s="817">
        <f>IF(BH49=0,0,(BH48*BH49+BH50*BH51*6)/BH49)</f>
        <v>0</v>
      </c>
      <c r="BI47" s="817">
        <f>IF(BI49=0,0,(BI48*BI49+BI50*BI51*6)/BI49)</f>
        <v>0</v>
      </c>
      <c r="BJ47" s="712">
        <f>IF(BH47=0,0,(BI47-BH47)/BH47*100)</f>
        <v>0</v>
      </c>
      <c r="BK47" s="817">
        <f>IF(BK49=0,0,(BK48*BK49+BK50*BK51*6)/BK49)</f>
        <v>0</v>
      </c>
      <c r="BL47" s="817">
        <f>IF(BL49=0,0,(BL48*BL49+BL50*BL51*6)/BL49)</f>
        <v>0</v>
      </c>
      <c r="BM47" s="712">
        <f>IF(BK47=0,0,(BL47-BK47)/BK47*100)</f>
        <v>0</v>
      </c>
      <c r="BN47" s="817">
        <f>IF(BN49=0,0,(BN48*BN49+BN50*BN51*6)/BN49)</f>
        <v>0</v>
      </c>
      <c r="BO47" s="817">
        <f>IF(BO49=0,0,(BO48*BO49+BO50*BO51*6)/BO49)</f>
        <v>0</v>
      </c>
      <c r="BP47" s="712">
        <f>IF(BN47=0,0,(BO47-BN47)/BN47*100)</f>
        <v>0</v>
      </c>
      <c r="BQ47" s="817">
        <f>IF(BQ49=0,0,(BQ48*BQ49+BQ50*BQ51*6)/BQ49)</f>
        <v>0</v>
      </c>
      <c r="BR47" s="817">
        <f>IF(BR49=0,0,(BR48*BR49+BR50*BR51*6)/BR49)</f>
        <v>0</v>
      </c>
      <c r="BS47" s="712">
        <f>IF(BQ47=0,0,(BR47-BQ47)/BQ47*100)</f>
        <v>0</v>
      </c>
      <c r="BT47" s="817">
        <f>IF(BT49=0,0,(BT48*BT49+BT50*BT51*6)/BT49)</f>
        <v>0</v>
      </c>
      <c r="BU47" s="817">
        <f>IF(BU49=0,0,(BU48*BU49+BU50*BU51*6)/BU49)</f>
        <v>0</v>
      </c>
      <c r="BV47" s="712">
        <f>IF(BT47=0,0,(BU47-BT47)/BT47*100)</f>
        <v>0</v>
      </c>
      <c r="BW47" s="817">
        <f>IF(BW49=0,0,(BW48*BW49+BW50*BW51*6)/BW49)</f>
        <v>0</v>
      </c>
      <c r="BX47" s="817">
        <f>IF(BX49=0,0,(BX48*BX49+BX50*BX51*6)/BX49)</f>
        <v>0</v>
      </c>
      <c r="BY47" s="712">
        <f>IF(BW47=0,0,(BX47-BW47)/BW47*100)</f>
        <v>0</v>
      </c>
      <c r="BZ47" s="817">
        <f>IF(BZ49=0,0,(BZ48*BZ49+BZ50*BZ51*6)/BZ49)</f>
        <v>0</v>
      </c>
      <c r="CA47" s="817">
        <f>IF(CA49=0,0,(CA48*CA49+CA50*CA51*6)/CA49)</f>
        <v>0</v>
      </c>
      <c r="CB47" s="712">
        <f>IF(BZ47=0,0,(CA47-BZ47)/BZ47*100)</f>
        <v>0</v>
      </c>
      <c r="CC47" s="817">
        <f>IF(CC49=0,0,(CC48*CC49+CC50*CC51*6)/CC49)</f>
        <v>0</v>
      </c>
      <c r="CD47" s="817">
        <f>IF(CD49=0,0,(CD48*CD49+CD50*CD51*6)/CD49)</f>
        <v>0</v>
      </c>
      <c r="CE47" s="712">
        <f>IF(CC47=0,0,(CD47-CC47)/CC47*100)</f>
        <v>0</v>
      </c>
      <c r="CF47" s="817">
        <f>IF(CF49=0,0,(CF48*CF49+CF50*CF51*6)/CF49)</f>
        <v>0</v>
      </c>
      <c r="CG47" s="817">
        <f>IF(CG49=0,0,(CG48*CG49+CG50*CG51*6)/CG49)</f>
        <v>0</v>
      </c>
      <c r="CH47" s="712">
        <f>IF(CF47=0,0,(CG47-CF47)/CF47*100)</f>
        <v>0</v>
      </c>
      <c r="CI47" s="817">
        <f>IF(CI49=0,0,(CI48*CI49+CI50*CI51*6)/CI49)</f>
        <v>0</v>
      </c>
      <c r="CJ47" s="817">
        <f>IF(CJ49=0,0,(CJ48*CJ49+CJ50*CJ51*6)/CJ49)</f>
        <v>0</v>
      </c>
      <c r="CK47" s="712">
        <f>IF(CI47=0,0,(CJ47-CI47)/CI47*100)</f>
        <v>0</v>
      </c>
      <c r="CL47" s="817">
        <f>IF(CL49=0,0,(CL48*CL49+CL50*CL51*6)/CL49)</f>
        <v>0</v>
      </c>
      <c r="CM47" s="817">
        <f>IF(CM49=0,0,(CM48*CM49+CM50*CM51*6)/CM49)</f>
        <v>0</v>
      </c>
      <c r="CN47" s="712">
        <f>IF(CL47=0,0,(CM47-CL47)/CL47*100)</f>
        <v>0</v>
      </c>
      <c r="CO47" s="817">
        <f>IF(CO49=0,0,(CO48*CO49+CO50*CO51*6)/CO49)</f>
        <v>0</v>
      </c>
      <c r="CP47" s="817">
        <f>IF(CP49=0,0,(CP48*CP49+CP50*CP51*6)/CP49)</f>
        <v>0</v>
      </c>
      <c r="CQ47" s="712">
        <f>IF(CO47=0,0,(CP47-CO47)/CO47*100)</f>
        <v>0</v>
      </c>
      <c r="CR47" s="817">
        <f>IF(CR49=0,0,(CR48*CR49+CR50*CR51*6)/CR49)</f>
        <v>0</v>
      </c>
      <c r="CS47" s="817">
        <f>IF(CS49=0,0,(CS48*CS49+CS50*CS51*6)/CS49)</f>
        <v>0</v>
      </c>
      <c r="CT47" s="712">
        <f>IF(CR47=0,0,(CS47-CR47)/CR47*100)</f>
        <v>0</v>
      </c>
      <c r="CU47" s="817">
        <f>IF(CU49=0,0,(CU48*CU49+CU50*CU51*6)/CU49)</f>
        <v>0</v>
      </c>
      <c r="CV47" s="817">
        <f>IF(CV49=0,0,(CV48*CV49+CV50*CV51*6)/CV49)</f>
        <v>0</v>
      </c>
      <c r="CW47" s="712">
        <f>IF(CU47=0,0,(CV47-CU47)/CU47*100)</f>
        <v>0</v>
      </c>
      <c r="CX47" s="817">
        <f>IF(CX49=0,0,(CX48*CX49+CX50*CX51*6)/CX49)</f>
        <v>0</v>
      </c>
      <c r="CY47" s="817">
        <f>IF(CY49=0,0,(CY48*CY49+CY50*CY51*6)/CY49)</f>
        <v>0</v>
      </c>
      <c r="CZ47" s="712">
        <f>IF(CX47=0,0,(CY47-CX47)/CX47*100)</f>
        <v>0</v>
      </c>
      <c r="DA47" s="817">
        <f>IF(DA49=0,0,(DA48*DA49+DA50*DA51*6)/DA49)</f>
        <v>0</v>
      </c>
      <c r="DB47" s="817">
        <f>IF(DB49=0,0,(DB48*DB49+DB50*DB51*6)/DB49)</f>
        <v>0</v>
      </c>
      <c r="DC47" s="712">
        <f>IF(DA47=0,0,(DB47-DA47)/DA47*100)</f>
        <v>0</v>
      </c>
      <c r="DD47" s="817">
        <f>IF(DD49=0,0,(DD48*DD49+DD50*DD51*6)/DD49)</f>
        <v>0</v>
      </c>
      <c r="DE47" s="817">
        <f>IF(DE49=0,0,(DE48*DE49+DE50*DE51*6)/DE49)</f>
        <v>0</v>
      </c>
      <c r="DF47" s="712">
        <f>IF(DD47=0,0,(DE47-DD47)/DD47*100)</f>
        <v>0</v>
      </c>
      <c r="DG47" s="817">
        <f>IF(DG49=0,0,(DG48*DG49+DG50*DG51*6)/DG49)</f>
        <v>0</v>
      </c>
      <c r="DH47" s="817">
        <f>IF(DH49=0,0,(DH48*DH49+DH50*DH51*6)/DH49)</f>
        <v>0</v>
      </c>
      <c r="DI47" s="712">
        <f>IF(DG47=0,0,(DH47-DG47)/DG47*100)</f>
        <v>0</v>
      </c>
      <c r="DJ47" s="817">
        <f>IF(DJ49=0,0,(DJ48*DJ49+DJ50*DJ51*6)/DJ49)</f>
        <v>0</v>
      </c>
      <c r="DK47" s="817">
        <f>IF(DK49=0,0,(DK48*DK49+DK50*DK51*6)/DK49)</f>
        <v>0</v>
      </c>
      <c r="DL47" s="712">
        <f>IF(DJ47=0,0,(DK47-DJ47)/DJ47*100)</f>
        <v>0</v>
      </c>
      <c r="DM47" s="817">
        <f>IF(DM49=0,0,(DM48*DM49+DM50*DM51*6)/DM49)</f>
        <v>0</v>
      </c>
      <c r="DN47" s="817">
        <f>IF(DN49=0,0,(DN48*DN49+DN50*DN51*6)/DN49)</f>
        <v>0</v>
      </c>
      <c r="DO47" s="712">
        <f>IF(DM47=0,0,(DN47-DM47)/DM47*100)</f>
        <v>0</v>
      </c>
      <c r="DP47" s="817">
        <f>IF(DP49=0,0,(DP48*DP49+DP50*DP51*6)/DP49)</f>
        <v>0</v>
      </c>
      <c r="DQ47" s="817">
        <f>IF(DQ49=0,0,(DQ48*DQ49+DQ50*DQ51*6)/DQ49)</f>
        <v>0</v>
      </c>
      <c r="DR47" s="712">
        <f>IF(DP47=0,0,(DQ47-DP47)/DP47*100)</f>
        <v>0</v>
      </c>
      <c r="DS47" s="817">
        <f>IF(DS49=0,0,(DS48*DS49+DS50*DS51*6)/DS49)</f>
        <v>0</v>
      </c>
      <c r="DT47" s="817">
        <f>IF(DT49=0,0,(DT48*DT49+DT50*DT51*6)/DT49)</f>
        <v>0</v>
      </c>
      <c r="DU47" s="712">
        <f>IF(DS47=0,0,(DT47-DS47)/DS47*100)</f>
        <v>0</v>
      </c>
      <c r="DV47" s="817">
        <f>IF(DV49=0,0,(DV48*DV49+DV50*DV51*6)/DV49)</f>
        <v>0</v>
      </c>
      <c r="DW47" s="817">
        <f>IF(DW49=0,0,(DW48*DW49+DW50*DW51*6)/DW49)</f>
        <v>0</v>
      </c>
      <c r="DX47" s="712">
        <f>IF(DV47=0,0,(DW47-DV47)/DV47*100)</f>
        <v>0</v>
      </c>
      <c r="DY47" s="817">
        <f>IF(DY49=0,0,(DY48*DY49+DY50*DY51*6)/DY49)</f>
        <v>0</v>
      </c>
      <c r="DZ47" s="817">
        <f>IF(DZ49=0,0,(DZ48*DZ49+DZ50*DZ51*6)/DZ49)</f>
        <v>0</v>
      </c>
      <c r="EA47" s="712">
        <f>IF(DY47=0,0,(DZ47-DY47)/DY47*100)</f>
        <v>0</v>
      </c>
      <c r="EB47" s="817">
        <f>IF(EB49=0,0,(EB48*EB49+EB50*EB51*6)/EB49)</f>
        <v>0</v>
      </c>
      <c r="EC47" s="817">
        <f>IF(EC49=0,0,(EC48*EC49+EC50*EC51*6)/EC49)</f>
        <v>0</v>
      </c>
      <c r="ED47" s="712">
        <f>IF(EB47=0,0,(EC47-EB47)/EB47*100)</f>
        <v>0</v>
      </c>
      <c r="EE47" s="817">
        <f>IF(EE49=0,0,(EE48*EE49+EE50*EE51*6)/EE49)</f>
        <v>0</v>
      </c>
      <c r="EF47" s="817">
        <f>IF(EF49=0,0,(EF48*EF49+EF50*EF51*6)/EF49)</f>
        <v>0</v>
      </c>
      <c r="EG47" s="712">
        <f>IF(EE47=0,0,(EF47-EE47)/EE47*100)</f>
        <v>0</v>
      </c>
      <c r="EH47" s="817">
        <f>IF(EH49=0,0,(EH48*EH49+EH50*EH51*6)/EH49)</f>
        <v>0</v>
      </c>
      <c r="EI47" s="817">
        <f>IF(EI49=0,0,(EI48*EI49+EI50*EI51*6)/EI49)</f>
        <v>0</v>
      </c>
      <c r="EJ47" s="712">
        <f>IF(EH47=0,0,(EI47-EH47)/EH47*100)</f>
        <v>0</v>
      </c>
      <c r="EK47" s="817">
        <f>IF(EK49=0,0,(EK48*EK49+EK50*EK51*6)/EK49)</f>
        <v>0</v>
      </c>
      <c r="EL47" s="817">
        <f>IF(EL49=0,0,(EL48*EL49+EL50*EL51*6)/EL49)</f>
        <v>0</v>
      </c>
      <c r="EM47" s="712">
        <f>IF(EK47=0,0,(EL47-EK47)/EK47*100)</f>
        <v>0</v>
      </c>
      <c r="EN47" s="817">
        <f>IF(EN49=0,0,(EN48*EN49+EN50*EN51*6)/EN49)</f>
        <v>0</v>
      </c>
      <c r="EO47" s="817">
        <f>IF(EO49=0,0,(EO48*EO49+EO50*EO51*6)/EO49)</f>
        <v>0</v>
      </c>
      <c r="EP47" s="712">
        <f>IF(EN47=0,0,(EO47-EN47)/EN47*100)</f>
        <v>0</v>
      </c>
      <c r="EQ47" s="817">
        <f>IF(EQ49=0,0,(EQ48*EQ49+EQ50*EQ51*6)/EQ49)</f>
        <v>0</v>
      </c>
      <c r="ER47" s="817">
        <f>IF(ER49=0,0,(ER48*ER49+ER50*ER51*6)/ER49)</f>
        <v>0</v>
      </c>
      <c r="ES47" s="712">
        <f>IF(EQ47=0,0,(ER47-EQ47)/EQ47*100)</f>
        <v>0</v>
      </c>
      <c r="ET47" s="817">
        <f>IF(ET49=0,0,(ET48*ET49+ET50*ET51*6)/ET49)</f>
        <v>0</v>
      </c>
      <c r="EU47" s="817">
        <f>IF(EU49=0,0,(EU48*EU49+EU50*EU51*6)/EU49)</f>
        <v>0</v>
      </c>
      <c r="EV47" s="712">
        <f>IF(ET47=0,0,(EU47-ET47)/ET47*100)</f>
        <v>0</v>
      </c>
      <c r="EW47" s="817">
        <f>IF(EW49=0,0,(EW48*EW49+EW50*EW51*6)/EW49)</f>
        <v>0</v>
      </c>
      <c r="EX47" s="817">
        <f>IF(EX49=0,0,(EX48*EX49+EX50*EX51*6)/EX49)</f>
        <v>0</v>
      </c>
      <c r="EY47" s="712">
        <f>IF(EW47=0,0,(EX47-EW47)/EW47*100)</f>
        <v>0</v>
      </c>
      <c r="EZ47" s="817">
        <f>IF(EZ49=0,0,(EZ48*EZ49+EZ50*EZ51*6)/EZ49)</f>
        <v>0</v>
      </c>
      <c r="FA47" s="817">
        <f>IF(FA49=0,0,(FA48*FA49+FA50*FA51*6)/FA49)</f>
        <v>0</v>
      </c>
      <c r="FB47" s="712">
        <f>IF(EZ47=0,0,(FA47-EZ47)/EZ47*100)</f>
        <v>0</v>
      </c>
      <c r="FC47" s="817">
        <f>IF(FC49=0,0,(FC48*FC49+FC50*FC51*6)/FC49)</f>
        <v>0</v>
      </c>
      <c r="FD47" s="817">
        <f>IF(FD49=0,0,(FD48*FD49+FD50*FD51*6)/FD49)</f>
        <v>0</v>
      </c>
      <c r="FE47" s="712">
        <f>IF(FC47=0,0,(FD47-FC47)/FC47*100)</f>
        <v>0</v>
      </c>
      <c r="FF47" s="817">
        <f>IF(FF49=0,0,(FF48*FF49+FF50*FF51*6)/FF49)</f>
        <v>0</v>
      </c>
      <c r="FG47" s="817">
        <f>IF(FG49=0,0,(FG48*FG49+FG50*FG51*6)/FG49)</f>
        <v>0</v>
      </c>
      <c r="FH47" s="712">
        <f>IF(FF47=0,0,(FG47-FF47)/FF47*100)</f>
        <v>0</v>
      </c>
      <c r="FI47" s="817">
        <f>IF(FI49=0,0,(FI48*FI49+FI50*FI51*6)/FI49)</f>
        <v>0</v>
      </c>
      <c r="FJ47" s="817">
        <f>IF(FJ49=0,0,(FJ48*FJ49+FJ50*FJ51*6)/FJ49)</f>
        <v>0</v>
      </c>
      <c r="FK47" s="712">
        <f>IF(FI47=0,0,(FJ47-FI47)/FI47*100)</f>
        <v>0</v>
      </c>
      <c r="FL47" s="817">
        <f>IF(FL49=0,0,(FL48*FL49+FL50*FL51*6)/FL49)</f>
        <v>0</v>
      </c>
      <c r="FM47" s="817">
        <f>IF(FM49=0,0,(FM48*FM49+FM50*FM51*6)/FM49)</f>
        <v>0</v>
      </c>
      <c r="FN47" s="712">
        <f>IF(FL47=0,0,(FM47-FL47)/FL47*100)</f>
        <v>0</v>
      </c>
      <c r="FO47" s="817">
        <f>IF(FO49=0,0,(FO48*FO49+FO50*FO51*6)/FO49)</f>
        <v>0</v>
      </c>
      <c r="FP47" s="817">
        <f>IF(FP49=0,0,(FP48*FP49+FP50*FP51*6)/FP49)</f>
        <v>0</v>
      </c>
      <c r="FQ47" s="712">
        <f>IF(FO47=0,0,(FP47-FO47)/FO47*100)</f>
        <v>0</v>
      </c>
      <c r="FR47" s="817">
        <f>IF(FR49=0,0,(FR48*FR49+FR50*FR51*6)/FR49)</f>
        <v>0</v>
      </c>
      <c r="FS47" s="817">
        <f>IF(FS49=0,0,(FS48*FS49+FS50*FS51*6)/FS49)</f>
        <v>0</v>
      </c>
      <c r="FT47" s="712">
        <f>IF(FR47=0,0,(FS47-FR47)/FR47*100)</f>
        <v>0</v>
      </c>
      <c r="FU47" s="817">
        <f>IF(FU49=0,0,(FU48*FU49+FU50*FU51*6)/FU49)</f>
        <v>0</v>
      </c>
      <c r="FV47" s="817">
        <f>IF(FV49=0,0,(FV48*FV49+FV50*FV51*6)/FV49)</f>
        <v>0</v>
      </c>
      <c r="FW47" s="712">
        <f>IF(FU47=0,0,(FV47-FU47)/FU47*100)</f>
        <v>0</v>
      </c>
      <c r="FZ47" s="689" t="s">
        <v>1681</v>
      </c>
    </row>
    <row r="48" spans="1:186" ht="14.65" hidden="1" customHeight="1">
      <c r="A48" s="59"/>
      <c r="B48" s="611" t="b" cm="1">
        <f t="array" ref="B48">B47</f>
        <v>0</v>
      </c>
      <c r="C48" s="59"/>
      <c r="D48" s="59"/>
      <c r="E48" s="460">
        <v>15</v>
      </c>
      <c r="F48" s="3" cm="1">
        <f t="array" aca="1" ref="F48" ca="1">OFFSET(E48,-1,1)</f>
        <v>0</v>
      </c>
      <c r="G48" s="59"/>
      <c r="H48" s="59" t="s">
        <v>1608</v>
      </c>
      <c r="I48" s="59" t="s">
        <v>1645</v>
      </c>
      <c r="J48" s="59"/>
      <c r="K48" s="59"/>
      <c r="L48" s="59"/>
      <c r="M48" s="59"/>
      <c r="N48" s="59"/>
      <c r="O48" s="59"/>
      <c r="P48" s="59"/>
      <c r="Q48" s="59"/>
      <c r="R48" s="59"/>
      <c r="S48" s="59"/>
      <c r="T48" s="351" t="b" cm="1">
        <f t="array" aca="1" ref="T48" ca="1">T47</f>
        <v>0</v>
      </c>
      <c r="U48" s="59"/>
      <c r="V48" s="59"/>
      <c r="W48" s="59"/>
      <c r="X48" s="1046"/>
      <c r="Y48" s="59"/>
      <c r="Z48" s="1007"/>
      <c r="AA48" s="59"/>
      <c r="AB48" s="105"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1647</v>
      </c>
      <c r="AD48" s="817"/>
      <c r="AE48" s="817"/>
      <c r="AF48" s="712">
        <f>IF(AD48=0,0,(AE48-AD48)/AD48*100)</f>
        <v>0</v>
      </c>
      <c r="AG48" s="57"/>
      <c r="AH48" s="57"/>
      <c r="AI48" s="712">
        <f>IF(AG48=0,0,(AH48-AG48)/AG48*100)</f>
        <v>0</v>
      </c>
      <c r="AJ48" s="57"/>
      <c r="AK48" s="57"/>
      <c r="AL48" s="712">
        <f>IF(AJ48=0,0,(AK48-AJ48)/AJ48*100)</f>
        <v>0</v>
      </c>
      <c r="AM48" s="817"/>
      <c r="AN48" s="817"/>
      <c r="AO48" s="712">
        <f>IF(AM48=0,0,(AN48-AM48)/AM48*100)</f>
        <v>0</v>
      </c>
      <c r="AP48" s="817"/>
      <c r="AQ48" s="817"/>
      <c r="AR48" s="712">
        <f>IF(AP48=0,0,(AQ48-AP48)/AP48*100)</f>
        <v>0</v>
      </c>
      <c r="AS48" s="817"/>
      <c r="AT48" s="817"/>
      <c r="AU48" s="712">
        <f>IF(AS48=0,0,(AT48-AS48)/AS48*100)</f>
        <v>0</v>
      </c>
      <c r="AV48" s="817"/>
      <c r="AW48" s="817"/>
      <c r="AX48" s="712">
        <f>IF(AV48=0,0,(AW48-AV48)/AV48*100)</f>
        <v>0</v>
      </c>
      <c r="AY48" s="817"/>
      <c r="AZ48" s="817"/>
      <c r="BA48" s="712">
        <f>IF(AY48=0,0,(AZ48-AY48)/AY48*100)</f>
        <v>0</v>
      </c>
      <c r="BB48" s="817"/>
      <c r="BC48" s="817"/>
      <c r="BD48" s="712">
        <f>IF(BB48=0,0,(BC48-BB48)/BB48*100)</f>
        <v>0</v>
      </c>
      <c r="BE48" s="817"/>
      <c r="BF48" s="817"/>
      <c r="BG48" s="712">
        <f>IF(BE48=0,0,(BF48-BE48)/BE48*100)</f>
        <v>0</v>
      </c>
      <c r="BH48" s="817"/>
      <c r="BI48" s="817"/>
      <c r="BJ48" s="712">
        <f>IF(BH48=0,0,(BI48-BH48)/BH48*100)</f>
        <v>0</v>
      </c>
      <c r="BK48" s="817"/>
      <c r="BL48" s="817"/>
      <c r="BM48" s="712">
        <f>IF(BK48=0,0,(BL48-BK48)/BK48*100)</f>
        <v>0</v>
      </c>
      <c r="BN48" s="817"/>
      <c r="BO48" s="817"/>
      <c r="BP48" s="712">
        <f>IF(BN48=0,0,(BO48-BN48)/BN48*100)</f>
        <v>0</v>
      </c>
      <c r="BQ48" s="817"/>
      <c r="BR48" s="817"/>
      <c r="BS48" s="712">
        <f>IF(BQ48=0,0,(BR48-BQ48)/BQ48*100)</f>
        <v>0</v>
      </c>
      <c r="BT48" s="817"/>
      <c r="BU48" s="817"/>
      <c r="BV48" s="712">
        <f>IF(BT48=0,0,(BU48-BT48)/BT48*100)</f>
        <v>0</v>
      </c>
      <c r="BW48" s="817"/>
      <c r="BX48" s="817"/>
      <c r="BY48" s="712">
        <f>IF(BW48=0,0,(BX48-BW48)/BW48*100)</f>
        <v>0</v>
      </c>
      <c r="BZ48" s="817"/>
      <c r="CA48" s="817"/>
      <c r="CB48" s="712">
        <f>IF(BZ48=0,0,(CA48-BZ48)/BZ48*100)</f>
        <v>0</v>
      </c>
      <c r="CC48" s="817"/>
      <c r="CD48" s="817"/>
      <c r="CE48" s="712">
        <f>IF(CC48=0,0,(CD48-CC48)/CC48*100)</f>
        <v>0</v>
      </c>
      <c r="CF48" s="817"/>
      <c r="CG48" s="817"/>
      <c r="CH48" s="712">
        <f>IF(CF48=0,0,(CG48-CF48)/CF48*100)</f>
        <v>0</v>
      </c>
      <c r="CI48" s="817"/>
      <c r="CJ48" s="817"/>
      <c r="CK48" s="712">
        <f>IF(CI48=0,0,(CJ48-CI48)/CI48*100)</f>
        <v>0</v>
      </c>
      <c r="CL48" s="817"/>
      <c r="CM48" s="817"/>
      <c r="CN48" s="712">
        <f>IF(CL48=0,0,(CM48-CL48)/CL48*100)</f>
        <v>0</v>
      </c>
      <c r="CO48" s="817"/>
      <c r="CP48" s="817"/>
      <c r="CQ48" s="712">
        <f>IF(CO48=0,0,(CP48-CO48)/CO48*100)</f>
        <v>0</v>
      </c>
      <c r="CR48" s="817"/>
      <c r="CS48" s="817"/>
      <c r="CT48" s="712">
        <f>IF(CR48=0,0,(CS48-CR48)/CR48*100)</f>
        <v>0</v>
      </c>
      <c r="CU48" s="817"/>
      <c r="CV48" s="817"/>
      <c r="CW48" s="712">
        <f>IF(CU48=0,0,(CV48-CU48)/CU48*100)</f>
        <v>0</v>
      </c>
      <c r="CX48" s="817"/>
      <c r="CY48" s="817"/>
      <c r="CZ48" s="712">
        <f>IF(CX48=0,0,(CY48-CX48)/CX48*100)</f>
        <v>0</v>
      </c>
      <c r="DA48" s="817"/>
      <c r="DB48" s="817"/>
      <c r="DC48" s="712">
        <f>IF(DA48=0,0,(DB48-DA48)/DA48*100)</f>
        <v>0</v>
      </c>
      <c r="DD48" s="817"/>
      <c r="DE48" s="817"/>
      <c r="DF48" s="712">
        <f>IF(DD48=0,0,(DE48-DD48)/DD48*100)</f>
        <v>0</v>
      </c>
      <c r="DG48" s="817"/>
      <c r="DH48" s="817"/>
      <c r="DI48" s="712">
        <f>IF(DG48=0,0,(DH48-DG48)/DG48*100)</f>
        <v>0</v>
      </c>
      <c r="DJ48" s="817"/>
      <c r="DK48" s="817"/>
      <c r="DL48" s="712">
        <f>IF(DJ48=0,0,(DK48-DJ48)/DJ48*100)</f>
        <v>0</v>
      </c>
      <c r="DM48" s="817"/>
      <c r="DN48" s="817"/>
      <c r="DO48" s="712">
        <f>IF(DM48=0,0,(DN48-DM48)/DM48*100)</f>
        <v>0</v>
      </c>
      <c r="DP48" s="817"/>
      <c r="DQ48" s="817"/>
      <c r="DR48" s="712">
        <f>IF(DP48=0,0,(DQ48-DP48)/DP48*100)</f>
        <v>0</v>
      </c>
      <c r="DS48" s="817"/>
      <c r="DT48" s="817"/>
      <c r="DU48" s="712">
        <f>IF(DS48=0,0,(DT48-DS48)/DS48*100)</f>
        <v>0</v>
      </c>
      <c r="DV48" s="817"/>
      <c r="DW48" s="817"/>
      <c r="DX48" s="712">
        <f>IF(DV48=0,0,(DW48-DV48)/DV48*100)</f>
        <v>0</v>
      </c>
      <c r="DY48" s="817"/>
      <c r="DZ48" s="817"/>
      <c r="EA48" s="712">
        <f>IF(DY48=0,0,(DZ48-DY48)/DY48*100)</f>
        <v>0</v>
      </c>
      <c r="EB48" s="817"/>
      <c r="EC48" s="817"/>
      <c r="ED48" s="712">
        <f>IF(EB48=0,0,(EC48-EB48)/EB48*100)</f>
        <v>0</v>
      </c>
      <c r="EE48" s="817"/>
      <c r="EF48" s="817"/>
      <c r="EG48" s="712">
        <f>IF(EE48=0,0,(EF48-EE48)/EE48*100)</f>
        <v>0</v>
      </c>
      <c r="EH48" s="817"/>
      <c r="EI48" s="817"/>
      <c r="EJ48" s="712">
        <f>IF(EH48=0,0,(EI48-EH48)/EH48*100)</f>
        <v>0</v>
      </c>
      <c r="EK48" s="817"/>
      <c r="EL48" s="817"/>
      <c r="EM48" s="712">
        <f>IF(EK48=0,0,(EL48-EK48)/EK48*100)</f>
        <v>0</v>
      </c>
      <c r="EN48" s="817"/>
      <c r="EO48" s="817"/>
      <c r="EP48" s="712">
        <f>IF(EN48=0,0,(EO48-EN48)/EN48*100)</f>
        <v>0</v>
      </c>
      <c r="EQ48" s="817"/>
      <c r="ER48" s="817"/>
      <c r="ES48" s="712">
        <f>IF(EQ48=0,0,(ER48-EQ48)/EQ48*100)</f>
        <v>0</v>
      </c>
      <c r="ET48" s="817"/>
      <c r="EU48" s="817"/>
      <c r="EV48" s="712">
        <f>IF(ET48=0,0,(EU48-ET48)/ET48*100)</f>
        <v>0</v>
      </c>
      <c r="EW48" s="817"/>
      <c r="EX48" s="817"/>
      <c r="EY48" s="712">
        <f>IF(EW48=0,0,(EX48-EW48)/EW48*100)</f>
        <v>0</v>
      </c>
      <c r="EZ48" s="817"/>
      <c r="FA48" s="817"/>
      <c r="FB48" s="712">
        <f>IF(EZ48=0,0,(FA48-EZ48)/EZ48*100)</f>
        <v>0</v>
      </c>
      <c r="FC48" s="817"/>
      <c r="FD48" s="817"/>
      <c r="FE48" s="712">
        <f>IF(FC48=0,0,(FD48-FC48)/FC48*100)</f>
        <v>0</v>
      </c>
      <c r="FF48" s="817"/>
      <c r="FG48" s="817"/>
      <c r="FH48" s="712">
        <f>IF(FF48=0,0,(FG48-FF48)/FF48*100)</f>
        <v>0</v>
      </c>
      <c r="FI48" s="817"/>
      <c r="FJ48" s="817"/>
      <c r="FK48" s="712">
        <f>IF(FI48=0,0,(FJ48-FI48)/FI48*100)</f>
        <v>0</v>
      </c>
      <c r="FL48" s="817"/>
      <c r="FM48" s="817"/>
      <c r="FN48" s="712">
        <f>IF(FL48=0,0,(FM48-FL48)/FL48*100)</f>
        <v>0</v>
      </c>
      <c r="FO48" s="817"/>
      <c r="FP48" s="817"/>
      <c r="FQ48" s="712">
        <f>IF(FO48=0,0,(FP48-FO48)/FO48*100)</f>
        <v>0</v>
      </c>
      <c r="FR48" s="817"/>
      <c r="FS48" s="817"/>
      <c r="FT48" s="712">
        <f>IF(FR48=0,0,(FS48-FR48)/FR48*100)</f>
        <v>0</v>
      </c>
      <c r="FU48" s="817"/>
      <c r="FV48" s="817"/>
      <c r="FW48" s="712">
        <f>IF(FU48=0,0,(FV48-FU48)/FU48*100)</f>
        <v>0</v>
      </c>
      <c r="FZ48" s="689" t="s">
        <v>1682</v>
      </c>
    </row>
    <row r="49" spans="1:182" ht="14.65" hidden="1" customHeight="1">
      <c r="A49" s="59"/>
      <c r="B49" s="611" t="b" cm="1">
        <f t="array" ref="B49">B48</f>
        <v>0</v>
      </c>
      <c r="C49" s="59"/>
      <c r="D49" s="59"/>
      <c r="E49" s="460">
        <v>15</v>
      </c>
      <c r="F49" s="3" cm="1">
        <f t="array" aca="1" ref="F49" ca="1">OFFSET(E49,-1,1)</f>
        <v>0</v>
      </c>
      <c r="G49" s="25" t="s">
        <v>1683</v>
      </c>
      <c r="H49" s="59" t="s">
        <v>1684</v>
      </c>
      <c r="I49" s="59" t="s">
        <v>1645</v>
      </c>
      <c r="J49" s="59"/>
      <c r="K49" s="59"/>
      <c r="L49" s="59"/>
      <c r="M49" s="59"/>
      <c r="N49" s="59"/>
      <c r="O49" s="59"/>
      <c r="P49" s="59"/>
      <c r="Q49" s="59"/>
      <c r="R49" s="59"/>
      <c r="S49" s="59"/>
      <c r="T49" s="351" t="b" cm="1">
        <f t="array" aca="1" ref="T49" ca="1">T48</f>
        <v>0</v>
      </c>
      <c r="U49" s="59"/>
      <c r="V49" s="59"/>
      <c r="W49" s="59"/>
      <c r="X49" s="1046"/>
      <c r="Y49" s="59"/>
      <c r="Z49" s="1007"/>
      <c r="AA49" s="59"/>
      <c r="AB49" s="105" t="str">
        <f>"объём "&amp;IF(Q29="Водоснабжение","потребления холодной воды","водоотведения")</f>
        <v>объём водоотведения</v>
      </c>
      <c r="AC49" s="12" t="s">
        <v>585</v>
      </c>
      <c r="AD49" s="833">
        <f ca="1">IF(AND(method_reg="Метод индексации",god&lt;&gt;first_year),SUMIFS(INDEX('Калькуляция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(МИ)'!$AJ$25:$BC$315,,MATCH(AD$8,'Калькуляция (МИ)'!$AJ$8:$BC$8,0)),'Калькуляция (МИ)'!$F$25:$F$315,$F49,'Калькуляция (МИ)'!$G$25:$G$315,$G49))))</f>
        <v>0</v>
      </c>
      <c r="AE49" s="833">
        <f ca="1">IF(AND(method_reg="Метод индексации",god&lt;&gt;first_year),SUMIFS(INDEX('Калькуляция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(МИ)'!$AJ$25:$BC$315,,MATCH(AE$8,'Калькуляция (МИ)'!$AJ$8:$BC$8,0)),'Калькуляция (МИ)'!$F$25:$F$315,$F49,'Калькуляция (МИ)'!$G$25:$G$315,$G49))))</f>
        <v>0</v>
      </c>
      <c r="AF49" s="713">
        <f ca="1">IF(AD49=0,0,(AE49-AD49)/AD49*100)</f>
        <v>0</v>
      </c>
      <c r="AG49" s="190">
        <f ca="1">IF(AND(method_reg="Метод индексации",god&lt;&gt;first_year),SUMIFS(INDEX('Калькуляция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(МИ)'!$AJ$25:$BC$315,,MATCH(AG$8,'Калькуляция (МИ)'!$AJ$8:$BC$8,0)),'Калькуляция (МИ)'!$F$25:$F$315,$F49,'Калькуляция (МИ)'!$G$25:$G$315,$G49))))</f>
        <v>0</v>
      </c>
      <c r="AH49" s="190">
        <f ca="1">IF(AND(method_reg="Метод индексации",god&lt;&gt;first_year),SUMIFS(INDEX('Калькуляция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(МИ)'!$AJ$25:$BC$315,,MATCH(AH$8,'Калькуляция (МИ)'!$AJ$8:$BC$8,0)),'Калькуляция (МИ)'!$F$25:$F$315,$F49,'Калькуляция (МИ)'!$G$25:$G$315,$G49))))</f>
        <v>0</v>
      </c>
      <c r="AI49" s="713">
        <f ca="1">IF(AG49=0,0,(AH49-AG49)/AG49*100)</f>
        <v>0</v>
      </c>
      <c r="AJ49" s="190">
        <f ca="1">IF(AND(method_reg="Метод индексации",god&lt;&gt;first_year),SUMIFS(INDEX('Калькуляция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(МИ)'!$AJ$25:$BC$315,,MATCH(AJ$8,'Калькуляция (МИ)'!$AJ$8:$BC$8,0)),'Калькуляция (МИ)'!$F$25:$F$315,$F49,'Калькуляция (МИ)'!$G$25:$G$315,$G49))))</f>
        <v>0</v>
      </c>
      <c r="AK49" s="190">
        <f ca="1">IF(AND(method_reg="Метод индексации",god&lt;&gt;first_year),SUMIFS(INDEX('Калькуляция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(МИ)'!$AJ$25:$BC$315,,MATCH(AK$8,'Калькуляция (МИ)'!$AJ$8:$BC$8,0)),'Калькуляция (МИ)'!$F$25:$F$315,$F49,'Калькуляция (МИ)'!$G$25:$G$315,$G49))))</f>
        <v>0</v>
      </c>
      <c r="AL49" s="713">
        <f ca="1">IF(AJ49=0,0,(AK49-AJ49)/AJ49*100)</f>
        <v>0</v>
      </c>
      <c r="AM49" s="833">
        <f ca="1">IF(AND(method_reg="Метод индексации",god&lt;&gt;first_year),SUMIFS(INDEX('Калькуляция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(МИ)'!$AJ$25:$BC$315,,MATCH(AM$8,'Калькуляция (МИ)'!$AJ$8:$BC$8,0)),'Калькуляция (МИ)'!$F$25:$F$315,$F49,'Калькуляция (МИ)'!$G$25:$G$315,$G49))))</f>
        <v>0</v>
      </c>
      <c r="AN49" s="833">
        <f ca="1">IF(AND(method_reg="Метод индексации",god&lt;&gt;first_year),SUMIFS(INDEX('Калькуляция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(МИ)'!$AJ$25:$BC$315,,MATCH(AN$8,'Калькуляция (МИ)'!$AJ$8:$BC$8,0)),'Калькуляция (МИ)'!$F$25:$F$315,$F49,'Калькуляция (МИ)'!$G$25:$G$315,$G49))))</f>
        <v>0</v>
      </c>
      <c r="AO49" s="713">
        <f ca="1">IF(AM49=0,0,(AN49-AM49)/AM49*100)</f>
        <v>0</v>
      </c>
      <c r="AP49" s="833">
        <f ca="1">IF(AND(method_reg="Метод индексации",god&lt;&gt;first_year),SUMIFS(INDEX('Калькуляция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(МИ)'!$AJ$25:$BC$315,,MATCH(AP$8,'Калькуляция (МИ)'!$AJ$8:$BC$8,0)),'Калькуляция (МИ)'!$F$25:$F$315,$F49,'Калькуляция (МИ)'!$G$25:$G$315,$G49))))</f>
        <v>0</v>
      </c>
      <c r="AQ49" s="833">
        <f ca="1">IF(AND(method_reg="Метод индексации",god&lt;&gt;first_year),SUMIFS(INDEX('Калькуляция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(МИ)'!$AJ$25:$BC$315,,MATCH(AQ$8,'Калькуляция (МИ)'!$AJ$8:$BC$8,0)),'Калькуляция (МИ)'!$F$25:$F$315,$F49,'Калькуляция (МИ)'!$G$25:$G$315,$G49))))</f>
        <v>0</v>
      </c>
      <c r="AR49" s="713">
        <f ca="1">IF(AP49=0,0,(AQ49-AP49)/AP49*100)</f>
        <v>0</v>
      </c>
      <c r="AS49" s="833">
        <f ca="1">IF(AND(method_reg="Метод индексации",god&lt;&gt;first_year),SUMIFS(INDEX('Калькуляция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(МИ)'!$AJ$25:$BC$315,,MATCH(AS$8,'Калькуляция (МИ)'!$AJ$8:$BC$8,0)),'Калькуляция (МИ)'!$F$25:$F$315,$F49,'Калькуляция (МИ)'!$G$25:$G$315,$G49))))</f>
        <v>0</v>
      </c>
      <c r="AT49" s="833">
        <f ca="1">IF(AND(method_reg="Метод индексации",god&lt;&gt;first_year),SUMIFS(INDEX('Калькуляция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(МИ)'!$AJ$25:$BC$315,,MATCH(AT$8,'Калькуляция (МИ)'!$AJ$8:$BC$8,0)),'Калькуляция (МИ)'!$F$25:$F$315,$F49,'Калькуляция (МИ)'!$G$25:$G$315,$G49))))</f>
        <v>0</v>
      </c>
      <c r="AU49" s="713">
        <f ca="1">IF(AS49=0,0,(AT49-AS49)/AS49*100)</f>
        <v>0</v>
      </c>
      <c r="AV49" s="833">
        <f ca="1">IF(AND(method_reg="Метод индексации",god&lt;&gt;first_year),SUMIFS(INDEX('Калькуляция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(МИ)'!$AJ$25:$BC$315,,MATCH(AV$8,'Калькуляция (МИ)'!$AJ$8:$BC$8,0)),'Калькуляция (МИ)'!$F$25:$F$315,$F49,'Калькуляция (МИ)'!$G$25:$G$315,$G49))))</f>
        <v>0</v>
      </c>
      <c r="AW49" s="833">
        <f ca="1">IF(AND(method_reg="Метод индексации",god&lt;&gt;first_year),SUMIFS(INDEX('Калькуляция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(МИ)'!$AJ$25:$BC$315,,MATCH(AW$8,'Калькуляция (МИ)'!$AJ$8:$BC$8,0)),'Калькуляция (МИ)'!$F$25:$F$315,$F49,'Калькуляция (МИ)'!$G$25:$G$315,$G49))))</f>
        <v>0</v>
      </c>
      <c r="AX49" s="713">
        <f ca="1">IF(AV49=0,0,(AW49-AV49)/AV49*100)</f>
        <v>0</v>
      </c>
      <c r="AY49" s="833">
        <f ca="1">IF(AND(method_reg="Метод индексации",god&lt;&gt;first_year),SUMIFS(INDEX('Калькуляция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(МИ)'!$AJ$25:$BC$315,,MATCH(AY$8,'Калькуляция (МИ)'!$AJ$8:$BC$8,0)),'Калькуляция (МИ)'!$F$25:$F$315,$F49,'Калькуляция (МИ)'!$G$25:$G$315,$G49))))</f>
        <v>0</v>
      </c>
      <c r="AZ49" s="833">
        <f ca="1">IF(AND(method_reg="Метод индексации",god&lt;&gt;first_year),SUMIFS(INDEX('Калькуляция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(МИ)'!$AJ$25:$BC$315,,MATCH(AZ$8,'Калькуляция (МИ)'!$AJ$8:$BC$8,0)),'Калькуляция (МИ)'!$F$25:$F$315,$F49,'Калькуляция (МИ)'!$G$25:$G$315,$G49))))</f>
        <v>0</v>
      </c>
      <c r="BA49" s="713">
        <f ca="1">IF(AY49=0,0,(AZ49-AY49)/AY49*100)</f>
        <v>0</v>
      </c>
      <c r="BB49" s="833">
        <f ca="1">IF(AND(method_reg="Метод индексации",god&lt;&gt;first_year),SUMIFS(INDEX('Калькуляция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(МИ)'!$AJ$25:$BC$315,,MATCH(BB$8,'Калькуляция (МИ)'!$AJ$8:$BC$8,0)),'Калькуляция (МИ)'!$F$25:$F$315,$F49,'Калькуляция (МИ)'!$G$25:$G$315,$G49))))</f>
        <v>0</v>
      </c>
      <c r="BC49" s="833">
        <f ca="1">IF(AND(method_reg="Метод индексации",god&lt;&gt;first_year),SUMIFS(INDEX('Калькуляция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(МИ)'!$AJ$25:$BC$315,,MATCH(BC$8,'Калькуляция (МИ)'!$AJ$8:$BC$8,0)),'Калькуляция (МИ)'!$F$25:$F$315,$F49,'Калькуляция (МИ)'!$G$25:$G$315,$G49))))</f>
        <v>0</v>
      </c>
      <c r="BD49" s="713">
        <f ca="1">IF(BB49=0,0,(BC49-BB49)/BB49*100)</f>
        <v>0</v>
      </c>
      <c r="BE49" s="833">
        <f ca="1">IF(AND(method_reg="Метод индексации",god&lt;&gt;first_year),SUMIFS(INDEX('Калькуляция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(МИ)'!$AJ$25:$BC$315,,MATCH(BE$8,'Калькуляция (МИ)'!$AJ$8:$BC$8,0)),'Калькуляция (МИ)'!$F$25:$F$315,$F49,'Калькуляция (МИ)'!$G$25:$G$315,$G49))))</f>
        <v>0</v>
      </c>
      <c r="BF49" s="833">
        <f ca="1">IF(AND(method_reg="Метод индексации",god&lt;&gt;first_year),SUMIFS(INDEX('Калькуляция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(МИ)'!$AJ$25:$BC$315,,MATCH(BF$8,'Калькуляция (МИ)'!$AJ$8:$BC$8,0)),'Калькуляция (МИ)'!$F$25:$F$315,$F49,'Калькуляция (МИ)'!$G$25:$G$315,$G49))))</f>
        <v>0</v>
      </c>
      <c r="BG49" s="713">
        <f ca="1">IF(BE49=0,0,(BF49-BE49)/BE49*100)</f>
        <v>0</v>
      </c>
      <c r="BH49" s="833"/>
      <c r="BI49" s="833"/>
      <c r="BJ49" s="713">
        <f>IF(BH49=0,0,(BI49-BH49)/BH49*100)</f>
        <v>0</v>
      </c>
      <c r="BK49" s="833"/>
      <c r="BL49" s="833"/>
      <c r="BM49" s="713">
        <f>IF(BK49=0,0,(BL49-BK49)/BK49*100)</f>
        <v>0</v>
      </c>
      <c r="BN49" s="833"/>
      <c r="BO49" s="833"/>
      <c r="BP49" s="713">
        <f>IF(BN49=0,0,(BO49-BN49)/BN49*100)</f>
        <v>0</v>
      </c>
      <c r="BQ49" s="833"/>
      <c r="BR49" s="833"/>
      <c r="BS49" s="713">
        <f>IF(BQ49=0,0,(BR49-BQ49)/BQ49*100)</f>
        <v>0</v>
      </c>
      <c r="BT49" s="833"/>
      <c r="BU49" s="833"/>
      <c r="BV49" s="713">
        <f>IF(BT49=0,0,(BU49-BT49)/BT49*100)</f>
        <v>0</v>
      </c>
      <c r="BW49" s="833"/>
      <c r="BX49" s="833"/>
      <c r="BY49" s="713">
        <f>IF(BW49=0,0,(BX49-BW49)/BW49*100)</f>
        <v>0</v>
      </c>
      <c r="BZ49" s="833"/>
      <c r="CA49" s="833"/>
      <c r="CB49" s="713">
        <f>IF(BZ49=0,0,(CA49-BZ49)/BZ49*100)</f>
        <v>0</v>
      </c>
      <c r="CC49" s="833"/>
      <c r="CD49" s="833"/>
      <c r="CE49" s="713">
        <f>IF(CC49=0,0,(CD49-CC49)/CC49*100)</f>
        <v>0</v>
      </c>
      <c r="CF49" s="833"/>
      <c r="CG49" s="833"/>
      <c r="CH49" s="713">
        <f>IF(CF49=0,0,(CG49-CF49)/CF49*100)</f>
        <v>0</v>
      </c>
      <c r="CI49" s="833"/>
      <c r="CJ49" s="833"/>
      <c r="CK49" s="713">
        <f>IF(CI49=0,0,(CJ49-CI49)/CI49*100)</f>
        <v>0</v>
      </c>
      <c r="CL49" s="833"/>
      <c r="CM49" s="833"/>
      <c r="CN49" s="713">
        <f>IF(CL49=0,0,(CM49-CL49)/CL49*100)</f>
        <v>0</v>
      </c>
      <c r="CO49" s="833"/>
      <c r="CP49" s="833"/>
      <c r="CQ49" s="713">
        <f>IF(CO49=0,0,(CP49-CO49)/CO49*100)</f>
        <v>0</v>
      </c>
      <c r="CR49" s="833"/>
      <c r="CS49" s="833"/>
      <c r="CT49" s="713">
        <f>IF(CR49=0,0,(CS49-CR49)/CR49*100)</f>
        <v>0</v>
      </c>
      <c r="CU49" s="833"/>
      <c r="CV49" s="833"/>
      <c r="CW49" s="713">
        <f>IF(CU49=0,0,(CV49-CU49)/CU49*100)</f>
        <v>0</v>
      </c>
      <c r="CX49" s="833"/>
      <c r="CY49" s="833"/>
      <c r="CZ49" s="713">
        <f>IF(CX49=0,0,(CY49-CX49)/CX49*100)</f>
        <v>0</v>
      </c>
      <c r="DA49" s="833"/>
      <c r="DB49" s="833"/>
      <c r="DC49" s="713">
        <f>IF(DA49=0,0,(DB49-DA49)/DA49*100)</f>
        <v>0</v>
      </c>
      <c r="DD49" s="833"/>
      <c r="DE49" s="833"/>
      <c r="DF49" s="713">
        <f>IF(DD49=0,0,(DE49-DD49)/DD49*100)</f>
        <v>0</v>
      </c>
      <c r="DG49" s="833"/>
      <c r="DH49" s="833"/>
      <c r="DI49" s="713">
        <f>IF(DG49=0,0,(DH49-DG49)/DG49*100)</f>
        <v>0</v>
      </c>
      <c r="DJ49" s="833"/>
      <c r="DK49" s="833"/>
      <c r="DL49" s="713">
        <f>IF(DJ49=0,0,(DK49-DJ49)/DJ49*100)</f>
        <v>0</v>
      </c>
      <c r="DM49" s="833"/>
      <c r="DN49" s="833"/>
      <c r="DO49" s="713">
        <f>IF(DM49=0,0,(DN49-DM49)/DM49*100)</f>
        <v>0</v>
      </c>
      <c r="DP49" s="833"/>
      <c r="DQ49" s="833"/>
      <c r="DR49" s="713">
        <f>IF(DP49=0,0,(DQ49-DP49)/DP49*100)</f>
        <v>0</v>
      </c>
      <c r="DS49" s="833"/>
      <c r="DT49" s="833"/>
      <c r="DU49" s="713">
        <f>IF(DS49=0,0,(DT49-DS49)/DS49*100)</f>
        <v>0</v>
      </c>
      <c r="DV49" s="833"/>
      <c r="DW49" s="833"/>
      <c r="DX49" s="713">
        <f>IF(DV49=0,0,(DW49-DV49)/DV49*100)</f>
        <v>0</v>
      </c>
      <c r="DY49" s="833"/>
      <c r="DZ49" s="833"/>
      <c r="EA49" s="713">
        <f>IF(DY49=0,0,(DZ49-DY49)/DY49*100)</f>
        <v>0</v>
      </c>
      <c r="EB49" s="833"/>
      <c r="EC49" s="833"/>
      <c r="ED49" s="713">
        <f>IF(EB49=0,0,(EC49-EB49)/EB49*100)</f>
        <v>0</v>
      </c>
      <c r="EE49" s="833"/>
      <c r="EF49" s="833"/>
      <c r="EG49" s="713">
        <f>IF(EE49=0,0,(EF49-EE49)/EE49*100)</f>
        <v>0</v>
      </c>
      <c r="EH49" s="833"/>
      <c r="EI49" s="833"/>
      <c r="EJ49" s="713">
        <f>IF(EH49=0,0,(EI49-EH49)/EH49*100)</f>
        <v>0</v>
      </c>
      <c r="EK49" s="833"/>
      <c r="EL49" s="833"/>
      <c r="EM49" s="713">
        <f>IF(EK49=0,0,(EL49-EK49)/EK49*100)</f>
        <v>0</v>
      </c>
      <c r="EN49" s="833"/>
      <c r="EO49" s="833"/>
      <c r="EP49" s="713">
        <f>IF(EN49=0,0,(EO49-EN49)/EN49*100)</f>
        <v>0</v>
      </c>
      <c r="EQ49" s="833"/>
      <c r="ER49" s="833"/>
      <c r="ES49" s="713">
        <f>IF(EQ49=0,0,(ER49-EQ49)/EQ49*100)</f>
        <v>0</v>
      </c>
      <c r="ET49" s="833"/>
      <c r="EU49" s="833"/>
      <c r="EV49" s="713">
        <f>IF(ET49=0,0,(EU49-ET49)/ET49*100)</f>
        <v>0</v>
      </c>
      <c r="EW49" s="833"/>
      <c r="EX49" s="833"/>
      <c r="EY49" s="713">
        <f>IF(EW49=0,0,(EX49-EW49)/EW49*100)</f>
        <v>0</v>
      </c>
      <c r="EZ49" s="833"/>
      <c r="FA49" s="833"/>
      <c r="FB49" s="713">
        <f>IF(EZ49=0,0,(FA49-EZ49)/EZ49*100)</f>
        <v>0</v>
      </c>
      <c r="FC49" s="833"/>
      <c r="FD49" s="833"/>
      <c r="FE49" s="713">
        <f>IF(FC49=0,0,(FD49-FC49)/FC49*100)</f>
        <v>0</v>
      </c>
      <c r="FF49" s="833"/>
      <c r="FG49" s="833"/>
      <c r="FH49" s="713">
        <f>IF(FF49=0,0,(FG49-FF49)/FF49*100)</f>
        <v>0</v>
      </c>
      <c r="FI49" s="833"/>
      <c r="FJ49" s="833"/>
      <c r="FK49" s="713">
        <f>IF(FI49=0,0,(FJ49-FI49)/FI49*100)</f>
        <v>0</v>
      </c>
      <c r="FL49" s="833"/>
      <c r="FM49" s="833"/>
      <c r="FN49" s="713">
        <f>IF(FL49=0,0,(FM49-FL49)/FL49*100)</f>
        <v>0</v>
      </c>
      <c r="FO49" s="833"/>
      <c r="FP49" s="833"/>
      <c r="FQ49" s="713">
        <f>IF(FO49=0,0,(FP49-FO49)/FO49*100)</f>
        <v>0</v>
      </c>
      <c r="FR49" s="833"/>
      <c r="FS49" s="833"/>
      <c r="FT49" s="713">
        <f>IF(FR49=0,0,(FS49-FR49)/FR49*100)</f>
        <v>0</v>
      </c>
      <c r="FU49" s="833"/>
      <c r="FV49" s="833"/>
      <c r="FW49" s="713">
        <f>IF(FU49=0,0,(FV49-FU49)/FU49*100)</f>
        <v>0</v>
      </c>
      <c r="FZ49" s="689" t="s">
        <v>1685</v>
      </c>
    </row>
    <row r="50" spans="1:182" ht="24.2" hidden="1" customHeight="1">
      <c r="A50" s="59"/>
      <c r="B50" s="611" t="b" cm="1">
        <f t="array" ref="B50">B49</f>
        <v>0</v>
      </c>
      <c r="C50" s="59"/>
      <c r="D50" s="59"/>
      <c r="E50" s="460">
        <v>24.75</v>
      </c>
      <c r="F50" s="3" cm="1">
        <f t="array" aca="1" ref="F50" ca="1">OFFSET(E50,-1,1)</f>
        <v>0</v>
      </c>
      <c r="G50" s="59"/>
      <c r="H50" s="59" t="s">
        <v>1686</v>
      </c>
      <c r="I50" s="59" t="s">
        <v>1645</v>
      </c>
      <c r="J50" s="59"/>
      <c r="K50" s="59"/>
      <c r="L50" s="59"/>
      <c r="M50" s="59"/>
      <c r="N50" s="59"/>
      <c r="O50" s="59"/>
      <c r="P50" s="59"/>
      <c r="Q50" s="59"/>
      <c r="R50" s="59"/>
      <c r="S50" s="59"/>
      <c r="T50" s="351" t="b" cm="1">
        <f t="array" aca="1" ref="T50" ca="1">T49</f>
        <v>0</v>
      </c>
      <c r="U50" s="59"/>
      <c r="V50" s="59"/>
      <c r="W50" s="59"/>
      <c r="X50" s="1046"/>
      <c r="Y50" s="59"/>
      <c r="Z50" s="1007"/>
      <c r="AA50" s="59"/>
      <c r="AB50"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1687</v>
      </c>
      <c r="AD50" s="817"/>
      <c r="AE50" s="817"/>
      <c r="AF50" s="712">
        <f>IF(AD50=0,0,(AE50-AD50)/AD50*100)</f>
        <v>0</v>
      </c>
      <c r="AG50" s="57"/>
      <c r="AH50" s="57"/>
      <c r="AI50" s="712">
        <f>IF(AG50=0,0,(AH50-AG50)/AG50*100)</f>
        <v>0</v>
      </c>
      <c r="AJ50" s="57"/>
      <c r="AK50" s="57"/>
      <c r="AL50" s="712">
        <f>IF(AJ50=0,0,(AK50-AJ50)/AJ50*100)</f>
        <v>0</v>
      </c>
      <c r="AM50" s="817"/>
      <c r="AN50" s="817"/>
      <c r="AO50" s="712">
        <f>IF(AM50=0,0,(AN50-AM50)/AM50*100)</f>
        <v>0</v>
      </c>
      <c r="AP50" s="817"/>
      <c r="AQ50" s="817"/>
      <c r="AR50" s="712">
        <f>IF(AP50=0,0,(AQ50-AP50)/AP50*100)</f>
        <v>0</v>
      </c>
      <c r="AS50" s="817"/>
      <c r="AT50" s="817"/>
      <c r="AU50" s="712">
        <f>IF(AS50=0,0,(AT50-AS50)/AS50*100)</f>
        <v>0</v>
      </c>
      <c r="AV50" s="817"/>
      <c r="AW50" s="817"/>
      <c r="AX50" s="712">
        <f>IF(AV50=0,0,(AW50-AV50)/AV50*100)</f>
        <v>0</v>
      </c>
      <c r="AY50" s="817"/>
      <c r="AZ50" s="817"/>
      <c r="BA50" s="712">
        <f>IF(AY50=0,0,(AZ50-AY50)/AY50*100)</f>
        <v>0</v>
      </c>
      <c r="BB50" s="817"/>
      <c r="BC50" s="817"/>
      <c r="BD50" s="712">
        <f>IF(BB50=0,0,(BC50-BB50)/BB50*100)</f>
        <v>0</v>
      </c>
      <c r="BE50" s="817"/>
      <c r="BF50" s="817"/>
      <c r="BG50" s="712">
        <f>IF(BE50=0,0,(BF50-BE50)/BE50*100)</f>
        <v>0</v>
      </c>
      <c r="BH50" s="817"/>
      <c r="BI50" s="817"/>
      <c r="BJ50" s="712">
        <f>IF(BH50=0,0,(BI50-BH50)/BH50*100)</f>
        <v>0</v>
      </c>
      <c r="BK50" s="817"/>
      <c r="BL50" s="817"/>
      <c r="BM50" s="712">
        <f>IF(BK50=0,0,(BL50-BK50)/BK50*100)</f>
        <v>0</v>
      </c>
      <c r="BN50" s="817"/>
      <c r="BO50" s="817"/>
      <c r="BP50" s="712">
        <f>IF(BN50=0,0,(BO50-BN50)/BN50*100)</f>
        <v>0</v>
      </c>
      <c r="BQ50" s="817"/>
      <c r="BR50" s="817"/>
      <c r="BS50" s="712">
        <f>IF(BQ50=0,0,(BR50-BQ50)/BQ50*100)</f>
        <v>0</v>
      </c>
      <c r="BT50" s="817"/>
      <c r="BU50" s="817"/>
      <c r="BV50" s="712">
        <f>IF(BT50=0,0,(BU50-BT50)/BT50*100)</f>
        <v>0</v>
      </c>
      <c r="BW50" s="817"/>
      <c r="BX50" s="817"/>
      <c r="BY50" s="712">
        <f>IF(BW50=0,0,(BX50-BW50)/BW50*100)</f>
        <v>0</v>
      </c>
      <c r="BZ50" s="817"/>
      <c r="CA50" s="817"/>
      <c r="CB50" s="712">
        <f>IF(BZ50=0,0,(CA50-BZ50)/BZ50*100)</f>
        <v>0</v>
      </c>
      <c r="CC50" s="817"/>
      <c r="CD50" s="817"/>
      <c r="CE50" s="712">
        <f>IF(CC50=0,0,(CD50-CC50)/CC50*100)</f>
        <v>0</v>
      </c>
      <c r="CF50" s="817"/>
      <c r="CG50" s="817"/>
      <c r="CH50" s="712">
        <f>IF(CF50=0,0,(CG50-CF50)/CF50*100)</f>
        <v>0</v>
      </c>
      <c r="CI50" s="817"/>
      <c r="CJ50" s="817"/>
      <c r="CK50" s="712">
        <f>IF(CI50=0,0,(CJ50-CI50)/CI50*100)</f>
        <v>0</v>
      </c>
      <c r="CL50" s="817"/>
      <c r="CM50" s="817"/>
      <c r="CN50" s="712">
        <f>IF(CL50=0,0,(CM50-CL50)/CL50*100)</f>
        <v>0</v>
      </c>
      <c r="CO50" s="817"/>
      <c r="CP50" s="817"/>
      <c r="CQ50" s="712">
        <f>IF(CO50=0,0,(CP50-CO50)/CO50*100)</f>
        <v>0</v>
      </c>
      <c r="CR50" s="817"/>
      <c r="CS50" s="817"/>
      <c r="CT50" s="712">
        <f>IF(CR50=0,0,(CS50-CR50)/CR50*100)</f>
        <v>0</v>
      </c>
      <c r="CU50" s="817"/>
      <c r="CV50" s="817"/>
      <c r="CW50" s="712">
        <f>IF(CU50=0,0,(CV50-CU50)/CU50*100)</f>
        <v>0</v>
      </c>
      <c r="CX50" s="817"/>
      <c r="CY50" s="817"/>
      <c r="CZ50" s="712">
        <f>IF(CX50=0,0,(CY50-CX50)/CX50*100)</f>
        <v>0</v>
      </c>
      <c r="DA50" s="817"/>
      <c r="DB50" s="817"/>
      <c r="DC50" s="712">
        <f>IF(DA50=0,0,(DB50-DA50)/DA50*100)</f>
        <v>0</v>
      </c>
      <c r="DD50" s="817"/>
      <c r="DE50" s="817"/>
      <c r="DF50" s="712">
        <f>IF(DD50=0,0,(DE50-DD50)/DD50*100)</f>
        <v>0</v>
      </c>
      <c r="DG50" s="817"/>
      <c r="DH50" s="817"/>
      <c r="DI50" s="712">
        <f>IF(DG50=0,0,(DH50-DG50)/DG50*100)</f>
        <v>0</v>
      </c>
      <c r="DJ50" s="817"/>
      <c r="DK50" s="817"/>
      <c r="DL50" s="712">
        <f>IF(DJ50=0,0,(DK50-DJ50)/DJ50*100)</f>
        <v>0</v>
      </c>
      <c r="DM50" s="817"/>
      <c r="DN50" s="817"/>
      <c r="DO50" s="712">
        <f>IF(DM50=0,0,(DN50-DM50)/DM50*100)</f>
        <v>0</v>
      </c>
      <c r="DP50" s="817"/>
      <c r="DQ50" s="817"/>
      <c r="DR50" s="712">
        <f>IF(DP50=0,0,(DQ50-DP50)/DP50*100)</f>
        <v>0</v>
      </c>
      <c r="DS50" s="817"/>
      <c r="DT50" s="817"/>
      <c r="DU50" s="712">
        <f>IF(DS50=0,0,(DT50-DS50)/DS50*100)</f>
        <v>0</v>
      </c>
      <c r="DV50" s="817"/>
      <c r="DW50" s="817"/>
      <c r="DX50" s="712">
        <f>IF(DV50=0,0,(DW50-DV50)/DV50*100)</f>
        <v>0</v>
      </c>
      <c r="DY50" s="817"/>
      <c r="DZ50" s="817"/>
      <c r="EA50" s="712">
        <f>IF(DY50=0,0,(DZ50-DY50)/DY50*100)</f>
        <v>0</v>
      </c>
      <c r="EB50" s="817"/>
      <c r="EC50" s="817"/>
      <c r="ED50" s="712">
        <f>IF(EB50=0,0,(EC50-EB50)/EB50*100)</f>
        <v>0</v>
      </c>
      <c r="EE50" s="817"/>
      <c r="EF50" s="817"/>
      <c r="EG50" s="712">
        <f>IF(EE50=0,0,(EF50-EE50)/EE50*100)</f>
        <v>0</v>
      </c>
      <c r="EH50" s="817"/>
      <c r="EI50" s="817"/>
      <c r="EJ50" s="712">
        <f>IF(EH50=0,0,(EI50-EH50)/EH50*100)</f>
        <v>0</v>
      </c>
      <c r="EK50" s="817"/>
      <c r="EL50" s="817"/>
      <c r="EM50" s="712">
        <f>IF(EK50=0,0,(EL50-EK50)/EK50*100)</f>
        <v>0</v>
      </c>
      <c r="EN50" s="817"/>
      <c r="EO50" s="817"/>
      <c r="EP50" s="712">
        <f>IF(EN50=0,0,(EO50-EN50)/EN50*100)</f>
        <v>0</v>
      </c>
      <c r="EQ50" s="817"/>
      <c r="ER50" s="817"/>
      <c r="ES50" s="712">
        <f>IF(EQ50=0,0,(ER50-EQ50)/EQ50*100)</f>
        <v>0</v>
      </c>
      <c r="ET50" s="817"/>
      <c r="EU50" s="817"/>
      <c r="EV50" s="712">
        <f>IF(ET50=0,0,(EU50-ET50)/ET50*100)</f>
        <v>0</v>
      </c>
      <c r="EW50" s="817"/>
      <c r="EX50" s="817"/>
      <c r="EY50" s="712">
        <f>IF(EW50=0,0,(EX50-EW50)/EW50*100)</f>
        <v>0</v>
      </c>
      <c r="EZ50" s="817"/>
      <c r="FA50" s="817"/>
      <c r="FB50" s="712">
        <f>IF(EZ50=0,0,(FA50-EZ50)/EZ50*100)</f>
        <v>0</v>
      </c>
      <c r="FC50" s="817"/>
      <c r="FD50" s="817"/>
      <c r="FE50" s="712">
        <f>IF(FC50=0,0,(FD50-FC50)/FC50*100)</f>
        <v>0</v>
      </c>
      <c r="FF50" s="817"/>
      <c r="FG50" s="817"/>
      <c r="FH50" s="712">
        <f>IF(FF50=0,0,(FG50-FF50)/FF50*100)</f>
        <v>0</v>
      </c>
      <c r="FI50" s="817"/>
      <c r="FJ50" s="817"/>
      <c r="FK50" s="712">
        <f>IF(FI50=0,0,(FJ50-FI50)/FI50*100)</f>
        <v>0</v>
      </c>
      <c r="FL50" s="817"/>
      <c r="FM50" s="817"/>
      <c r="FN50" s="712">
        <f>IF(FL50=0,0,(FM50-FL50)/FL50*100)</f>
        <v>0</v>
      </c>
      <c r="FO50" s="817"/>
      <c r="FP50" s="817"/>
      <c r="FQ50" s="712">
        <f>IF(FO50=0,0,(FP50-FO50)/FO50*100)</f>
        <v>0</v>
      </c>
      <c r="FR50" s="817"/>
      <c r="FS50" s="817"/>
      <c r="FT50" s="712">
        <f>IF(FR50=0,0,(FS50-FR50)/FR50*100)</f>
        <v>0</v>
      </c>
      <c r="FU50" s="817"/>
      <c r="FV50" s="817"/>
      <c r="FW50" s="712">
        <f>IF(FU50=0,0,(FV50-FU50)/FU50*100)</f>
        <v>0</v>
      </c>
      <c r="FZ50" s="689" t="s">
        <v>1688</v>
      </c>
    </row>
    <row r="51" spans="1:182" ht="14.65" hidden="1" customHeight="1">
      <c r="A51" s="59"/>
      <c r="B51" s="611" t="b" cm="1">
        <f t="array" ref="B51">B50</f>
        <v>0</v>
      </c>
      <c r="C51" s="59"/>
      <c r="D51" s="59"/>
      <c r="E51" s="460">
        <v>15</v>
      </c>
      <c r="F51" s="3" cm="1">
        <f t="array" aca="1" ref="F51" ca="1">OFFSET(E51,-1,1)</f>
        <v>0</v>
      </c>
      <c r="G51" s="59"/>
      <c r="H51" s="59" t="s">
        <v>1689</v>
      </c>
      <c r="I51" s="59" t="s">
        <v>1645</v>
      </c>
      <c r="J51" s="59"/>
      <c r="K51" s="59"/>
      <c r="L51" s="59"/>
      <c r="M51" s="59"/>
      <c r="N51" s="59"/>
      <c r="O51" s="59"/>
      <c r="P51" s="59"/>
      <c r="Q51" s="59"/>
      <c r="R51" s="59"/>
      <c r="S51" s="59"/>
      <c r="T51" s="351" t="b" cm="1">
        <f t="array" aca="1" ref="T51" ca="1">T50</f>
        <v>0</v>
      </c>
      <c r="U51" s="59"/>
      <c r="V51" s="59"/>
      <c r="W51" s="59"/>
      <c r="X51" s="1046"/>
      <c r="Y51" s="59"/>
      <c r="Z51" s="1007"/>
      <c r="AA51" s="59"/>
      <c r="AB51" s="105" t="s">
        <v>1690</v>
      </c>
      <c r="AC51" s="12" t="s">
        <v>1691</v>
      </c>
      <c r="AD51" s="817"/>
      <c r="AE51" s="817"/>
      <c r="AF51" s="712">
        <f>IF(AD51=0,0,(AE51-AD51)/AD51*100)</f>
        <v>0</v>
      </c>
      <c r="AG51" s="57"/>
      <c r="AH51" s="57"/>
      <c r="AI51" s="712">
        <f>IF(AG51=0,0,(AH51-AG51)/AG51*100)</f>
        <v>0</v>
      </c>
      <c r="AJ51" s="57"/>
      <c r="AK51" s="57"/>
      <c r="AL51" s="712">
        <f>IF(AJ51=0,0,(AK51-AJ51)/AJ51*100)</f>
        <v>0</v>
      </c>
      <c r="AM51" s="817"/>
      <c r="AN51" s="817"/>
      <c r="AO51" s="712">
        <f>IF(AM51=0,0,(AN51-AM51)/AM51*100)</f>
        <v>0</v>
      </c>
      <c r="AP51" s="817"/>
      <c r="AQ51" s="817"/>
      <c r="AR51" s="712">
        <f>IF(AP51=0,0,(AQ51-AP51)/AP51*100)</f>
        <v>0</v>
      </c>
      <c r="AS51" s="817"/>
      <c r="AT51" s="817"/>
      <c r="AU51" s="712">
        <f>IF(AS51=0,0,(AT51-AS51)/AS51*100)</f>
        <v>0</v>
      </c>
      <c r="AV51" s="817"/>
      <c r="AW51" s="817"/>
      <c r="AX51" s="712">
        <f>IF(AV51=0,0,(AW51-AV51)/AV51*100)</f>
        <v>0</v>
      </c>
      <c r="AY51" s="817"/>
      <c r="AZ51" s="817"/>
      <c r="BA51" s="712">
        <f>IF(AY51=0,0,(AZ51-AY51)/AY51*100)</f>
        <v>0</v>
      </c>
      <c r="BB51" s="817"/>
      <c r="BC51" s="817"/>
      <c r="BD51" s="712">
        <f>IF(BB51=0,0,(BC51-BB51)/BB51*100)</f>
        <v>0</v>
      </c>
      <c r="BE51" s="817"/>
      <c r="BF51" s="817"/>
      <c r="BG51" s="712">
        <f>IF(BE51=0,0,(BF51-BE51)/BE51*100)</f>
        <v>0</v>
      </c>
      <c r="BH51" s="817"/>
      <c r="BI51" s="817"/>
      <c r="BJ51" s="712">
        <f>IF(BH51=0,0,(BI51-BH51)/BH51*100)</f>
        <v>0</v>
      </c>
      <c r="BK51" s="817"/>
      <c r="BL51" s="817"/>
      <c r="BM51" s="712">
        <f>IF(BK51=0,0,(BL51-BK51)/BK51*100)</f>
        <v>0</v>
      </c>
      <c r="BN51" s="817"/>
      <c r="BO51" s="817"/>
      <c r="BP51" s="712">
        <f>IF(BN51=0,0,(BO51-BN51)/BN51*100)</f>
        <v>0</v>
      </c>
      <c r="BQ51" s="817"/>
      <c r="BR51" s="817"/>
      <c r="BS51" s="712">
        <f>IF(BQ51=0,0,(BR51-BQ51)/BQ51*100)</f>
        <v>0</v>
      </c>
      <c r="BT51" s="817"/>
      <c r="BU51" s="817"/>
      <c r="BV51" s="712">
        <f>IF(BT51=0,0,(BU51-BT51)/BT51*100)</f>
        <v>0</v>
      </c>
      <c r="BW51" s="817"/>
      <c r="BX51" s="817"/>
      <c r="BY51" s="712">
        <f>IF(BW51=0,0,(BX51-BW51)/BW51*100)</f>
        <v>0</v>
      </c>
      <c r="BZ51" s="817"/>
      <c r="CA51" s="817"/>
      <c r="CB51" s="712">
        <f>IF(BZ51=0,0,(CA51-BZ51)/BZ51*100)</f>
        <v>0</v>
      </c>
      <c r="CC51" s="817"/>
      <c r="CD51" s="817"/>
      <c r="CE51" s="712">
        <f>IF(CC51=0,0,(CD51-CC51)/CC51*100)</f>
        <v>0</v>
      </c>
      <c r="CF51" s="817"/>
      <c r="CG51" s="817"/>
      <c r="CH51" s="712">
        <f>IF(CF51=0,0,(CG51-CF51)/CF51*100)</f>
        <v>0</v>
      </c>
      <c r="CI51" s="817"/>
      <c r="CJ51" s="817"/>
      <c r="CK51" s="712">
        <f>IF(CI51=0,0,(CJ51-CI51)/CI51*100)</f>
        <v>0</v>
      </c>
      <c r="CL51" s="817"/>
      <c r="CM51" s="817"/>
      <c r="CN51" s="712">
        <f>IF(CL51=0,0,(CM51-CL51)/CL51*100)</f>
        <v>0</v>
      </c>
      <c r="CO51" s="817"/>
      <c r="CP51" s="817"/>
      <c r="CQ51" s="712">
        <f>IF(CO51=0,0,(CP51-CO51)/CO51*100)</f>
        <v>0</v>
      </c>
      <c r="CR51" s="817"/>
      <c r="CS51" s="817"/>
      <c r="CT51" s="712">
        <f>IF(CR51=0,0,(CS51-CR51)/CR51*100)</f>
        <v>0</v>
      </c>
      <c r="CU51" s="817"/>
      <c r="CV51" s="817"/>
      <c r="CW51" s="712">
        <f>IF(CU51=0,0,(CV51-CU51)/CU51*100)</f>
        <v>0</v>
      </c>
      <c r="CX51" s="817"/>
      <c r="CY51" s="817"/>
      <c r="CZ51" s="712">
        <f>IF(CX51=0,0,(CY51-CX51)/CX51*100)</f>
        <v>0</v>
      </c>
      <c r="DA51" s="817"/>
      <c r="DB51" s="817"/>
      <c r="DC51" s="712">
        <f>IF(DA51=0,0,(DB51-DA51)/DA51*100)</f>
        <v>0</v>
      </c>
      <c r="DD51" s="817"/>
      <c r="DE51" s="817"/>
      <c r="DF51" s="712">
        <f>IF(DD51=0,0,(DE51-DD51)/DD51*100)</f>
        <v>0</v>
      </c>
      <c r="DG51" s="817"/>
      <c r="DH51" s="817"/>
      <c r="DI51" s="712">
        <f>IF(DG51=0,0,(DH51-DG51)/DG51*100)</f>
        <v>0</v>
      </c>
      <c r="DJ51" s="817"/>
      <c r="DK51" s="817"/>
      <c r="DL51" s="712">
        <f>IF(DJ51=0,0,(DK51-DJ51)/DJ51*100)</f>
        <v>0</v>
      </c>
      <c r="DM51" s="817"/>
      <c r="DN51" s="817"/>
      <c r="DO51" s="712">
        <f>IF(DM51=0,0,(DN51-DM51)/DM51*100)</f>
        <v>0</v>
      </c>
      <c r="DP51" s="817"/>
      <c r="DQ51" s="817"/>
      <c r="DR51" s="712">
        <f>IF(DP51=0,0,(DQ51-DP51)/DP51*100)</f>
        <v>0</v>
      </c>
      <c r="DS51" s="817"/>
      <c r="DT51" s="817"/>
      <c r="DU51" s="712">
        <f>IF(DS51=0,0,(DT51-DS51)/DS51*100)</f>
        <v>0</v>
      </c>
      <c r="DV51" s="817"/>
      <c r="DW51" s="817"/>
      <c r="DX51" s="712">
        <f>IF(DV51=0,0,(DW51-DV51)/DV51*100)</f>
        <v>0</v>
      </c>
      <c r="DY51" s="817"/>
      <c r="DZ51" s="817"/>
      <c r="EA51" s="712">
        <f>IF(DY51=0,0,(DZ51-DY51)/DY51*100)</f>
        <v>0</v>
      </c>
      <c r="EB51" s="817"/>
      <c r="EC51" s="817"/>
      <c r="ED51" s="712">
        <f>IF(EB51=0,0,(EC51-EB51)/EB51*100)</f>
        <v>0</v>
      </c>
      <c r="EE51" s="817"/>
      <c r="EF51" s="817"/>
      <c r="EG51" s="712">
        <f>IF(EE51=0,0,(EF51-EE51)/EE51*100)</f>
        <v>0</v>
      </c>
      <c r="EH51" s="817"/>
      <c r="EI51" s="817"/>
      <c r="EJ51" s="712">
        <f>IF(EH51=0,0,(EI51-EH51)/EH51*100)</f>
        <v>0</v>
      </c>
      <c r="EK51" s="817"/>
      <c r="EL51" s="817"/>
      <c r="EM51" s="712">
        <f>IF(EK51=0,0,(EL51-EK51)/EK51*100)</f>
        <v>0</v>
      </c>
      <c r="EN51" s="817"/>
      <c r="EO51" s="817"/>
      <c r="EP51" s="712">
        <f>IF(EN51=0,0,(EO51-EN51)/EN51*100)</f>
        <v>0</v>
      </c>
      <c r="EQ51" s="817"/>
      <c r="ER51" s="817"/>
      <c r="ES51" s="712">
        <f>IF(EQ51=0,0,(ER51-EQ51)/EQ51*100)</f>
        <v>0</v>
      </c>
      <c r="ET51" s="817"/>
      <c r="EU51" s="817"/>
      <c r="EV51" s="712">
        <f>IF(ET51=0,0,(EU51-ET51)/ET51*100)</f>
        <v>0</v>
      </c>
      <c r="EW51" s="817"/>
      <c r="EX51" s="817"/>
      <c r="EY51" s="712">
        <f>IF(EW51=0,0,(EX51-EW51)/EW51*100)</f>
        <v>0</v>
      </c>
      <c r="EZ51" s="817"/>
      <c r="FA51" s="817"/>
      <c r="FB51" s="712">
        <f>IF(EZ51=0,0,(FA51-EZ51)/EZ51*100)</f>
        <v>0</v>
      </c>
      <c r="FC51" s="817"/>
      <c r="FD51" s="817"/>
      <c r="FE51" s="712">
        <f>IF(FC51=0,0,(FD51-FC51)/FC51*100)</f>
        <v>0</v>
      </c>
      <c r="FF51" s="817"/>
      <c r="FG51" s="817"/>
      <c r="FH51" s="712">
        <f>IF(FF51=0,0,(FG51-FF51)/FF51*100)</f>
        <v>0</v>
      </c>
      <c r="FI51" s="817"/>
      <c r="FJ51" s="817"/>
      <c r="FK51" s="712">
        <f>IF(FI51=0,0,(FJ51-FI51)/FI51*100)</f>
        <v>0</v>
      </c>
      <c r="FL51" s="817"/>
      <c r="FM51" s="817"/>
      <c r="FN51" s="712">
        <f>IF(FL51=0,0,(FM51-FL51)/FL51*100)</f>
        <v>0</v>
      </c>
      <c r="FO51" s="817"/>
      <c r="FP51" s="817"/>
      <c r="FQ51" s="712">
        <f>IF(FO51=0,0,(FP51-FO51)/FO51*100)</f>
        <v>0</v>
      </c>
      <c r="FR51" s="817"/>
      <c r="FS51" s="817"/>
      <c r="FT51" s="712">
        <f>IF(FR51=0,0,(FS51-FR51)/FR51*100)</f>
        <v>0</v>
      </c>
      <c r="FU51" s="817"/>
      <c r="FV51" s="817"/>
      <c r="FW51" s="712">
        <f>IF(FU51=0,0,(FV51-FU51)/FU51*100)</f>
        <v>0</v>
      </c>
      <c r="FZ51" s="689" t="s">
        <v>1692</v>
      </c>
    </row>
    <row r="52" spans="1:182" ht="23.85" hidden="1" customHeight="1">
      <c r="A52" s="59"/>
      <c r="B52" s="611" t="b" cm="1">
        <f t="array" ref="B52">B51</f>
        <v>0</v>
      </c>
      <c r="C52" s="59"/>
      <c r="D52" s="59"/>
      <c r="E52" s="460">
        <v>24.5</v>
      </c>
      <c r="F52" s="3" cm="1">
        <f t="array" aca="1" ref="F52" ca="1">OFFSET(E52,-1,1)</f>
        <v>0</v>
      </c>
      <c r="G52" s="59"/>
      <c r="H52" s="59"/>
      <c r="I52" s="59"/>
      <c r="J52" s="59"/>
      <c r="K52" s="59"/>
      <c r="L52" s="59"/>
      <c r="M52" s="59"/>
      <c r="N52" s="59"/>
      <c r="O52" s="59"/>
      <c r="P52" s="59"/>
      <c r="Q52" s="59"/>
      <c r="R52" s="59"/>
      <c r="S52" s="59"/>
      <c r="T52" s="351" t="b" cm="1">
        <f t="array" aca="1" ref="T52" ca="1">T51</f>
        <v>0</v>
      </c>
      <c r="U52" s="59"/>
      <c r="V52" s="59"/>
      <c r="W52" s="59"/>
      <c r="X52" s="1046"/>
      <c r="Y52" s="59"/>
      <c r="Z52" s="1007"/>
      <c r="AA52" s="59"/>
      <c r="AB52" s="204" t="s">
        <v>1693</v>
      </c>
      <c r="AC52" s="595"/>
      <c r="AD52" s="717"/>
      <c r="AE52" s="717"/>
      <c r="AF52" s="717"/>
      <c r="AG52" s="717"/>
      <c r="AH52" s="717"/>
      <c r="AI52" s="717"/>
      <c r="AJ52" s="717"/>
      <c r="AK52" s="717"/>
      <c r="AL52" s="717"/>
      <c r="AM52" s="717"/>
      <c r="AN52" s="717"/>
      <c r="AO52" s="717"/>
      <c r="AP52" s="717"/>
      <c r="AQ52" s="717"/>
      <c r="AR52" s="717"/>
      <c r="AS52" s="717"/>
      <c r="AT52" s="717"/>
      <c r="AU52" s="717"/>
      <c r="AV52" s="717"/>
      <c r="AW52" s="717"/>
      <c r="AX52" s="717"/>
      <c r="AY52" s="717"/>
      <c r="AZ52" s="717"/>
      <c r="BA52" s="717"/>
      <c r="BB52" s="717"/>
      <c r="BC52" s="717"/>
      <c r="BD52" s="717"/>
      <c r="BE52" s="717"/>
      <c r="BF52" s="717"/>
      <c r="BG52" s="717"/>
      <c r="BH52" s="717"/>
      <c r="BI52" s="717"/>
      <c r="BJ52" s="717"/>
      <c r="BK52" s="717"/>
      <c r="BL52" s="717"/>
      <c r="BM52" s="717"/>
      <c r="BN52" s="717"/>
      <c r="BO52" s="717"/>
      <c r="BP52" s="717"/>
      <c r="BQ52" s="717"/>
      <c r="BR52" s="717"/>
      <c r="BS52" s="717"/>
      <c r="BT52" s="717"/>
      <c r="BU52" s="717"/>
      <c r="BV52" s="717"/>
      <c r="BW52" s="717"/>
      <c r="BX52" s="717"/>
      <c r="BY52" s="717"/>
      <c r="BZ52" s="717"/>
      <c r="CA52" s="717"/>
      <c r="CB52" s="717"/>
      <c r="CC52" s="717"/>
      <c r="CD52" s="717"/>
      <c r="CE52" s="717"/>
      <c r="CF52" s="717"/>
      <c r="CG52" s="717"/>
      <c r="CH52" s="717"/>
      <c r="CI52" s="717"/>
      <c r="CJ52" s="717"/>
      <c r="CK52" s="717"/>
      <c r="CL52" s="717"/>
      <c r="CM52" s="717"/>
      <c r="CN52" s="717"/>
      <c r="CO52" s="717"/>
      <c r="CP52" s="717"/>
      <c r="CQ52" s="717"/>
      <c r="CR52" s="717"/>
      <c r="CS52" s="717"/>
      <c r="CT52" s="717"/>
      <c r="CU52" s="717"/>
      <c r="CV52" s="717"/>
      <c r="CW52" s="717"/>
      <c r="CX52" s="717"/>
      <c r="CY52" s="717"/>
      <c r="CZ52" s="717"/>
      <c r="DA52" s="717"/>
      <c r="DB52" s="717"/>
      <c r="DC52" s="717"/>
      <c r="DD52" s="717"/>
      <c r="DE52" s="717"/>
      <c r="DF52" s="717"/>
      <c r="DG52" s="717"/>
      <c r="DH52" s="717"/>
      <c r="DI52" s="717"/>
      <c r="DJ52" s="717"/>
      <c r="DK52" s="717"/>
      <c r="DL52" s="717"/>
      <c r="DM52" s="717"/>
      <c r="DN52" s="717"/>
      <c r="DO52" s="717"/>
      <c r="DP52" s="717"/>
      <c r="DQ52" s="717"/>
      <c r="DR52" s="717"/>
      <c r="DS52" s="717"/>
      <c r="DT52" s="717"/>
      <c r="DU52" s="717"/>
      <c r="DV52" s="717"/>
      <c r="DW52" s="717"/>
      <c r="DX52" s="717"/>
      <c r="DY52" s="717"/>
      <c r="DZ52" s="717"/>
      <c r="EA52" s="717"/>
      <c r="EB52" s="717"/>
      <c r="EC52" s="717"/>
      <c r="ED52" s="717"/>
      <c r="EE52" s="717"/>
      <c r="EF52" s="717"/>
      <c r="EG52" s="717"/>
      <c r="EH52" s="717"/>
      <c r="EI52" s="717"/>
      <c r="EJ52" s="717"/>
      <c r="EK52" s="717"/>
      <c r="EL52" s="717"/>
      <c r="EM52" s="717"/>
      <c r="EN52" s="717"/>
      <c r="EO52" s="717"/>
      <c r="EP52" s="717"/>
      <c r="EQ52" s="717"/>
      <c r="ER52" s="717"/>
      <c r="ES52" s="717"/>
      <c r="ET52" s="717"/>
      <c r="EU52" s="717"/>
      <c r="EV52" s="717"/>
      <c r="EW52" s="717"/>
      <c r="EX52" s="717"/>
      <c r="EY52" s="717"/>
      <c r="EZ52" s="717"/>
      <c r="FA52" s="717"/>
      <c r="FB52" s="717"/>
      <c r="FC52" s="717"/>
      <c r="FD52" s="717"/>
      <c r="FE52" s="717"/>
      <c r="FF52" s="717"/>
      <c r="FG52" s="717"/>
      <c r="FH52" s="717"/>
      <c r="FI52" s="717"/>
      <c r="FJ52" s="717"/>
      <c r="FK52" s="717"/>
      <c r="FL52" s="717"/>
      <c r="FM52" s="717"/>
      <c r="FN52" s="717"/>
      <c r="FO52" s="717"/>
      <c r="FP52" s="717"/>
      <c r="FQ52" s="717"/>
      <c r="FR52" s="717"/>
      <c r="FS52" s="717"/>
      <c r="FT52" s="717"/>
      <c r="FU52" s="717"/>
      <c r="FV52" s="717"/>
      <c r="FW52" s="718"/>
      <c r="FZ52" s="689"/>
    </row>
    <row r="53" spans="1:182" ht="14.65" hidden="1" customHeight="1">
      <c r="A53" s="59"/>
      <c r="B53" s="611" t="b" cm="1">
        <f t="array" ref="B53">B52</f>
        <v>0</v>
      </c>
      <c r="C53" s="59"/>
      <c r="D53" s="59"/>
      <c r="E53" s="460">
        <v>15</v>
      </c>
      <c r="F53" s="3" cm="1">
        <f t="array" aca="1" ref="F53" ca="1">OFFSET(E53,-1,1)</f>
        <v>0</v>
      </c>
      <c r="G53" s="59"/>
      <c r="H53" s="59" t="s">
        <v>1604</v>
      </c>
      <c r="I53" s="59" t="s">
        <v>1650</v>
      </c>
      <c r="J53" s="59"/>
      <c r="K53" s="59"/>
      <c r="L53" s="59"/>
      <c r="M53" s="59"/>
      <c r="N53" s="59"/>
      <c r="O53" s="59"/>
      <c r="P53" s="59"/>
      <c r="Q53" s="59"/>
      <c r="R53" s="59"/>
      <c r="S53" s="59"/>
      <c r="T53" s="351" t="b" cm="1">
        <f t="array" aca="1" ref="T53" ca="1">T52</f>
        <v>0</v>
      </c>
      <c r="U53" s="59"/>
      <c r="V53" s="59"/>
      <c r="W53" s="59"/>
      <c r="X53" s="1046"/>
      <c r="Y53" s="59"/>
      <c r="Z53" s="1007"/>
      <c r="AA53" s="59"/>
      <c r="AB53" s="105" t="s">
        <v>1680</v>
      </c>
      <c r="AC53" s="12" t="s">
        <v>1647</v>
      </c>
      <c r="AD53" s="817">
        <f ca="1">IF(AD55=0,0,(AD54*AD55+AD56*AD57*IF(god=2026,3,6))/AD55)</f>
        <v>0</v>
      </c>
      <c r="AE53" s="817">
        <f ca="1">IF(AE55=0,0,(AE54*AE55+AE56*AE57*IF(god=2026,3,6))/AE55)</f>
        <v>0</v>
      </c>
      <c r="AF53" s="712">
        <f ca="1">IF(AD53=0,0,(AE53-AD53)/AD53*100)</f>
        <v>0</v>
      </c>
      <c r="AG53" s="57">
        <f ca="1">IF(AG55=0,0,(AG54*AG55+AG56*AG57*IF(god=2025,3,6))/AG55)</f>
        <v>0</v>
      </c>
      <c r="AH53" s="57">
        <f ca="1">IF(AH55=0,0,(AH54*AH55+AH56*AH57*IF(god=2025,3,6))/AH55)</f>
        <v>0</v>
      </c>
      <c r="AI53" s="712">
        <f ca="1">IF(AG53=0,0,(AH53-AG53)/AG53*100)</f>
        <v>0</v>
      </c>
      <c r="AJ53" s="57">
        <f ca="1">IF(AJ55=0,0,(AJ54*AJ55+AJ56*AJ57*6)/AJ55)</f>
        <v>0</v>
      </c>
      <c r="AK53" s="57">
        <f ca="1">IF(AK55=0,0,(AK54*AK55+AK56*AK57*6)/AK55)</f>
        <v>0</v>
      </c>
      <c r="AL53" s="712">
        <f ca="1">IF(AJ53=0,0,(AK53-AJ53)/AJ53*100)</f>
        <v>0</v>
      </c>
      <c r="AM53" s="817">
        <f ca="1">IF(AM55=0,0,(AM54*AM55+AM56*AM57*6)/AM55)</f>
        <v>0</v>
      </c>
      <c r="AN53" s="817">
        <f ca="1">IF(AN55=0,0,(AN54*AN55+AN56*AN57*6)/AN55)</f>
        <v>0</v>
      </c>
      <c r="AO53" s="712">
        <f ca="1">IF(AM53=0,0,(AN53-AM53)/AM53*100)</f>
        <v>0</v>
      </c>
      <c r="AP53" s="817">
        <f ca="1">IF(AP55=0,0,(AP54*AP55+AP56*AP57*6)/AP55)</f>
        <v>0</v>
      </c>
      <c r="AQ53" s="817">
        <f ca="1">IF(AQ55=0,0,(AQ54*AQ55+AQ56*AQ57*6)/AQ55)</f>
        <v>0</v>
      </c>
      <c r="AR53" s="712">
        <f ca="1">IF(AP53=0,0,(AQ53-AP53)/AP53*100)</f>
        <v>0</v>
      </c>
      <c r="AS53" s="817">
        <f ca="1">IF(AS55=0,0,(AS54*AS55+AS56*AS57*6)/AS55)</f>
        <v>0</v>
      </c>
      <c r="AT53" s="817">
        <f ca="1">IF(AT55=0,0,(AT54*AT55+AT56*AT57*6)/AT55)</f>
        <v>0</v>
      </c>
      <c r="AU53" s="712">
        <f ca="1">IF(AS53=0,0,(AT53-AS53)/AS53*100)</f>
        <v>0</v>
      </c>
      <c r="AV53" s="817">
        <f ca="1">IF(AV55=0,0,(AV54*AV55+AV56*AV57*6)/AV55)</f>
        <v>0</v>
      </c>
      <c r="AW53" s="817">
        <f ca="1">IF(AW55=0,0,(AW54*AW55+AW56*AW57*6)/AW55)</f>
        <v>0</v>
      </c>
      <c r="AX53" s="712">
        <f ca="1">IF(AV53=0,0,(AW53-AV53)/AV53*100)</f>
        <v>0</v>
      </c>
      <c r="AY53" s="817">
        <f ca="1">IF(AY55=0,0,(AY54*AY55+AY56*AY57*6)/AY55)</f>
        <v>0</v>
      </c>
      <c r="AZ53" s="817">
        <f ca="1">IF(AZ55=0,0,(AZ54*AZ55+AZ56*AZ57*6)/AZ55)</f>
        <v>0</v>
      </c>
      <c r="BA53" s="712">
        <f ca="1">IF(AY53=0,0,(AZ53-AY53)/AY53*100)</f>
        <v>0</v>
      </c>
      <c r="BB53" s="817">
        <f ca="1">IF(BB55=0,0,(BB54*BB55+BB56*BB57*6)/BB55)</f>
        <v>0</v>
      </c>
      <c r="BC53" s="817">
        <f ca="1">IF(BC55=0,0,(BC54*BC55+BC56*BC57*6)/BC55)</f>
        <v>0</v>
      </c>
      <c r="BD53" s="712">
        <f ca="1">IF(BB53=0,0,(BC53-BB53)/BB53*100)</f>
        <v>0</v>
      </c>
      <c r="BE53" s="817">
        <f ca="1">IF(BE55=0,0,(BE54*BE55+BE56*BE57*6)/BE55)</f>
        <v>0</v>
      </c>
      <c r="BF53" s="817">
        <f ca="1">IF(BF55=0,0,(BF54*BF55+BF56*BF57*6)/BF55)</f>
        <v>0</v>
      </c>
      <c r="BG53" s="712">
        <f ca="1">IF(BE53=0,0,(BF53-BE53)/BE53*100)</f>
        <v>0</v>
      </c>
      <c r="BH53" s="817">
        <f>IF(BH55=0,0,(BH54*BH55+BH56*BH57*6)/BH55)</f>
        <v>0</v>
      </c>
      <c r="BI53" s="817">
        <f>IF(BI55=0,0,(BI54*BI55+BI56*BI57*6)/BI55)</f>
        <v>0</v>
      </c>
      <c r="BJ53" s="712">
        <f>IF(BH53=0,0,(BI53-BH53)/BH53*100)</f>
        <v>0</v>
      </c>
      <c r="BK53" s="817">
        <f>IF(BK55=0,0,(BK54*BK55+BK56*BK57*6)/BK55)</f>
        <v>0</v>
      </c>
      <c r="BL53" s="817">
        <f>IF(BL55=0,0,(BL54*BL55+BL56*BL57*6)/BL55)</f>
        <v>0</v>
      </c>
      <c r="BM53" s="712">
        <f>IF(BK53=0,0,(BL53-BK53)/BK53*100)</f>
        <v>0</v>
      </c>
      <c r="BN53" s="817">
        <f>IF(BN55=0,0,(BN54*BN55+BN56*BN57*6)/BN55)</f>
        <v>0</v>
      </c>
      <c r="BO53" s="817">
        <f>IF(BO55=0,0,(BO54*BO55+BO56*BO57*6)/BO55)</f>
        <v>0</v>
      </c>
      <c r="BP53" s="712">
        <f>IF(BN53=0,0,(BO53-BN53)/BN53*100)</f>
        <v>0</v>
      </c>
      <c r="BQ53" s="817">
        <f>IF(BQ55=0,0,(BQ54*BQ55+BQ56*BQ57*6)/BQ55)</f>
        <v>0</v>
      </c>
      <c r="BR53" s="817">
        <f>IF(BR55=0,0,(BR54*BR55+BR56*BR57*6)/BR55)</f>
        <v>0</v>
      </c>
      <c r="BS53" s="712">
        <f>IF(BQ53=0,0,(BR53-BQ53)/BQ53*100)</f>
        <v>0</v>
      </c>
      <c r="BT53" s="817">
        <f>IF(BT55=0,0,(BT54*BT55+BT56*BT57*6)/BT55)</f>
        <v>0</v>
      </c>
      <c r="BU53" s="817">
        <f>IF(BU55=0,0,(BU54*BU55+BU56*BU57*6)/BU55)</f>
        <v>0</v>
      </c>
      <c r="BV53" s="712">
        <f>IF(BT53=0,0,(BU53-BT53)/BT53*100)</f>
        <v>0</v>
      </c>
      <c r="BW53" s="817">
        <f>IF(BW55=0,0,(BW54*BW55+BW56*BW57*6)/BW55)</f>
        <v>0</v>
      </c>
      <c r="BX53" s="817">
        <f>IF(BX55=0,0,(BX54*BX55+BX56*BX57*6)/BX55)</f>
        <v>0</v>
      </c>
      <c r="BY53" s="712">
        <f>IF(BW53=0,0,(BX53-BW53)/BW53*100)</f>
        <v>0</v>
      </c>
      <c r="BZ53" s="817">
        <f>IF(BZ55=0,0,(BZ54*BZ55+BZ56*BZ57*6)/BZ55)</f>
        <v>0</v>
      </c>
      <c r="CA53" s="817">
        <f>IF(CA55=0,0,(CA54*CA55+CA56*CA57*6)/CA55)</f>
        <v>0</v>
      </c>
      <c r="CB53" s="712">
        <f>IF(BZ53=0,0,(CA53-BZ53)/BZ53*100)</f>
        <v>0</v>
      </c>
      <c r="CC53" s="817">
        <f>IF(CC55=0,0,(CC54*CC55+CC56*CC57*6)/CC55)</f>
        <v>0</v>
      </c>
      <c r="CD53" s="817">
        <f>IF(CD55=0,0,(CD54*CD55+CD56*CD57*6)/CD55)</f>
        <v>0</v>
      </c>
      <c r="CE53" s="712">
        <f>IF(CC53=0,0,(CD53-CC53)/CC53*100)</f>
        <v>0</v>
      </c>
      <c r="CF53" s="817">
        <f>IF(CF55=0,0,(CF54*CF55+CF56*CF57*6)/CF55)</f>
        <v>0</v>
      </c>
      <c r="CG53" s="817">
        <f>IF(CG55=0,0,(CG54*CG55+CG56*CG57*6)/CG55)</f>
        <v>0</v>
      </c>
      <c r="CH53" s="712">
        <f>IF(CF53=0,0,(CG53-CF53)/CF53*100)</f>
        <v>0</v>
      </c>
      <c r="CI53" s="817">
        <f>IF(CI55=0,0,(CI54*CI55+CI56*CI57*6)/CI55)</f>
        <v>0</v>
      </c>
      <c r="CJ53" s="817">
        <f>IF(CJ55=0,0,(CJ54*CJ55+CJ56*CJ57*6)/CJ55)</f>
        <v>0</v>
      </c>
      <c r="CK53" s="712">
        <f>IF(CI53=0,0,(CJ53-CI53)/CI53*100)</f>
        <v>0</v>
      </c>
      <c r="CL53" s="817">
        <f>IF(CL55=0,0,(CL54*CL55+CL56*CL57*6)/CL55)</f>
        <v>0</v>
      </c>
      <c r="CM53" s="817">
        <f>IF(CM55=0,0,(CM54*CM55+CM56*CM57*6)/CM55)</f>
        <v>0</v>
      </c>
      <c r="CN53" s="712">
        <f>IF(CL53=0,0,(CM53-CL53)/CL53*100)</f>
        <v>0</v>
      </c>
      <c r="CO53" s="817">
        <f>IF(CO55=0,0,(CO54*CO55+CO56*CO57*6)/CO55)</f>
        <v>0</v>
      </c>
      <c r="CP53" s="817">
        <f>IF(CP55=0,0,(CP54*CP55+CP56*CP57*6)/CP55)</f>
        <v>0</v>
      </c>
      <c r="CQ53" s="712">
        <f>IF(CO53=0,0,(CP53-CO53)/CO53*100)</f>
        <v>0</v>
      </c>
      <c r="CR53" s="817">
        <f>IF(CR55=0,0,(CR54*CR55+CR56*CR57*6)/CR55)</f>
        <v>0</v>
      </c>
      <c r="CS53" s="817">
        <f>IF(CS55=0,0,(CS54*CS55+CS56*CS57*6)/CS55)</f>
        <v>0</v>
      </c>
      <c r="CT53" s="712">
        <f>IF(CR53=0,0,(CS53-CR53)/CR53*100)</f>
        <v>0</v>
      </c>
      <c r="CU53" s="817">
        <f>IF(CU55=0,0,(CU54*CU55+CU56*CU57*6)/CU55)</f>
        <v>0</v>
      </c>
      <c r="CV53" s="817">
        <f>IF(CV55=0,0,(CV54*CV55+CV56*CV57*6)/CV55)</f>
        <v>0</v>
      </c>
      <c r="CW53" s="712">
        <f>IF(CU53=0,0,(CV53-CU53)/CU53*100)</f>
        <v>0</v>
      </c>
      <c r="CX53" s="817">
        <f>IF(CX55=0,0,(CX54*CX55+CX56*CX57*6)/CX55)</f>
        <v>0</v>
      </c>
      <c r="CY53" s="817">
        <f>IF(CY55=0,0,(CY54*CY55+CY56*CY57*6)/CY55)</f>
        <v>0</v>
      </c>
      <c r="CZ53" s="712">
        <f>IF(CX53=0,0,(CY53-CX53)/CX53*100)</f>
        <v>0</v>
      </c>
      <c r="DA53" s="817">
        <f>IF(DA55=0,0,(DA54*DA55+DA56*DA57*6)/DA55)</f>
        <v>0</v>
      </c>
      <c r="DB53" s="817">
        <f>IF(DB55=0,0,(DB54*DB55+DB56*DB57*6)/DB55)</f>
        <v>0</v>
      </c>
      <c r="DC53" s="712">
        <f>IF(DA53=0,0,(DB53-DA53)/DA53*100)</f>
        <v>0</v>
      </c>
      <c r="DD53" s="817">
        <f>IF(DD55=0,0,(DD54*DD55+DD56*DD57*6)/DD55)</f>
        <v>0</v>
      </c>
      <c r="DE53" s="817">
        <f>IF(DE55=0,0,(DE54*DE55+DE56*DE57*6)/DE55)</f>
        <v>0</v>
      </c>
      <c r="DF53" s="712">
        <f>IF(DD53=0,0,(DE53-DD53)/DD53*100)</f>
        <v>0</v>
      </c>
      <c r="DG53" s="817">
        <f>IF(DG55=0,0,(DG54*DG55+DG56*DG57*6)/DG55)</f>
        <v>0</v>
      </c>
      <c r="DH53" s="817">
        <f>IF(DH55=0,0,(DH54*DH55+DH56*DH57*6)/DH55)</f>
        <v>0</v>
      </c>
      <c r="DI53" s="712">
        <f>IF(DG53=0,0,(DH53-DG53)/DG53*100)</f>
        <v>0</v>
      </c>
      <c r="DJ53" s="817">
        <f>IF(DJ55=0,0,(DJ54*DJ55+DJ56*DJ57*6)/DJ55)</f>
        <v>0</v>
      </c>
      <c r="DK53" s="817">
        <f>IF(DK55=0,0,(DK54*DK55+DK56*DK57*6)/DK55)</f>
        <v>0</v>
      </c>
      <c r="DL53" s="712">
        <f>IF(DJ53=0,0,(DK53-DJ53)/DJ53*100)</f>
        <v>0</v>
      </c>
      <c r="DM53" s="817">
        <f>IF(DM55=0,0,(DM54*DM55+DM56*DM57*6)/DM55)</f>
        <v>0</v>
      </c>
      <c r="DN53" s="817">
        <f>IF(DN55=0,0,(DN54*DN55+DN56*DN57*6)/DN55)</f>
        <v>0</v>
      </c>
      <c r="DO53" s="712">
        <f>IF(DM53=0,0,(DN53-DM53)/DM53*100)</f>
        <v>0</v>
      </c>
      <c r="DP53" s="817">
        <f>IF(DP55=0,0,(DP54*DP55+DP56*DP57*6)/DP55)</f>
        <v>0</v>
      </c>
      <c r="DQ53" s="817">
        <f>IF(DQ55=0,0,(DQ54*DQ55+DQ56*DQ57*6)/DQ55)</f>
        <v>0</v>
      </c>
      <c r="DR53" s="712">
        <f>IF(DP53=0,0,(DQ53-DP53)/DP53*100)</f>
        <v>0</v>
      </c>
      <c r="DS53" s="817">
        <f>IF(DS55=0,0,(DS54*DS55+DS56*DS57*6)/DS55)</f>
        <v>0</v>
      </c>
      <c r="DT53" s="817">
        <f>IF(DT55=0,0,(DT54*DT55+DT56*DT57*6)/DT55)</f>
        <v>0</v>
      </c>
      <c r="DU53" s="712">
        <f>IF(DS53=0,0,(DT53-DS53)/DS53*100)</f>
        <v>0</v>
      </c>
      <c r="DV53" s="817">
        <f>IF(DV55=0,0,(DV54*DV55+DV56*DV57*6)/DV55)</f>
        <v>0</v>
      </c>
      <c r="DW53" s="817">
        <f>IF(DW55=0,0,(DW54*DW55+DW56*DW57*6)/DW55)</f>
        <v>0</v>
      </c>
      <c r="DX53" s="712">
        <f>IF(DV53=0,0,(DW53-DV53)/DV53*100)</f>
        <v>0</v>
      </c>
      <c r="DY53" s="817">
        <f>IF(DY55=0,0,(DY54*DY55+DY56*DY57*6)/DY55)</f>
        <v>0</v>
      </c>
      <c r="DZ53" s="817">
        <f>IF(DZ55=0,0,(DZ54*DZ55+DZ56*DZ57*6)/DZ55)</f>
        <v>0</v>
      </c>
      <c r="EA53" s="712">
        <f>IF(DY53=0,0,(DZ53-DY53)/DY53*100)</f>
        <v>0</v>
      </c>
      <c r="EB53" s="817">
        <f>IF(EB55=0,0,(EB54*EB55+EB56*EB57*6)/EB55)</f>
        <v>0</v>
      </c>
      <c r="EC53" s="817">
        <f>IF(EC55=0,0,(EC54*EC55+EC56*EC57*6)/EC55)</f>
        <v>0</v>
      </c>
      <c r="ED53" s="712">
        <f>IF(EB53=0,0,(EC53-EB53)/EB53*100)</f>
        <v>0</v>
      </c>
      <c r="EE53" s="817">
        <f>IF(EE55=0,0,(EE54*EE55+EE56*EE57*6)/EE55)</f>
        <v>0</v>
      </c>
      <c r="EF53" s="817">
        <f>IF(EF55=0,0,(EF54*EF55+EF56*EF57*6)/EF55)</f>
        <v>0</v>
      </c>
      <c r="EG53" s="712">
        <f>IF(EE53=0,0,(EF53-EE53)/EE53*100)</f>
        <v>0</v>
      </c>
      <c r="EH53" s="817">
        <f>IF(EH55=0,0,(EH54*EH55+EH56*EH57*6)/EH55)</f>
        <v>0</v>
      </c>
      <c r="EI53" s="817">
        <f>IF(EI55=0,0,(EI54*EI55+EI56*EI57*6)/EI55)</f>
        <v>0</v>
      </c>
      <c r="EJ53" s="712">
        <f>IF(EH53=0,0,(EI53-EH53)/EH53*100)</f>
        <v>0</v>
      </c>
      <c r="EK53" s="817">
        <f>IF(EK55=0,0,(EK54*EK55+EK56*EK57*6)/EK55)</f>
        <v>0</v>
      </c>
      <c r="EL53" s="817">
        <f>IF(EL55=0,0,(EL54*EL55+EL56*EL57*6)/EL55)</f>
        <v>0</v>
      </c>
      <c r="EM53" s="712">
        <f>IF(EK53=0,0,(EL53-EK53)/EK53*100)</f>
        <v>0</v>
      </c>
      <c r="EN53" s="817">
        <f>IF(EN55=0,0,(EN54*EN55+EN56*EN57*6)/EN55)</f>
        <v>0</v>
      </c>
      <c r="EO53" s="817">
        <f>IF(EO55=0,0,(EO54*EO55+EO56*EO57*6)/EO55)</f>
        <v>0</v>
      </c>
      <c r="EP53" s="712">
        <f>IF(EN53=0,0,(EO53-EN53)/EN53*100)</f>
        <v>0</v>
      </c>
      <c r="EQ53" s="817">
        <f>IF(EQ55=0,0,(EQ54*EQ55+EQ56*EQ57*6)/EQ55)</f>
        <v>0</v>
      </c>
      <c r="ER53" s="817">
        <f>IF(ER55=0,0,(ER54*ER55+ER56*ER57*6)/ER55)</f>
        <v>0</v>
      </c>
      <c r="ES53" s="712">
        <f>IF(EQ53=0,0,(ER53-EQ53)/EQ53*100)</f>
        <v>0</v>
      </c>
      <c r="ET53" s="817">
        <f>IF(ET55=0,0,(ET54*ET55+ET56*ET57*6)/ET55)</f>
        <v>0</v>
      </c>
      <c r="EU53" s="817">
        <f>IF(EU55=0,0,(EU54*EU55+EU56*EU57*6)/EU55)</f>
        <v>0</v>
      </c>
      <c r="EV53" s="712">
        <f>IF(ET53=0,0,(EU53-ET53)/ET53*100)</f>
        <v>0</v>
      </c>
      <c r="EW53" s="817">
        <f>IF(EW55=0,0,(EW54*EW55+EW56*EW57*6)/EW55)</f>
        <v>0</v>
      </c>
      <c r="EX53" s="817">
        <f>IF(EX55=0,0,(EX54*EX55+EX56*EX57*6)/EX55)</f>
        <v>0</v>
      </c>
      <c r="EY53" s="712">
        <f>IF(EW53=0,0,(EX53-EW53)/EW53*100)</f>
        <v>0</v>
      </c>
      <c r="EZ53" s="817">
        <f>IF(EZ55=0,0,(EZ54*EZ55+EZ56*EZ57*6)/EZ55)</f>
        <v>0</v>
      </c>
      <c r="FA53" s="817">
        <f>IF(FA55=0,0,(FA54*FA55+FA56*FA57*6)/FA55)</f>
        <v>0</v>
      </c>
      <c r="FB53" s="712">
        <f>IF(EZ53=0,0,(FA53-EZ53)/EZ53*100)</f>
        <v>0</v>
      </c>
      <c r="FC53" s="817">
        <f>IF(FC55=0,0,(FC54*FC55+FC56*FC57*6)/FC55)</f>
        <v>0</v>
      </c>
      <c r="FD53" s="817">
        <f>IF(FD55=0,0,(FD54*FD55+FD56*FD57*6)/FD55)</f>
        <v>0</v>
      </c>
      <c r="FE53" s="712">
        <f>IF(FC53=0,0,(FD53-FC53)/FC53*100)</f>
        <v>0</v>
      </c>
      <c r="FF53" s="817">
        <f>IF(FF55=0,0,(FF54*FF55+FF56*FF57*6)/FF55)</f>
        <v>0</v>
      </c>
      <c r="FG53" s="817">
        <f>IF(FG55=0,0,(FG54*FG55+FG56*FG57*6)/FG55)</f>
        <v>0</v>
      </c>
      <c r="FH53" s="712">
        <f>IF(FF53=0,0,(FG53-FF53)/FF53*100)</f>
        <v>0</v>
      </c>
      <c r="FI53" s="817">
        <f>IF(FI55=0,0,(FI54*FI55+FI56*FI57*6)/FI55)</f>
        <v>0</v>
      </c>
      <c r="FJ53" s="817">
        <f>IF(FJ55=0,0,(FJ54*FJ55+FJ56*FJ57*6)/FJ55)</f>
        <v>0</v>
      </c>
      <c r="FK53" s="712">
        <f>IF(FI53=0,0,(FJ53-FI53)/FI53*100)</f>
        <v>0</v>
      </c>
      <c r="FL53" s="817">
        <f>IF(FL55=0,0,(FL54*FL55+FL56*FL57*6)/FL55)</f>
        <v>0</v>
      </c>
      <c r="FM53" s="817">
        <f>IF(FM55=0,0,(FM54*FM55+FM56*FM57*6)/FM55)</f>
        <v>0</v>
      </c>
      <c r="FN53" s="712">
        <f>IF(FL53=0,0,(FM53-FL53)/FL53*100)</f>
        <v>0</v>
      </c>
      <c r="FO53" s="817">
        <f>IF(FO55=0,0,(FO54*FO55+FO56*FO57*6)/FO55)</f>
        <v>0</v>
      </c>
      <c r="FP53" s="817">
        <f>IF(FP55=0,0,(FP54*FP55+FP56*FP57*6)/FP55)</f>
        <v>0</v>
      </c>
      <c r="FQ53" s="712">
        <f>IF(FO53=0,0,(FP53-FO53)/FO53*100)</f>
        <v>0</v>
      </c>
      <c r="FR53" s="817">
        <f>IF(FR55=0,0,(FR54*FR55+FR56*FR57*6)/FR55)</f>
        <v>0</v>
      </c>
      <c r="FS53" s="817">
        <f>IF(FS55=0,0,(FS54*FS55+FS56*FS57*6)/FS55)</f>
        <v>0</v>
      </c>
      <c r="FT53" s="712">
        <f>IF(FR53=0,0,(FS53-FR53)/FR53*100)</f>
        <v>0</v>
      </c>
      <c r="FU53" s="817">
        <f>IF(FU55=0,0,(FU54*FU55+FU56*FU57*6)/FU55)</f>
        <v>0</v>
      </c>
      <c r="FV53" s="817">
        <f>IF(FV55=0,0,(FV54*FV55+FV56*FV57*6)/FV55)</f>
        <v>0</v>
      </c>
      <c r="FW53" s="712">
        <f>IF(FU53=0,0,(FV53-FU53)/FU53*100)</f>
        <v>0</v>
      </c>
      <c r="FZ53" s="689" t="s">
        <v>1694</v>
      </c>
    </row>
    <row r="54" spans="1:182" ht="14.65" hidden="1" customHeight="1">
      <c r="A54" s="59"/>
      <c r="B54" s="611" t="b" cm="1">
        <f t="array" ref="B54">B53</f>
        <v>0</v>
      </c>
      <c r="C54" s="59"/>
      <c r="D54" s="59"/>
      <c r="E54" s="460">
        <v>15</v>
      </c>
      <c r="F54" s="3" cm="1">
        <f t="array" aca="1" ref="F54" ca="1">OFFSET(E54,-1,1)</f>
        <v>0</v>
      </c>
      <c r="G54" s="59"/>
      <c r="H54" s="59" t="s">
        <v>1608</v>
      </c>
      <c r="I54" s="59" t="s">
        <v>1650</v>
      </c>
      <c r="J54" s="59"/>
      <c r="K54" s="59"/>
      <c r="L54" s="59"/>
      <c r="M54" s="59"/>
      <c r="N54" s="59"/>
      <c r="O54" s="59"/>
      <c r="P54" s="59"/>
      <c r="Q54" s="59"/>
      <c r="R54" s="59"/>
      <c r="S54" s="59"/>
      <c r="T54" s="351" t="b" cm="1">
        <f t="array" aca="1" ref="T54" ca="1">T53</f>
        <v>0</v>
      </c>
      <c r="U54" s="59"/>
      <c r="V54" s="59"/>
      <c r="W54" s="59"/>
      <c r="X54" s="1046"/>
      <c r="Y54" s="59"/>
      <c r="Z54" s="1007"/>
      <c r="AA54" s="59"/>
      <c r="AB54" s="105"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1647</v>
      </c>
      <c r="AD54" s="817"/>
      <c r="AE54" s="817"/>
      <c r="AF54" s="712">
        <f>IF(AD54=0,0,(AE54-AD54)/AD54*100)</f>
        <v>0</v>
      </c>
      <c r="AG54" s="57"/>
      <c r="AH54" s="57"/>
      <c r="AI54" s="712">
        <f>IF(AG54=0,0,(AH54-AG54)/AG54*100)</f>
        <v>0</v>
      </c>
      <c r="AJ54" s="57"/>
      <c r="AK54" s="57"/>
      <c r="AL54" s="712">
        <f>IF(AJ54=0,0,(AK54-AJ54)/AJ54*100)</f>
        <v>0</v>
      </c>
      <c r="AM54" s="817"/>
      <c r="AN54" s="817"/>
      <c r="AO54" s="712">
        <f>IF(AM54=0,0,(AN54-AM54)/AM54*100)</f>
        <v>0</v>
      </c>
      <c r="AP54" s="817"/>
      <c r="AQ54" s="817"/>
      <c r="AR54" s="712">
        <f>IF(AP54=0,0,(AQ54-AP54)/AP54*100)</f>
        <v>0</v>
      </c>
      <c r="AS54" s="817"/>
      <c r="AT54" s="817"/>
      <c r="AU54" s="712">
        <f>IF(AS54=0,0,(AT54-AS54)/AS54*100)</f>
        <v>0</v>
      </c>
      <c r="AV54" s="817"/>
      <c r="AW54" s="817"/>
      <c r="AX54" s="712">
        <f>IF(AV54=0,0,(AW54-AV54)/AV54*100)</f>
        <v>0</v>
      </c>
      <c r="AY54" s="817"/>
      <c r="AZ54" s="817"/>
      <c r="BA54" s="712">
        <f>IF(AY54=0,0,(AZ54-AY54)/AY54*100)</f>
        <v>0</v>
      </c>
      <c r="BB54" s="817"/>
      <c r="BC54" s="817"/>
      <c r="BD54" s="712">
        <f>IF(BB54=0,0,(BC54-BB54)/BB54*100)</f>
        <v>0</v>
      </c>
      <c r="BE54" s="817"/>
      <c r="BF54" s="817"/>
      <c r="BG54" s="712">
        <f>IF(BE54=0,0,(BF54-BE54)/BE54*100)</f>
        <v>0</v>
      </c>
      <c r="BH54" s="817"/>
      <c r="BI54" s="817"/>
      <c r="BJ54" s="712">
        <f>IF(BH54=0,0,(BI54-BH54)/BH54*100)</f>
        <v>0</v>
      </c>
      <c r="BK54" s="817"/>
      <c r="BL54" s="817"/>
      <c r="BM54" s="712">
        <f>IF(BK54=0,0,(BL54-BK54)/BK54*100)</f>
        <v>0</v>
      </c>
      <c r="BN54" s="817"/>
      <c r="BO54" s="817"/>
      <c r="BP54" s="712">
        <f>IF(BN54=0,0,(BO54-BN54)/BN54*100)</f>
        <v>0</v>
      </c>
      <c r="BQ54" s="817"/>
      <c r="BR54" s="817"/>
      <c r="BS54" s="712">
        <f>IF(BQ54=0,0,(BR54-BQ54)/BQ54*100)</f>
        <v>0</v>
      </c>
      <c r="BT54" s="817"/>
      <c r="BU54" s="817"/>
      <c r="BV54" s="712">
        <f>IF(BT54=0,0,(BU54-BT54)/BT54*100)</f>
        <v>0</v>
      </c>
      <c r="BW54" s="817"/>
      <c r="BX54" s="817"/>
      <c r="BY54" s="712">
        <f>IF(BW54=0,0,(BX54-BW54)/BW54*100)</f>
        <v>0</v>
      </c>
      <c r="BZ54" s="817"/>
      <c r="CA54" s="817"/>
      <c r="CB54" s="712">
        <f>IF(BZ54=0,0,(CA54-BZ54)/BZ54*100)</f>
        <v>0</v>
      </c>
      <c r="CC54" s="817"/>
      <c r="CD54" s="817"/>
      <c r="CE54" s="712">
        <f>IF(CC54=0,0,(CD54-CC54)/CC54*100)</f>
        <v>0</v>
      </c>
      <c r="CF54" s="817"/>
      <c r="CG54" s="817"/>
      <c r="CH54" s="712">
        <f>IF(CF54=0,0,(CG54-CF54)/CF54*100)</f>
        <v>0</v>
      </c>
      <c r="CI54" s="817"/>
      <c r="CJ54" s="817"/>
      <c r="CK54" s="712">
        <f>IF(CI54=0,0,(CJ54-CI54)/CI54*100)</f>
        <v>0</v>
      </c>
      <c r="CL54" s="817"/>
      <c r="CM54" s="817"/>
      <c r="CN54" s="712">
        <f>IF(CL54=0,0,(CM54-CL54)/CL54*100)</f>
        <v>0</v>
      </c>
      <c r="CO54" s="817"/>
      <c r="CP54" s="817"/>
      <c r="CQ54" s="712">
        <f>IF(CO54=0,0,(CP54-CO54)/CO54*100)</f>
        <v>0</v>
      </c>
      <c r="CR54" s="817"/>
      <c r="CS54" s="817"/>
      <c r="CT54" s="712">
        <f>IF(CR54=0,0,(CS54-CR54)/CR54*100)</f>
        <v>0</v>
      </c>
      <c r="CU54" s="817"/>
      <c r="CV54" s="817"/>
      <c r="CW54" s="712">
        <f>IF(CU54=0,0,(CV54-CU54)/CU54*100)</f>
        <v>0</v>
      </c>
      <c r="CX54" s="817"/>
      <c r="CY54" s="817"/>
      <c r="CZ54" s="712">
        <f>IF(CX54=0,0,(CY54-CX54)/CX54*100)</f>
        <v>0</v>
      </c>
      <c r="DA54" s="817"/>
      <c r="DB54" s="817"/>
      <c r="DC54" s="712">
        <f>IF(DA54=0,0,(DB54-DA54)/DA54*100)</f>
        <v>0</v>
      </c>
      <c r="DD54" s="817"/>
      <c r="DE54" s="817"/>
      <c r="DF54" s="712">
        <f>IF(DD54=0,0,(DE54-DD54)/DD54*100)</f>
        <v>0</v>
      </c>
      <c r="DG54" s="817"/>
      <c r="DH54" s="817"/>
      <c r="DI54" s="712">
        <f>IF(DG54=0,0,(DH54-DG54)/DG54*100)</f>
        <v>0</v>
      </c>
      <c r="DJ54" s="817"/>
      <c r="DK54" s="817"/>
      <c r="DL54" s="712">
        <f>IF(DJ54=0,0,(DK54-DJ54)/DJ54*100)</f>
        <v>0</v>
      </c>
      <c r="DM54" s="817"/>
      <c r="DN54" s="817"/>
      <c r="DO54" s="712">
        <f>IF(DM54=0,0,(DN54-DM54)/DM54*100)</f>
        <v>0</v>
      </c>
      <c r="DP54" s="817"/>
      <c r="DQ54" s="817"/>
      <c r="DR54" s="712">
        <f>IF(DP54=0,0,(DQ54-DP54)/DP54*100)</f>
        <v>0</v>
      </c>
      <c r="DS54" s="817"/>
      <c r="DT54" s="817"/>
      <c r="DU54" s="712">
        <f>IF(DS54=0,0,(DT54-DS54)/DS54*100)</f>
        <v>0</v>
      </c>
      <c r="DV54" s="817"/>
      <c r="DW54" s="817"/>
      <c r="DX54" s="712">
        <f>IF(DV54=0,0,(DW54-DV54)/DV54*100)</f>
        <v>0</v>
      </c>
      <c r="DY54" s="817"/>
      <c r="DZ54" s="817"/>
      <c r="EA54" s="712">
        <f>IF(DY54=0,0,(DZ54-DY54)/DY54*100)</f>
        <v>0</v>
      </c>
      <c r="EB54" s="817"/>
      <c r="EC54" s="817"/>
      <c r="ED54" s="712">
        <f>IF(EB54=0,0,(EC54-EB54)/EB54*100)</f>
        <v>0</v>
      </c>
      <c r="EE54" s="817"/>
      <c r="EF54" s="817"/>
      <c r="EG54" s="712">
        <f>IF(EE54=0,0,(EF54-EE54)/EE54*100)</f>
        <v>0</v>
      </c>
      <c r="EH54" s="817"/>
      <c r="EI54" s="817"/>
      <c r="EJ54" s="712">
        <f>IF(EH54=0,0,(EI54-EH54)/EH54*100)</f>
        <v>0</v>
      </c>
      <c r="EK54" s="817"/>
      <c r="EL54" s="817"/>
      <c r="EM54" s="712">
        <f>IF(EK54=0,0,(EL54-EK54)/EK54*100)</f>
        <v>0</v>
      </c>
      <c r="EN54" s="817"/>
      <c r="EO54" s="817"/>
      <c r="EP54" s="712">
        <f>IF(EN54=0,0,(EO54-EN54)/EN54*100)</f>
        <v>0</v>
      </c>
      <c r="EQ54" s="817"/>
      <c r="ER54" s="817"/>
      <c r="ES54" s="712">
        <f>IF(EQ54=0,0,(ER54-EQ54)/EQ54*100)</f>
        <v>0</v>
      </c>
      <c r="ET54" s="817"/>
      <c r="EU54" s="817"/>
      <c r="EV54" s="712">
        <f>IF(ET54=0,0,(EU54-ET54)/ET54*100)</f>
        <v>0</v>
      </c>
      <c r="EW54" s="817"/>
      <c r="EX54" s="817"/>
      <c r="EY54" s="712">
        <f>IF(EW54=0,0,(EX54-EW54)/EW54*100)</f>
        <v>0</v>
      </c>
      <c r="EZ54" s="817"/>
      <c r="FA54" s="817"/>
      <c r="FB54" s="712">
        <f>IF(EZ54=0,0,(FA54-EZ54)/EZ54*100)</f>
        <v>0</v>
      </c>
      <c r="FC54" s="817"/>
      <c r="FD54" s="817"/>
      <c r="FE54" s="712">
        <f>IF(FC54=0,0,(FD54-FC54)/FC54*100)</f>
        <v>0</v>
      </c>
      <c r="FF54" s="817"/>
      <c r="FG54" s="817"/>
      <c r="FH54" s="712">
        <f>IF(FF54=0,0,(FG54-FF54)/FF54*100)</f>
        <v>0</v>
      </c>
      <c r="FI54" s="817"/>
      <c r="FJ54" s="817"/>
      <c r="FK54" s="712">
        <f>IF(FI54=0,0,(FJ54-FI54)/FI54*100)</f>
        <v>0</v>
      </c>
      <c r="FL54" s="817"/>
      <c r="FM54" s="817"/>
      <c r="FN54" s="712">
        <f>IF(FL54=0,0,(FM54-FL54)/FL54*100)</f>
        <v>0</v>
      </c>
      <c r="FO54" s="817"/>
      <c r="FP54" s="817"/>
      <c r="FQ54" s="712">
        <f>IF(FO54=0,0,(FP54-FO54)/FO54*100)</f>
        <v>0</v>
      </c>
      <c r="FR54" s="817"/>
      <c r="FS54" s="817"/>
      <c r="FT54" s="712">
        <f>IF(FR54=0,0,(FS54-FR54)/FR54*100)</f>
        <v>0</v>
      </c>
      <c r="FU54" s="817"/>
      <c r="FV54" s="817"/>
      <c r="FW54" s="712">
        <f>IF(FU54=0,0,(FV54-FU54)/FU54*100)</f>
        <v>0</v>
      </c>
      <c r="FZ54" s="689" t="s">
        <v>1695</v>
      </c>
    </row>
    <row r="55" spans="1:182" ht="14.65" hidden="1" customHeight="1">
      <c r="A55" s="59"/>
      <c r="B55" s="611" t="b" cm="1">
        <f t="array" ref="B55">B54</f>
        <v>0</v>
      </c>
      <c r="C55" s="59"/>
      <c r="D55" s="59"/>
      <c r="E55" s="460">
        <v>15</v>
      </c>
      <c r="F55" s="3" cm="1">
        <f t="array" aca="1" ref="F55" ca="1">OFFSET(E55,-1,1)</f>
        <v>0</v>
      </c>
      <c r="G55" s="25" t="s">
        <v>1696</v>
      </c>
      <c r="H55" s="59" t="s">
        <v>1684</v>
      </c>
      <c r="I55" s="59" t="s">
        <v>1650</v>
      </c>
      <c r="J55" s="59"/>
      <c r="K55" s="59"/>
      <c r="L55" s="59"/>
      <c r="M55" s="59"/>
      <c r="N55" s="59"/>
      <c r="O55" s="59"/>
      <c r="P55" s="59"/>
      <c r="Q55" s="59"/>
      <c r="R55" s="59"/>
      <c r="S55" s="59"/>
      <c r="T55" s="351" t="b" cm="1">
        <f t="array" aca="1" ref="T55" ca="1">T54</f>
        <v>0</v>
      </c>
      <c r="U55" s="59"/>
      <c r="V55" s="59"/>
      <c r="W55" s="59"/>
      <c r="X55" s="1046"/>
      <c r="Y55" s="59"/>
      <c r="Z55" s="1007"/>
      <c r="AA55" s="59"/>
      <c r="AB55" s="105" t="str">
        <f>"объём "&amp;IF(Q29="Водоснабжение","потребления холодной воды","водоотведения")</f>
        <v>объём водоотведения</v>
      </c>
      <c r="AC55" s="12" t="s">
        <v>585</v>
      </c>
      <c r="AD55" s="833">
        <f ca="1">IF(AND(method_reg="Метод индексации",god&lt;&gt;first_year),SUMIFS(INDEX('Калькуляция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(МИ)'!$AJ$25:$BC$315,,MATCH(AD$8,'Калькуляция (МИ)'!$AJ$8:$BC$8,0)),'Калькуляция (МИ)'!$F$25:$F$315,$F55,'Калькуляция (МИ)'!$G$25:$G$315,$G55))))</f>
        <v>0</v>
      </c>
      <c r="AE55" s="833">
        <f ca="1">IF(AND(method_reg="Метод индексации",god&lt;&gt;first_year),SUMIFS(INDEX('Калькуляция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(МИ)'!$AJ$25:$BC$315,,MATCH(AE$8,'Калькуляция (МИ)'!$AJ$8:$BC$8,0)),'Калькуляция (МИ)'!$F$25:$F$315,$F55,'Калькуляция (МИ)'!$G$25:$G$315,$G55))))</f>
        <v>0</v>
      </c>
      <c r="AF55" s="713">
        <f ca="1">IF(AD55=0,0,(AE55-AD55)/AD55*100)</f>
        <v>0</v>
      </c>
      <c r="AG55" s="190">
        <f ca="1">IF(AND(method_reg="Метод индексации",god&lt;&gt;first_year),SUMIFS(INDEX('Калькуляция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(МИ)'!$AJ$25:$BC$315,,MATCH(AG$8,'Калькуляция (МИ)'!$AJ$8:$BC$8,0)),'Калькуляция (МИ)'!$F$25:$F$315,$F55,'Калькуляция (МИ)'!$G$25:$G$315,$G55))))</f>
        <v>0</v>
      </c>
      <c r="AH55" s="190">
        <f ca="1">IF(AND(method_reg="Метод индексации",god&lt;&gt;first_year),SUMIFS(INDEX('Калькуляция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(МИ)'!$AJ$25:$BC$315,,MATCH(AH$8,'Калькуляция (МИ)'!$AJ$8:$BC$8,0)),'Калькуляция (МИ)'!$F$25:$F$315,$F55,'Калькуляция (МИ)'!$G$25:$G$315,$G55))))</f>
        <v>0</v>
      </c>
      <c r="AI55" s="713">
        <f ca="1">IF(AG55=0,0,(AH55-AG55)/AG55*100)</f>
        <v>0</v>
      </c>
      <c r="AJ55" s="190">
        <f ca="1">IF(AND(method_reg="Метод индексации",god&lt;&gt;first_year),SUMIFS(INDEX('Калькуляция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(МИ)'!$AJ$25:$BC$315,,MATCH(AJ$8,'Калькуляция (МИ)'!$AJ$8:$BC$8,0)),'Калькуляция (МИ)'!$F$25:$F$315,$F55,'Калькуляция (МИ)'!$G$25:$G$315,$G55))))</f>
        <v>0</v>
      </c>
      <c r="AK55" s="190">
        <f ca="1">IF(AND(method_reg="Метод индексации",god&lt;&gt;first_year),SUMIFS(INDEX('Калькуляция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(МИ)'!$AJ$25:$BC$315,,MATCH(AK$8,'Калькуляция (МИ)'!$AJ$8:$BC$8,0)),'Калькуляция (МИ)'!$F$25:$F$315,$F55,'Калькуляция (МИ)'!$G$25:$G$315,$G55))))</f>
        <v>0</v>
      </c>
      <c r="AL55" s="713">
        <f ca="1">IF(AJ55=0,0,(AK55-AJ55)/AJ55*100)</f>
        <v>0</v>
      </c>
      <c r="AM55" s="833">
        <f ca="1">IF(AND(method_reg="Метод индексации",god&lt;&gt;first_year),SUMIFS(INDEX('Калькуляция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(МИ)'!$AJ$25:$BC$315,,MATCH(AM$8,'Калькуляция (МИ)'!$AJ$8:$BC$8,0)),'Калькуляция (МИ)'!$F$25:$F$315,$F55,'Калькуляция (МИ)'!$G$25:$G$315,$G55))))</f>
        <v>0</v>
      </c>
      <c r="AN55" s="833">
        <f ca="1">IF(AND(method_reg="Метод индексации",god&lt;&gt;first_year),SUMIFS(INDEX('Калькуляция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(МИ)'!$AJ$25:$BC$315,,MATCH(AN$8,'Калькуляция (МИ)'!$AJ$8:$BC$8,0)),'Калькуляция (МИ)'!$F$25:$F$315,$F55,'Калькуляция (МИ)'!$G$25:$G$315,$G55))))</f>
        <v>0</v>
      </c>
      <c r="AO55" s="713">
        <f ca="1">IF(AM55=0,0,(AN55-AM55)/AM55*100)</f>
        <v>0</v>
      </c>
      <c r="AP55" s="833">
        <f ca="1">IF(AND(method_reg="Метод индексации",god&lt;&gt;first_year),SUMIFS(INDEX('Калькуляция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(МИ)'!$AJ$25:$BC$315,,MATCH(AP$8,'Калькуляция (МИ)'!$AJ$8:$BC$8,0)),'Калькуляция (МИ)'!$F$25:$F$315,$F55,'Калькуляция (МИ)'!$G$25:$G$315,$G55))))</f>
        <v>0</v>
      </c>
      <c r="AQ55" s="833">
        <f ca="1">IF(AND(method_reg="Метод индексации",god&lt;&gt;first_year),SUMIFS(INDEX('Калькуляция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(МИ)'!$AJ$25:$BC$315,,MATCH(AQ$8,'Калькуляция (МИ)'!$AJ$8:$BC$8,0)),'Калькуляция (МИ)'!$F$25:$F$315,$F55,'Калькуляция (МИ)'!$G$25:$G$315,$G55))))</f>
        <v>0</v>
      </c>
      <c r="AR55" s="713">
        <f ca="1">IF(AP55=0,0,(AQ55-AP55)/AP55*100)</f>
        <v>0</v>
      </c>
      <c r="AS55" s="833">
        <f ca="1">IF(AND(method_reg="Метод индексации",god&lt;&gt;first_year),SUMIFS(INDEX('Калькуляция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(МИ)'!$AJ$25:$BC$315,,MATCH(AS$8,'Калькуляция (МИ)'!$AJ$8:$BC$8,0)),'Калькуляция (МИ)'!$F$25:$F$315,$F55,'Калькуляция (МИ)'!$G$25:$G$315,$G55))))</f>
        <v>0</v>
      </c>
      <c r="AT55" s="833">
        <f ca="1">IF(AND(method_reg="Метод индексации",god&lt;&gt;first_year),SUMIFS(INDEX('Калькуляция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(МИ)'!$AJ$25:$BC$315,,MATCH(AT$8,'Калькуляция (МИ)'!$AJ$8:$BC$8,0)),'Калькуляция (МИ)'!$F$25:$F$315,$F55,'Калькуляция (МИ)'!$G$25:$G$315,$G55))))</f>
        <v>0</v>
      </c>
      <c r="AU55" s="713">
        <f ca="1">IF(AS55=0,0,(AT55-AS55)/AS55*100)</f>
        <v>0</v>
      </c>
      <c r="AV55" s="833">
        <f ca="1">IF(AND(method_reg="Метод индексации",god&lt;&gt;first_year),SUMIFS(INDEX('Калькуляция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(МИ)'!$AJ$25:$BC$315,,MATCH(AV$8,'Калькуляция (МИ)'!$AJ$8:$BC$8,0)),'Калькуляция (МИ)'!$F$25:$F$315,$F55,'Калькуляция (МИ)'!$G$25:$G$315,$G55))))</f>
        <v>0</v>
      </c>
      <c r="AW55" s="833">
        <f ca="1">IF(AND(method_reg="Метод индексации",god&lt;&gt;first_year),SUMIFS(INDEX('Калькуляция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(МИ)'!$AJ$25:$BC$315,,MATCH(AW$8,'Калькуляция (МИ)'!$AJ$8:$BC$8,0)),'Калькуляция (МИ)'!$F$25:$F$315,$F55,'Калькуляция (МИ)'!$G$25:$G$315,$G55))))</f>
        <v>0</v>
      </c>
      <c r="AX55" s="713">
        <f ca="1">IF(AV55=0,0,(AW55-AV55)/AV55*100)</f>
        <v>0</v>
      </c>
      <c r="AY55" s="833">
        <f ca="1">IF(AND(method_reg="Метод индексации",god&lt;&gt;first_year),SUMIFS(INDEX('Калькуляция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(МИ)'!$AJ$25:$BC$315,,MATCH(AY$8,'Калькуляция (МИ)'!$AJ$8:$BC$8,0)),'Калькуляция (МИ)'!$F$25:$F$315,$F55,'Калькуляция (МИ)'!$G$25:$G$315,$G55))))</f>
        <v>0</v>
      </c>
      <c r="AZ55" s="833">
        <f ca="1">IF(AND(method_reg="Метод индексации",god&lt;&gt;first_year),SUMIFS(INDEX('Калькуляция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(МИ)'!$AJ$25:$BC$315,,MATCH(AZ$8,'Калькуляция (МИ)'!$AJ$8:$BC$8,0)),'Калькуляция (МИ)'!$F$25:$F$315,$F55,'Калькуляция (МИ)'!$G$25:$G$315,$G55))))</f>
        <v>0</v>
      </c>
      <c r="BA55" s="713">
        <f ca="1">IF(AY55=0,0,(AZ55-AY55)/AY55*100)</f>
        <v>0</v>
      </c>
      <c r="BB55" s="833">
        <f ca="1">IF(AND(method_reg="Метод индексации",god&lt;&gt;first_year),SUMIFS(INDEX('Калькуляция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(МИ)'!$AJ$25:$BC$315,,MATCH(BB$8,'Калькуляция (МИ)'!$AJ$8:$BC$8,0)),'Калькуляция (МИ)'!$F$25:$F$315,$F55,'Калькуляция (МИ)'!$G$25:$G$315,$G55))))</f>
        <v>0</v>
      </c>
      <c r="BC55" s="833">
        <f ca="1">IF(AND(method_reg="Метод индексации",god&lt;&gt;first_year),SUMIFS(INDEX('Калькуляция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(МИ)'!$AJ$25:$BC$315,,MATCH(BC$8,'Калькуляция (МИ)'!$AJ$8:$BC$8,0)),'Калькуляция (МИ)'!$F$25:$F$315,$F55,'Калькуляция (МИ)'!$G$25:$G$315,$G55))))</f>
        <v>0</v>
      </c>
      <c r="BD55" s="713">
        <f ca="1">IF(BB55=0,0,(BC55-BB55)/BB55*100)</f>
        <v>0</v>
      </c>
      <c r="BE55" s="833">
        <f ca="1">IF(AND(method_reg="Метод индексации",god&lt;&gt;first_year),SUMIFS(INDEX('Калькуляция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(МИ)'!$AJ$25:$BC$315,,MATCH(BE$8,'Калькуляция (МИ)'!$AJ$8:$BC$8,0)),'Калькуляция (МИ)'!$F$25:$F$315,$F55,'Калькуляция (МИ)'!$G$25:$G$315,$G55))))</f>
        <v>0</v>
      </c>
      <c r="BF55" s="833">
        <f ca="1">IF(AND(method_reg="Метод индексации",god&lt;&gt;first_year),SUMIFS(INDEX('Калькуляция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(МИ)'!$AJ$25:$BC$315,,MATCH(BF$8,'Калькуляция (МИ)'!$AJ$8:$BC$8,0)),'Калькуляция (МИ)'!$F$25:$F$315,$F55,'Калькуляция (МИ)'!$G$25:$G$315,$G55))))</f>
        <v>0</v>
      </c>
      <c r="BG55" s="713">
        <f ca="1">IF(BE55=0,0,(BF55-BE55)/BE55*100)</f>
        <v>0</v>
      </c>
      <c r="BH55" s="833"/>
      <c r="BI55" s="833"/>
      <c r="BJ55" s="713">
        <f>IF(BH55=0,0,(BI55-BH55)/BH55*100)</f>
        <v>0</v>
      </c>
      <c r="BK55" s="833"/>
      <c r="BL55" s="833"/>
      <c r="BM55" s="713">
        <f>IF(BK55=0,0,(BL55-BK55)/BK55*100)</f>
        <v>0</v>
      </c>
      <c r="BN55" s="833"/>
      <c r="BO55" s="833"/>
      <c r="BP55" s="713">
        <f>IF(BN55=0,0,(BO55-BN55)/BN55*100)</f>
        <v>0</v>
      </c>
      <c r="BQ55" s="833"/>
      <c r="BR55" s="833"/>
      <c r="BS55" s="713">
        <f>IF(BQ55=0,0,(BR55-BQ55)/BQ55*100)</f>
        <v>0</v>
      </c>
      <c r="BT55" s="833"/>
      <c r="BU55" s="833"/>
      <c r="BV55" s="713">
        <f>IF(BT55=0,0,(BU55-BT55)/BT55*100)</f>
        <v>0</v>
      </c>
      <c r="BW55" s="833"/>
      <c r="BX55" s="833"/>
      <c r="BY55" s="713">
        <f>IF(BW55=0,0,(BX55-BW55)/BW55*100)</f>
        <v>0</v>
      </c>
      <c r="BZ55" s="833"/>
      <c r="CA55" s="833"/>
      <c r="CB55" s="713">
        <f>IF(BZ55=0,0,(CA55-BZ55)/BZ55*100)</f>
        <v>0</v>
      </c>
      <c r="CC55" s="833"/>
      <c r="CD55" s="833"/>
      <c r="CE55" s="713">
        <f>IF(CC55=0,0,(CD55-CC55)/CC55*100)</f>
        <v>0</v>
      </c>
      <c r="CF55" s="833"/>
      <c r="CG55" s="833"/>
      <c r="CH55" s="713">
        <f>IF(CF55=0,0,(CG55-CF55)/CF55*100)</f>
        <v>0</v>
      </c>
      <c r="CI55" s="833"/>
      <c r="CJ55" s="833"/>
      <c r="CK55" s="713">
        <f>IF(CI55=0,0,(CJ55-CI55)/CI55*100)</f>
        <v>0</v>
      </c>
      <c r="CL55" s="833"/>
      <c r="CM55" s="833"/>
      <c r="CN55" s="713">
        <f>IF(CL55=0,0,(CM55-CL55)/CL55*100)</f>
        <v>0</v>
      </c>
      <c r="CO55" s="833"/>
      <c r="CP55" s="833"/>
      <c r="CQ55" s="713">
        <f>IF(CO55=0,0,(CP55-CO55)/CO55*100)</f>
        <v>0</v>
      </c>
      <c r="CR55" s="833"/>
      <c r="CS55" s="833"/>
      <c r="CT55" s="713">
        <f>IF(CR55=0,0,(CS55-CR55)/CR55*100)</f>
        <v>0</v>
      </c>
      <c r="CU55" s="833"/>
      <c r="CV55" s="833"/>
      <c r="CW55" s="713">
        <f>IF(CU55=0,0,(CV55-CU55)/CU55*100)</f>
        <v>0</v>
      </c>
      <c r="CX55" s="833"/>
      <c r="CY55" s="833"/>
      <c r="CZ55" s="713">
        <f>IF(CX55=0,0,(CY55-CX55)/CX55*100)</f>
        <v>0</v>
      </c>
      <c r="DA55" s="833"/>
      <c r="DB55" s="833"/>
      <c r="DC55" s="713">
        <f>IF(DA55=0,0,(DB55-DA55)/DA55*100)</f>
        <v>0</v>
      </c>
      <c r="DD55" s="833"/>
      <c r="DE55" s="833"/>
      <c r="DF55" s="713">
        <f>IF(DD55=0,0,(DE55-DD55)/DD55*100)</f>
        <v>0</v>
      </c>
      <c r="DG55" s="833"/>
      <c r="DH55" s="833"/>
      <c r="DI55" s="713">
        <f>IF(DG55=0,0,(DH55-DG55)/DG55*100)</f>
        <v>0</v>
      </c>
      <c r="DJ55" s="833"/>
      <c r="DK55" s="833"/>
      <c r="DL55" s="713">
        <f>IF(DJ55=0,0,(DK55-DJ55)/DJ55*100)</f>
        <v>0</v>
      </c>
      <c r="DM55" s="833"/>
      <c r="DN55" s="833"/>
      <c r="DO55" s="713">
        <f>IF(DM55=0,0,(DN55-DM55)/DM55*100)</f>
        <v>0</v>
      </c>
      <c r="DP55" s="833"/>
      <c r="DQ55" s="833"/>
      <c r="DR55" s="713">
        <f>IF(DP55=0,0,(DQ55-DP55)/DP55*100)</f>
        <v>0</v>
      </c>
      <c r="DS55" s="833"/>
      <c r="DT55" s="833"/>
      <c r="DU55" s="713">
        <f>IF(DS55=0,0,(DT55-DS55)/DS55*100)</f>
        <v>0</v>
      </c>
      <c r="DV55" s="833"/>
      <c r="DW55" s="833"/>
      <c r="DX55" s="713">
        <f>IF(DV55=0,0,(DW55-DV55)/DV55*100)</f>
        <v>0</v>
      </c>
      <c r="DY55" s="833"/>
      <c r="DZ55" s="833"/>
      <c r="EA55" s="713">
        <f>IF(DY55=0,0,(DZ55-DY55)/DY55*100)</f>
        <v>0</v>
      </c>
      <c r="EB55" s="833"/>
      <c r="EC55" s="833"/>
      <c r="ED55" s="713">
        <f>IF(EB55=0,0,(EC55-EB55)/EB55*100)</f>
        <v>0</v>
      </c>
      <c r="EE55" s="833"/>
      <c r="EF55" s="833"/>
      <c r="EG55" s="713">
        <f>IF(EE55=0,0,(EF55-EE55)/EE55*100)</f>
        <v>0</v>
      </c>
      <c r="EH55" s="833"/>
      <c r="EI55" s="833"/>
      <c r="EJ55" s="713">
        <f>IF(EH55=0,0,(EI55-EH55)/EH55*100)</f>
        <v>0</v>
      </c>
      <c r="EK55" s="833"/>
      <c r="EL55" s="833"/>
      <c r="EM55" s="713">
        <f>IF(EK55=0,0,(EL55-EK55)/EK55*100)</f>
        <v>0</v>
      </c>
      <c r="EN55" s="833"/>
      <c r="EO55" s="833"/>
      <c r="EP55" s="713">
        <f>IF(EN55=0,0,(EO55-EN55)/EN55*100)</f>
        <v>0</v>
      </c>
      <c r="EQ55" s="833"/>
      <c r="ER55" s="833"/>
      <c r="ES55" s="713">
        <f>IF(EQ55=0,0,(ER55-EQ55)/EQ55*100)</f>
        <v>0</v>
      </c>
      <c r="ET55" s="833"/>
      <c r="EU55" s="833"/>
      <c r="EV55" s="713">
        <f>IF(ET55=0,0,(EU55-ET55)/ET55*100)</f>
        <v>0</v>
      </c>
      <c r="EW55" s="833"/>
      <c r="EX55" s="833"/>
      <c r="EY55" s="713">
        <f>IF(EW55=0,0,(EX55-EW55)/EW55*100)</f>
        <v>0</v>
      </c>
      <c r="EZ55" s="833"/>
      <c r="FA55" s="833"/>
      <c r="FB55" s="713">
        <f>IF(EZ55=0,0,(FA55-EZ55)/EZ55*100)</f>
        <v>0</v>
      </c>
      <c r="FC55" s="833"/>
      <c r="FD55" s="833"/>
      <c r="FE55" s="713">
        <f>IF(FC55=0,0,(FD55-FC55)/FC55*100)</f>
        <v>0</v>
      </c>
      <c r="FF55" s="833"/>
      <c r="FG55" s="833"/>
      <c r="FH55" s="713">
        <f>IF(FF55=0,0,(FG55-FF55)/FF55*100)</f>
        <v>0</v>
      </c>
      <c r="FI55" s="833"/>
      <c r="FJ55" s="833"/>
      <c r="FK55" s="713">
        <f>IF(FI55=0,0,(FJ55-FI55)/FI55*100)</f>
        <v>0</v>
      </c>
      <c r="FL55" s="833"/>
      <c r="FM55" s="833"/>
      <c r="FN55" s="713">
        <f>IF(FL55=0,0,(FM55-FL55)/FL55*100)</f>
        <v>0</v>
      </c>
      <c r="FO55" s="833"/>
      <c r="FP55" s="833"/>
      <c r="FQ55" s="713">
        <f>IF(FO55=0,0,(FP55-FO55)/FO55*100)</f>
        <v>0</v>
      </c>
      <c r="FR55" s="833"/>
      <c r="FS55" s="833"/>
      <c r="FT55" s="713">
        <f>IF(FR55=0,0,(FS55-FR55)/FR55*100)</f>
        <v>0</v>
      </c>
      <c r="FU55" s="833"/>
      <c r="FV55" s="833"/>
      <c r="FW55" s="713">
        <f>IF(FU55=0,0,(FV55-FU55)/FU55*100)</f>
        <v>0</v>
      </c>
      <c r="FZ55" s="689" t="s">
        <v>1697</v>
      </c>
    </row>
    <row r="56" spans="1:182" ht="21.95" hidden="1" customHeight="1">
      <c r="A56" s="59"/>
      <c r="B56" s="611" t="b" cm="1">
        <f t="array" ref="B56">B55</f>
        <v>0</v>
      </c>
      <c r="C56" s="59"/>
      <c r="D56" s="59"/>
      <c r="E56" s="460">
        <v>22.5</v>
      </c>
      <c r="F56" s="3" cm="1">
        <f t="array" aca="1" ref="F56" ca="1">OFFSET(E56,-1,1)</f>
        <v>0</v>
      </c>
      <c r="G56" s="59"/>
      <c r="H56" s="59" t="s">
        <v>1686</v>
      </c>
      <c r="I56" s="59" t="s">
        <v>1650</v>
      </c>
      <c r="J56" s="59"/>
      <c r="K56" s="59"/>
      <c r="L56" s="59"/>
      <c r="M56" s="59"/>
      <c r="N56" s="59"/>
      <c r="O56" s="59"/>
      <c r="P56" s="59"/>
      <c r="Q56" s="59"/>
      <c r="R56" s="59"/>
      <c r="S56" s="59"/>
      <c r="T56" s="351" t="b" cm="1">
        <f t="array" aca="1" ref="T56" ca="1">T55</f>
        <v>0</v>
      </c>
      <c r="U56" s="59"/>
      <c r="V56" s="59"/>
      <c r="W56" s="59"/>
      <c r="X56" s="1046"/>
      <c r="Y56" s="59"/>
      <c r="Z56" s="1007"/>
      <c r="AA56" s="59"/>
      <c r="AB56"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1687</v>
      </c>
      <c r="AD56" s="817"/>
      <c r="AE56" s="817"/>
      <c r="AF56" s="712">
        <f>IF(AD56=0,0,(AE56-AD56)/AD56*100)</f>
        <v>0</v>
      </c>
      <c r="AG56" s="57"/>
      <c r="AH56" s="57"/>
      <c r="AI56" s="712">
        <f>IF(AG56=0,0,(AH56-AG56)/AG56*100)</f>
        <v>0</v>
      </c>
      <c r="AJ56" s="57"/>
      <c r="AK56" s="57"/>
      <c r="AL56" s="712">
        <f>IF(AJ56=0,0,(AK56-AJ56)/AJ56*100)</f>
        <v>0</v>
      </c>
      <c r="AM56" s="817"/>
      <c r="AN56" s="817"/>
      <c r="AO56" s="712">
        <f>IF(AM56=0,0,(AN56-AM56)/AM56*100)</f>
        <v>0</v>
      </c>
      <c r="AP56" s="817"/>
      <c r="AQ56" s="817"/>
      <c r="AR56" s="712">
        <f>IF(AP56=0,0,(AQ56-AP56)/AP56*100)</f>
        <v>0</v>
      </c>
      <c r="AS56" s="817"/>
      <c r="AT56" s="817"/>
      <c r="AU56" s="712">
        <f>IF(AS56=0,0,(AT56-AS56)/AS56*100)</f>
        <v>0</v>
      </c>
      <c r="AV56" s="817"/>
      <c r="AW56" s="817"/>
      <c r="AX56" s="712">
        <f>IF(AV56=0,0,(AW56-AV56)/AV56*100)</f>
        <v>0</v>
      </c>
      <c r="AY56" s="817"/>
      <c r="AZ56" s="817"/>
      <c r="BA56" s="712">
        <f>IF(AY56=0,0,(AZ56-AY56)/AY56*100)</f>
        <v>0</v>
      </c>
      <c r="BB56" s="817"/>
      <c r="BC56" s="817"/>
      <c r="BD56" s="712">
        <f>IF(BB56=0,0,(BC56-BB56)/BB56*100)</f>
        <v>0</v>
      </c>
      <c r="BE56" s="817"/>
      <c r="BF56" s="817"/>
      <c r="BG56" s="712">
        <f>IF(BE56=0,0,(BF56-BE56)/BE56*100)</f>
        <v>0</v>
      </c>
      <c r="BH56" s="817"/>
      <c r="BI56" s="817"/>
      <c r="BJ56" s="712">
        <f>IF(BH56=0,0,(BI56-BH56)/BH56*100)</f>
        <v>0</v>
      </c>
      <c r="BK56" s="817"/>
      <c r="BL56" s="817"/>
      <c r="BM56" s="712">
        <f>IF(BK56=0,0,(BL56-BK56)/BK56*100)</f>
        <v>0</v>
      </c>
      <c r="BN56" s="817"/>
      <c r="BO56" s="817"/>
      <c r="BP56" s="712">
        <f>IF(BN56=0,0,(BO56-BN56)/BN56*100)</f>
        <v>0</v>
      </c>
      <c r="BQ56" s="817"/>
      <c r="BR56" s="817"/>
      <c r="BS56" s="712">
        <f>IF(BQ56=0,0,(BR56-BQ56)/BQ56*100)</f>
        <v>0</v>
      </c>
      <c r="BT56" s="817"/>
      <c r="BU56" s="817"/>
      <c r="BV56" s="712">
        <f>IF(BT56=0,0,(BU56-BT56)/BT56*100)</f>
        <v>0</v>
      </c>
      <c r="BW56" s="817"/>
      <c r="BX56" s="817"/>
      <c r="BY56" s="712">
        <f>IF(BW56=0,0,(BX56-BW56)/BW56*100)</f>
        <v>0</v>
      </c>
      <c r="BZ56" s="817"/>
      <c r="CA56" s="817"/>
      <c r="CB56" s="712">
        <f>IF(BZ56=0,0,(CA56-BZ56)/BZ56*100)</f>
        <v>0</v>
      </c>
      <c r="CC56" s="817"/>
      <c r="CD56" s="817"/>
      <c r="CE56" s="712">
        <f>IF(CC56=0,0,(CD56-CC56)/CC56*100)</f>
        <v>0</v>
      </c>
      <c r="CF56" s="817"/>
      <c r="CG56" s="817"/>
      <c r="CH56" s="712">
        <f>IF(CF56=0,0,(CG56-CF56)/CF56*100)</f>
        <v>0</v>
      </c>
      <c r="CI56" s="817"/>
      <c r="CJ56" s="817"/>
      <c r="CK56" s="712">
        <f>IF(CI56=0,0,(CJ56-CI56)/CI56*100)</f>
        <v>0</v>
      </c>
      <c r="CL56" s="817"/>
      <c r="CM56" s="817"/>
      <c r="CN56" s="712">
        <f>IF(CL56=0,0,(CM56-CL56)/CL56*100)</f>
        <v>0</v>
      </c>
      <c r="CO56" s="817"/>
      <c r="CP56" s="817"/>
      <c r="CQ56" s="712">
        <f>IF(CO56=0,0,(CP56-CO56)/CO56*100)</f>
        <v>0</v>
      </c>
      <c r="CR56" s="817"/>
      <c r="CS56" s="817"/>
      <c r="CT56" s="712">
        <f>IF(CR56=0,0,(CS56-CR56)/CR56*100)</f>
        <v>0</v>
      </c>
      <c r="CU56" s="817"/>
      <c r="CV56" s="817"/>
      <c r="CW56" s="712">
        <f>IF(CU56=0,0,(CV56-CU56)/CU56*100)</f>
        <v>0</v>
      </c>
      <c r="CX56" s="817"/>
      <c r="CY56" s="817"/>
      <c r="CZ56" s="712">
        <f>IF(CX56=0,0,(CY56-CX56)/CX56*100)</f>
        <v>0</v>
      </c>
      <c r="DA56" s="817"/>
      <c r="DB56" s="817"/>
      <c r="DC56" s="712">
        <f>IF(DA56=0,0,(DB56-DA56)/DA56*100)</f>
        <v>0</v>
      </c>
      <c r="DD56" s="817"/>
      <c r="DE56" s="817"/>
      <c r="DF56" s="712">
        <f>IF(DD56=0,0,(DE56-DD56)/DD56*100)</f>
        <v>0</v>
      </c>
      <c r="DG56" s="817"/>
      <c r="DH56" s="817"/>
      <c r="DI56" s="712">
        <f>IF(DG56=0,0,(DH56-DG56)/DG56*100)</f>
        <v>0</v>
      </c>
      <c r="DJ56" s="817"/>
      <c r="DK56" s="817"/>
      <c r="DL56" s="712">
        <f>IF(DJ56=0,0,(DK56-DJ56)/DJ56*100)</f>
        <v>0</v>
      </c>
      <c r="DM56" s="817"/>
      <c r="DN56" s="817"/>
      <c r="DO56" s="712">
        <f>IF(DM56=0,0,(DN56-DM56)/DM56*100)</f>
        <v>0</v>
      </c>
      <c r="DP56" s="817"/>
      <c r="DQ56" s="817"/>
      <c r="DR56" s="712">
        <f>IF(DP56=0,0,(DQ56-DP56)/DP56*100)</f>
        <v>0</v>
      </c>
      <c r="DS56" s="817"/>
      <c r="DT56" s="817"/>
      <c r="DU56" s="712">
        <f>IF(DS56=0,0,(DT56-DS56)/DS56*100)</f>
        <v>0</v>
      </c>
      <c r="DV56" s="817"/>
      <c r="DW56" s="817"/>
      <c r="DX56" s="712">
        <f>IF(DV56=0,0,(DW56-DV56)/DV56*100)</f>
        <v>0</v>
      </c>
      <c r="DY56" s="817"/>
      <c r="DZ56" s="817"/>
      <c r="EA56" s="712">
        <f>IF(DY56=0,0,(DZ56-DY56)/DY56*100)</f>
        <v>0</v>
      </c>
      <c r="EB56" s="817"/>
      <c r="EC56" s="817"/>
      <c r="ED56" s="712">
        <f>IF(EB56=0,0,(EC56-EB56)/EB56*100)</f>
        <v>0</v>
      </c>
      <c r="EE56" s="817"/>
      <c r="EF56" s="817"/>
      <c r="EG56" s="712">
        <f>IF(EE56=0,0,(EF56-EE56)/EE56*100)</f>
        <v>0</v>
      </c>
      <c r="EH56" s="817"/>
      <c r="EI56" s="817"/>
      <c r="EJ56" s="712">
        <f>IF(EH56=0,0,(EI56-EH56)/EH56*100)</f>
        <v>0</v>
      </c>
      <c r="EK56" s="817"/>
      <c r="EL56" s="817"/>
      <c r="EM56" s="712">
        <f>IF(EK56=0,0,(EL56-EK56)/EK56*100)</f>
        <v>0</v>
      </c>
      <c r="EN56" s="817"/>
      <c r="EO56" s="817"/>
      <c r="EP56" s="712">
        <f>IF(EN56=0,0,(EO56-EN56)/EN56*100)</f>
        <v>0</v>
      </c>
      <c r="EQ56" s="817"/>
      <c r="ER56" s="817"/>
      <c r="ES56" s="712">
        <f>IF(EQ56=0,0,(ER56-EQ56)/EQ56*100)</f>
        <v>0</v>
      </c>
      <c r="ET56" s="817"/>
      <c r="EU56" s="817"/>
      <c r="EV56" s="712">
        <f>IF(ET56=0,0,(EU56-ET56)/ET56*100)</f>
        <v>0</v>
      </c>
      <c r="EW56" s="817"/>
      <c r="EX56" s="817"/>
      <c r="EY56" s="712">
        <f>IF(EW56=0,0,(EX56-EW56)/EW56*100)</f>
        <v>0</v>
      </c>
      <c r="EZ56" s="817"/>
      <c r="FA56" s="817"/>
      <c r="FB56" s="712">
        <f>IF(EZ56=0,0,(FA56-EZ56)/EZ56*100)</f>
        <v>0</v>
      </c>
      <c r="FC56" s="817"/>
      <c r="FD56" s="817"/>
      <c r="FE56" s="712">
        <f>IF(FC56=0,0,(FD56-FC56)/FC56*100)</f>
        <v>0</v>
      </c>
      <c r="FF56" s="817"/>
      <c r="FG56" s="817"/>
      <c r="FH56" s="712">
        <f>IF(FF56=0,0,(FG56-FF56)/FF56*100)</f>
        <v>0</v>
      </c>
      <c r="FI56" s="817"/>
      <c r="FJ56" s="817"/>
      <c r="FK56" s="712">
        <f>IF(FI56=0,0,(FJ56-FI56)/FI56*100)</f>
        <v>0</v>
      </c>
      <c r="FL56" s="817"/>
      <c r="FM56" s="817"/>
      <c r="FN56" s="712">
        <f>IF(FL56=0,0,(FM56-FL56)/FL56*100)</f>
        <v>0</v>
      </c>
      <c r="FO56" s="817"/>
      <c r="FP56" s="817"/>
      <c r="FQ56" s="712">
        <f>IF(FO56=0,0,(FP56-FO56)/FO56*100)</f>
        <v>0</v>
      </c>
      <c r="FR56" s="817"/>
      <c r="FS56" s="817"/>
      <c r="FT56" s="712">
        <f>IF(FR56=0,0,(FS56-FR56)/FR56*100)</f>
        <v>0</v>
      </c>
      <c r="FU56" s="817"/>
      <c r="FV56" s="817"/>
      <c r="FW56" s="712">
        <f>IF(FU56=0,0,(FV56-FU56)/FU56*100)</f>
        <v>0</v>
      </c>
      <c r="FZ56" s="689" t="s">
        <v>1698</v>
      </c>
    </row>
    <row r="57" spans="1:182" ht="14.65" hidden="1" customHeight="1">
      <c r="A57" s="59"/>
      <c r="B57" s="611" t="b" cm="1">
        <f t="array" ref="B57">B56</f>
        <v>0</v>
      </c>
      <c r="C57" s="59"/>
      <c r="D57" s="59"/>
      <c r="E57" s="460">
        <v>15</v>
      </c>
      <c r="F57" s="3" cm="1">
        <f t="array" aca="1" ref="F57" ca="1">OFFSET(E57,-1,1)</f>
        <v>0</v>
      </c>
      <c r="G57" s="59"/>
      <c r="H57" s="59" t="s">
        <v>1689</v>
      </c>
      <c r="I57" s="59" t="s">
        <v>1650</v>
      </c>
      <c r="J57" s="59"/>
      <c r="K57" s="59"/>
      <c r="L57" s="59"/>
      <c r="M57" s="59"/>
      <c r="N57" s="59"/>
      <c r="O57" s="59"/>
      <c r="P57" s="59"/>
      <c r="Q57" s="59"/>
      <c r="R57" s="59"/>
      <c r="S57" s="59"/>
      <c r="T57" s="351" t="b" cm="1">
        <f t="array" aca="1" ref="T57" ca="1">T56</f>
        <v>0</v>
      </c>
      <c r="U57" s="59"/>
      <c r="V57" s="59"/>
      <c r="W57" s="59"/>
      <c r="X57" s="1046"/>
      <c r="Y57" s="59"/>
      <c r="Z57" s="1007"/>
      <c r="AA57" s="59"/>
      <c r="AB57" s="105" t="s">
        <v>1690</v>
      </c>
      <c r="AC57" s="12" t="s">
        <v>1691</v>
      </c>
      <c r="AD57" s="817"/>
      <c r="AE57" s="817"/>
      <c r="AF57" s="712">
        <f>IF(AD57=0,0,(AE57-AD57)/AD57*100)</f>
        <v>0</v>
      </c>
      <c r="AG57" s="57"/>
      <c r="AH57" s="57"/>
      <c r="AI57" s="712">
        <f>IF(AG57=0,0,(AH57-AG57)/AG57*100)</f>
        <v>0</v>
      </c>
      <c r="AJ57" s="57"/>
      <c r="AK57" s="57"/>
      <c r="AL57" s="712">
        <f>IF(AJ57=0,0,(AK57-AJ57)/AJ57*100)</f>
        <v>0</v>
      </c>
      <c r="AM57" s="817"/>
      <c r="AN57" s="817"/>
      <c r="AO57" s="712">
        <f>IF(AM57=0,0,(AN57-AM57)/AM57*100)</f>
        <v>0</v>
      </c>
      <c r="AP57" s="817"/>
      <c r="AQ57" s="817"/>
      <c r="AR57" s="712">
        <f>IF(AP57=0,0,(AQ57-AP57)/AP57*100)</f>
        <v>0</v>
      </c>
      <c r="AS57" s="817"/>
      <c r="AT57" s="817"/>
      <c r="AU57" s="712">
        <f>IF(AS57=0,0,(AT57-AS57)/AS57*100)</f>
        <v>0</v>
      </c>
      <c r="AV57" s="817"/>
      <c r="AW57" s="817"/>
      <c r="AX57" s="712">
        <f>IF(AV57=0,0,(AW57-AV57)/AV57*100)</f>
        <v>0</v>
      </c>
      <c r="AY57" s="817"/>
      <c r="AZ57" s="817"/>
      <c r="BA57" s="712">
        <f>IF(AY57=0,0,(AZ57-AY57)/AY57*100)</f>
        <v>0</v>
      </c>
      <c r="BB57" s="817"/>
      <c r="BC57" s="817"/>
      <c r="BD57" s="712">
        <f>IF(BB57=0,0,(BC57-BB57)/BB57*100)</f>
        <v>0</v>
      </c>
      <c r="BE57" s="817"/>
      <c r="BF57" s="817"/>
      <c r="BG57" s="712">
        <f>IF(BE57=0,0,(BF57-BE57)/BE57*100)</f>
        <v>0</v>
      </c>
      <c r="BH57" s="817"/>
      <c r="BI57" s="817"/>
      <c r="BJ57" s="712">
        <f>IF(BH57=0,0,(BI57-BH57)/BH57*100)</f>
        <v>0</v>
      </c>
      <c r="BK57" s="817"/>
      <c r="BL57" s="817"/>
      <c r="BM57" s="712">
        <f>IF(BK57=0,0,(BL57-BK57)/BK57*100)</f>
        <v>0</v>
      </c>
      <c r="BN57" s="817"/>
      <c r="BO57" s="817"/>
      <c r="BP57" s="712">
        <f>IF(BN57=0,0,(BO57-BN57)/BN57*100)</f>
        <v>0</v>
      </c>
      <c r="BQ57" s="817"/>
      <c r="BR57" s="817"/>
      <c r="BS57" s="712">
        <f>IF(BQ57=0,0,(BR57-BQ57)/BQ57*100)</f>
        <v>0</v>
      </c>
      <c r="BT57" s="817"/>
      <c r="BU57" s="817"/>
      <c r="BV57" s="712">
        <f>IF(BT57=0,0,(BU57-BT57)/BT57*100)</f>
        <v>0</v>
      </c>
      <c r="BW57" s="817"/>
      <c r="BX57" s="817"/>
      <c r="BY57" s="712">
        <f>IF(BW57=0,0,(BX57-BW57)/BW57*100)</f>
        <v>0</v>
      </c>
      <c r="BZ57" s="817"/>
      <c r="CA57" s="817"/>
      <c r="CB57" s="712">
        <f>IF(BZ57=0,0,(CA57-BZ57)/BZ57*100)</f>
        <v>0</v>
      </c>
      <c r="CC57" s="817"/>
      <c r="CD57" s="817"/>
      <c r="CE57" s="712">
        <f>IF(CC57=0,0,(CD57-CC57)/CC57*100)</f>
        <v>0</v>
      </c>
      <c r="CF57" s="817"/>
      <c r="CG57" s="817"/>
      <c r="CH57" s="712">
        <f>IF(CF57=0,0,(CG57-CF57)/CF57*100)</f>
        <v>0</v>
      </c>
      <c r="CI57" s="817"/>
      <c r="CJ57" s="817"/>
      <c r="CK57" s="712">
        <f>IF(CI57=0,0,(CJ57-CI57)/CI57*100)</f>
        <v>0</v>
      </c>
      <c r="CL57" s="817"/>
      <c r="CM57" s="817"/>
      <c r="CN57" s="712">
        <f>IF(CL57=0,0,(CM57-CL57)/CL57*100)</f>
        <v>0</v>
      </c>
      <c r="CO57" s="817"/>
      <c r="CP57" s="817"/>
      <c r="CQ57" s="712">
        <f>IF(CO57=0,0,(CP57-CO57)/CO57*100)</f>
        <v>0</v>
      </c>
      <c r="CR57" s="817"/>
      <c r="CS57" s="817"/>
      <c r="CT57" s="712">
        <f>IF(CR57=0,0,(CS57-CR57)/CR57*100)</f>
        <v>0</v>
      </c>
      <c r="CU57" s="817"/>
      <c r="CV57" s="817"/>
      <c r="CW57" s="712">
        <f>IF(CU57=0,0,(CV57-CU57)/CU57*100)</f>
        <v>0</v>
      </c>
      <c r="CX57" s="817"/>
      <c r="CY57" s="817"/>
      <c r="CZ57" s="712">
        <f>IF(CX57=0,0,(CY57-CX57)/CX57*100)</f>
        <v>0</v>
      </c>
      <c r="DA57" s="817"/>
      <c r="DB57" s="817"/>
      <c r="DC57" s="712">
        <f>IF(DA57=0,0,(DB57-DA57)/DA57*100)</f>
        <v>0</v>
      </c>
      <c r="DD57" s="817"/>
      <c r="DE57" s="817"/>
      <c r="DF57" s="712">
        <f>IF(DD57=0,0,(DE57-DD57)/DD57*100)</f>
        <v>0</v>
      </c>
      <c r="DG57" s="817"/>
      <c r="DH57" s="817"/>
      <c r="DI57" s="712">
        <f>IF(DG57=0,0,(DH57-DG57)/DG57*100)</f>
        <v>0</v>
      </c>
      <c r="DJ57" s="817"/>
      <c r="DK57" s="817"/>
      <c r="DL57" s="712">
        <f>IF(DJ57=0,0,(DK57-DJ57)/DJ57*100)</f>
        <v>0</v>
      </c>
      <c r="DM57" s="817"/>
      <c r="DN57" s="817"/>
      <c r="DO57" s="712">
        <f>IF(DM57=0,0,(DN57-DM57)/DM57*100)</f>
        <v>0</v>
      </c>
      <c r="DP57" s="817"/>
      <c r="DQ57" s="817"/>
      <c r="DR57" s="712">
        <f>IF(DP57=0,0,(DQ57-DP57)/DP57*100)</f>
        <v>0</v>
      </c>
      <c r="DS57" s="817"/>
      <c r="DT57" s="817"/>
      <c r="DU57" s="712">
        <f>IF(DS57=0,0,(DT57-DS57)/DS57*100)</f>
        <v>0</v>
      </c>
      <c r="DV57" s="817"/>
      <c r="DW57" s="817"/>
      <c r="DX57" s="712">
        <f>IF(DV57=0,0,(DW57-DV57)/DV57*100)</f>
        <v>0</v>
      </c>
      <c r="DY57" s="817"/>
      <c r="DZ57" s="817"/>
      <c r="EA57" s="712">
        <f>IF(DY57=0,0,(DZ57-DY57)/DY57*100)</f>
        <v>0</v>
      </c>
      <c r="EB57" s="817"/>
      <c r="EC57" s="817"/>
      <c r="ED57" s="712">
        <f>IF(EB57=0,0,(EC57-EB57)/EB57*100)</f>
        <v>0</v>
      </c>
      <c r="EE57" s="817"/>
      <c r="EF57" s="817"/>
      <c r="EG57" s="712">
        <f>IF(EE57=0,0,(EF57-EE57)/EE57*100)</f>
        <v>0</v>
      </c>
      <c r="EH57" s="817"/>
      <c r="EI57" s="817"/>
      <c r="EJ57" s="712">
        <f>IF(EH57=0,0,(EI57-EH57)/EH57*100)</f>
        <v>0</v>
      </c>
      <c r="EK57" s="817"/>
      <c r="EL57" s="817"/>
      <c r="EM57" s="712">
        <f>IF(EK57=0,0,(EL57-EK57)/EK57*100)</f>
        <v>0</v>
      </c>
      <c r="EN57" s="817"/>
      <c r="EO57" s="817"/>
      <c r="EP57" s="712">
        <f>IF(EN57=0,0,(EO57-EN57)/EN57*100)</f>
        <v>0</v>
      </c>
      <c r="EQ57" s="817"/>
      <c r="ER57" s="817"/>
      <c r="ES57" s="712">
        <f>IF(EQ57=0,0,(ER57-EQ57)/EQ57*100)</f>
        <v>0</v>
      </c>
      <c r="ET57" s="817"/>
      <c r="EU57" s="817"/>
      <c r="EV57" s="712">
        <f>IF(ET57=0,0,(EU57-ET57)/ET57*100)</f>
        <v>0</v>
      </c>
      <c r="EW57" s="817"/>
      <c r="EX57" s="817"/>
      <c r="EY57" s="712">
        <f>IF(EW57=0,0,(EX57-EW57)/EW57*100)</f>
        <v>0</v>
      </c>
      <c r="EZ57" s="817"/>
      <c r="FA57" s="817"/>
      <c r="FB57" s="712">
        <f>IF(EZ57=0,0,(FA57-EZ57)/EZ57*100)</f>
        <v>0</v>
      </c>
      <c r="FC57" s="817"/>
      <c r="FD57" s="817"/>
      <c r="FE57" s="712">
        <f>IF(FC57=0,0,(FD57-FC57)/FC57*100)</f>
        <v>0</v>
      </c>
      <c r="FF57" s="817"/>
      <c r="FG57" s="817"/>
      <c r="FH57" s="712">
        <f>IF(FF57=0,0,(FG57-FF57)/FF57*100)</f>
        <v>0</v>
      </c>
      <c r="FI57" s="817"/>
      <c r="FJ57" s="817"/>
      <c r="FK57" s="712">
        <f>IF(FI57=0,0,(FJ57-FI57)/FI57*100)</f>
        <v>0</v>
      </c>
      <c r="FL57" s="817"/>
      <c r="FM57" s="817"/>
      <c r="FN57" s="712">
        <f>IF(FL57=0,0,(FM57-FL57)/FL57*100)</f>
        <v>0</v>
      </c>
      <c r="FO57" s="817"/>
      <c r="FP57" s="817"/>
      <c r="FQ57" s="712">
        <f>IF(FO57=0,0,(FP57-FO57)/FO57*100)</f>
        <v>0</v>
      </c>
      <c r="FR57" s="817"/>
      <c r="FS57" s="817"/>
      <c r="FT57" s="712">
        <f>IF(FR57=0,0,(FS57-FR57)/FR57*100)</f>
        <v>0</v>
      </c>
      <c r="FU57" s="817"/>
      <c r="FV57" s="817"/>
      <c r="FW57" s="712">
        <f>IF(FU57=0,0,(FV57-FU57)/FU57*100)</f>
        <v>0</v>
      </c>
      <c r="FZ57" s="689" t="s">
        <v>1699</v>
      </c>
    </row>
    <row r="58" spans="1:182" ht="23.85" hidden="1" customHeight="1">
      <c r="A58" s="59"/>
      <c r="B58" s="611" t="b" cm="1">
        <f t="array" ref="B58">B57</f>
        <v>0</v>
      </c>
      <c r="C58" s="59"/>
      <c r="D58" s="59"/>
      <c r="E58" s="460">
        <v>24.5</v>
      </c>
      <c r="F58" s="3" cm="1">
        <f t="array" aca="1" ref="F58" ca="1">OFFSET(E58,-1,1)</f>
        <v>0</v>
      </c>
      <c r="G58" s="59"/>
      <c r="H58" s="59"/>
      <c r="I58" s="59"/>
      <c r="J58" s="59"/>
      <c r="K58" s="59"/>
      <c r="L58" s="59"/>
      <c r="M58" s="59"/>
      <c r="N58" s="59"/>
      <c r="O58" s="59"/>
      <c r="P58" s="59"/>
      <c r="Q58" s="59"/>
      <c r="R58" s="59"/>
      <c r="S58" s="59"/>
      <c r="T58" s="351" t="b" cm="1">
        <f t="array" aca="1" ref="T58" ca="1">T57</f>
        <v>0</v>
      </c>
      <c r="U58" s="59"/>
      <c r="V58" s="59"/>
      <c r="W58" s="59"/>
      <c r="X58" s="1046"/>
      <c r="Y58" s="59"/>
      <c r="Z58" s="1007"/>
      <c r="AA58" s="59"/>
      <c r="AB58" s="204" t="s">
        <v>1700</v>
      </c>
      <c r="AC58" s="595"/>
      <c r="AD58" s="717"/>
      <c r="AE58" s="717"/>
      <c r="AF58" s="717"/>
      <c r="AG58" s="717"/>
      <c r="AH58" s="717"/>
      <c r="AI58" s="717"/>
      <c r="AJ58" s="717"/>
      <c r="AK58" s="717"/>
      <c r="AL58" s="717"/>
      <c r="AM58" s="717"/>
      <c r="AN58" s="717"/>
      <c r="AO58" s="717"/>
      <c r="AP58" s="717"/>
      <c r="AQ58" s="717"/>
      <c r="AR58" s="717"/>
      <c r="AS58" s="717"/>
      <c r="AT58" s="717"/>
      <c r="AU58" s="717"/>
      <c r="AV58" s="717"/>
      <c r="AW58" s="717"/>
      <c r="AX58" s="717"/>
      <c r="AY58" s="717"/>
      <c r="AZ58" s="717"/>
      <c r="BA58" s="717"/>
      <c r="BB58" s="717"/>
      <c r="BC58" s="717"/>
      <c r="BD58" s="717"/>
      <c r="BE58" s="717"/>
      <c r="BF58" s="717"/>
      <c r="BG58" s="717"/>
      <c r="BH58" s="717"/>
      <c r="BI58" s="717"/>
      <c r="BJ58" s="717"/>
      <c r="BK58" s="717"/>
      <c r="BL58" s="717"/>
      <c r="BM58" s="717"/>
      <c r="BN58" s="717"/>
      <c r="BO58" s="717"/>
      <c r="BP58" s="717"/>
      <c r="BQ58" s="717"/>
      <c r="BR58" s="717"/>
      <c r="BS58" s="717"/>
      <c r="BT58" s="717"/>
      <c r="BU58" s="717"/>
      <c r="BV58" s="717"/>
      <c r="BW58" s="717"/>
      <c r="BX58" s="717"/>
      <c r="BY58" s="717"/>
      <c r="BZ58" s="717"/>
      <c r="CA58" s="717"/>
      <c r="CB58" s="717"/>
      <c r="CC58" s="717"/>
      <c r="CD58" s="717"/>
      <c r="CE58" s="717"/>
      <c r="CF58" s="717"/>
      <c r="CG58" s="717"/>
      <c r="CH58" s="717"/>
      <c r="CI58" s="717"/>
      <c r="CJ58" s="717"/>
      <c r="CK58" s="717"/>
      <c r="CL58" s="717"/>
      <c r="CM58" s="717"/>
      <c r="CN58" s="717"/>
      <c r="CO58" s="717"/>
      <c r="CP58" s="717"/>
      <c r="CQ58" s="717"/>
      <c r="CR58" s="717"/>
      <c r="CS58" s="717"/>
      <c r="CT58" s="717"/>
      <c r="CU58" s="717"/>
      <c r="CV58" s="717"/>
      <c r="CW58" s="717"/>
      <c r="CX58" s="717"/>
      <c r="CY58" s="717"/>
      <c r="CZ58" s="717"/>
      <c r="DA58" s="717"/>
      <c r="DB58" s="717"/>
      <c r="DC58" s="717"/>
      <c r="DD58" s="717"/>
      <c r="DE58" s="717"/>
      <c r="DF58" s="717"/>
      <c r="DG58" s="717"/>
      <c r="DH58" s="717"/>
      <c r="DI58" s="717"/>
      <c r="DJ58" s="717"/>
      <c r="DK58" s="717"/>
      <c r="DL58" s="717"/>
      <c r="DM58" s="717"/>
      <c r="DN58" s="717"/>
      <c r="DO58" s="717"/>
      <c r="DP58" s="717"/>
      <c r="DQ58" s="717"/>
      <c r="DR58" s="717"/>
      <c r="DS58" s="717"/>
      <c r="DT58" s="717"/>
      <c r="DU58" s="717"/>
      <c r="DV58" s="717"/>
      <c r="DW58" s="717"/>
      <c r="DX58" s="717"/>
      <c r="DY58" s="717"/>
      <c r="DZ58" s="717"/>
      <c r="EA58" s="717"/>
      <c r="EB58" s="717"/>
      <c r="EC58" s="717"/>
      <c r="ED58" s="717"/>
      <c r="EE58" s="717"/>
      <c r="EF58" s="717"/>
      <c r="EG58" s="717"/>
      <c r="EH58" s="717"/>
      <c r="EI58" s="717"/>
      <c r="EJ58" s="717"/>
      <c r="EK58" s="717"/>
      <c r="EL58" s="717"/>
      <c r="EM58" s="717"/>
      <c r="EN58" s="717"/>
      <c r="EO58" s="717"/>
      <c r="EP58" s="717"/>
      <c r="EQ58" s="717"/>
      <c r="ER58" s="717"/>
      <c r="ES58" s="717"/>
      <c r="ET58" s="717"/>
      <c r="EU58" s="717"/>
      <c r="EV58" s="717"/>
      <c r="EW58" s="717"/>
      <c r="EX58" s="717"/>
      <c r="EY58" s="717"/>
      <c r="EZ58" s="717"/>
      <c r="FA58" s="717"/>
      <c r="FB58" s="717"/>
      <c r="FC58" s="717"/>
      <c r="FD58" s="717"/>
      <c r="FE58" s="717"/>
      <c r="FF58" s="717"/>
      <c r="FG58" s="717"/>
      <c r="FH58" s="717"/>
      <c r="FI58" s="717"/>
      <c r="FJ58" s="717"/>
      <c r="FK58" s="717"/>
      <c r="FL58" s="717"/>
      <c r="FM58" s="717"/>
      <c r="FN58" s="717"/>
      <c r="FO58" s="717"/>
      <c r="FP58" s="717"/>
      <c r="FQ58" s="717"/>
      <c r="FR58" s="717"/>
      <c r="FS58" s="717"/>
      <c r="FT58" s="717"/>
      <c r="FU58" s="717"/>
      <c r="FV58" s="717"/>
      <c r="FW58" s="718"/>
      <c r="FZ58" s="689"/>
    </row>
    <row r="59" spans="1:182" ht="14.65" hidden="1" customHeight="1">
      <c r="A59" s="59"/>
      <c r="B59" s="611" t="b" cm="1">
        <f t="array" ref="B59">B58</f>
        <v>0</v>
      </c>
      <c r="C59" s="59"/>
      <c r="D59" s="59"/>
      <c r="E59" s="460">
        <v>15</v>
      </c>
      <c r="F59" s="3" cm="1">
        <f t="array" aca="1" ref="F59" ca="1">OFFSET(E59,-1,1)</f>
        <v>0</v>
      </c>
      <c r="G59" s="59"/>
      <c r="H59" s="59" t="s">
        <v>1604</v>
      </c>
      <c r="I59" s="59" t="s">
        <v>1660</v>
      </c>
      <c r="J59" s="59"/>
      <c r="K59" s="59"/>
      <c r="L59" s="59"/>
      <c r="M59" s="59"/>
      <c r="N59" s="59"/>
      <c r="O59" s="59"/>
      <c r="P59" s="59"/>
      <c r="Q59" s="59"/>
      <c r="R59" s="59"/>
      <c r="S59" s="59"/>
      <c r="T59" s="351" t="b" cm="1">
        <f t="array" aca="1" ref="T59" ca="1">T58</f>
        <v>0</v>
      </c>
      <c r="U59" s="59"/>
      <c r="V59" s="59"/>
      <c r="W59" s="59"/>
      <c r="X59" s="1046"/>
      <c r="Y59" s="59"/>
      <c r="Z59" s="1007"/>
      <c r="AA59" s="59"/>
      <c r="AB59" s="105" t="s">
        <v>1680</v>
      </c>
      <c r="AC59" s="12" t="s">
        <v>1647</v>
      </c>
      <c r="AD59" s="817">
        <f ca="1">IF(AD61=0,0,(AD60*AD61+AD62*AD63*IF(god=2026,9,6))/AD61)</f>
        <v>0</v>
      </c>
      <c r="AE59" s="817">
        <f ca="1">IF(AE61=0,0,(AE60*AE61+AE62*AE63*IF(god=2026,9,6))/AE61)</f>
        <v>0</v>
      </c>
      <c r="AF59" s="712">
        <f ca="1">IF(AD59=0,0,(AE59-AD59)/AD59*100)</f>
        <v>0</v>
      </c>
      <c r="AG59" s="57">
        <f ca="1">IF(AG61=0,0,(AG60*AG61+AG62*AG63*IF(god=2025,9,6))/AG61)</f>
        <v>0</v>
      </c>
      <c r="AH59" s="57">
        <f ca="1">IF(AH61=0,0,(AH60*AH61+AH62*AH63*IF(god=2025,9,6))/AH61)</f>
        <v>0</v>
      </c>
      <c r="AI59" s="712">
        <f ca="1">IF(AG59=0,0,(AH59-AG59)/AG59*100)</f>
        <v>0</v>
      </c>
      <c r="AJ59" s="57">
        <f ca="1">IF(AJ61=0,0,(AJ60*AJ61+AJ62*AJ63*6)/AJ61)</f>
        <v>0</v>
      </c>
      <c r="AK59" s="57">
        <f ca="1">IF(AK61=0,0,(AK60*AK61+AK62*AK63*6)/AK61)</f>
        <v>0</v>
      </c>
      <c r="AL59" s="712">
        <f ca="1">IF(AJ59=0,0,(AK59-AJ59)/AJ59*100)</f>
        <v>0</v>
      </c>
      <c r="AM59" s="817">
        <f ca="1">IF(AM61=0,0,(AM60*AM61+AM62*AM63*6)/AM61)</f>
        <v>0</v>
      </c>
      <c r="AN59" s="817">
        <f ca="1">IF(AN61=0,0,(AN60*AN61+AN62*AN63*6)/AN61)</f>
        <v>0</v>
      </c>
      <c r="AO59" s="712">
        <f ca="1">IF(AM59=0,0,(AN59-AM59)/AM59*100)</f>
        <v>0</v>
      </c>
      <c r="AP59" s="817">
        <f ca="1">IF(AP61=0,0,(AP60*AP61+AP62*AP63*6)/AP61)</f>
        <v>0</v>
      </c>
      <c r="AQ59" s="817">
        <f ca="1">IF(AQ61=0,0,(AQ60*AQ61+AQ62*AQ63*6)/AQ61)</f>
        <v>0</v>
      </c>
      <c r="AR59" s="712">
        <f ca="1">IF(AP59=0,0,(AQ59-AP59)/AP59*100)</f>
        <v>0</v>
      </c>
      <c r="AS59" s="817">
        <f ca="1">IF(AS61=0,0,(AS60*AS61+AS62*AS63*6)/AS61)</f>
        <v>0</v>
      </c>
      <c r="AT59" s="817">
        <f ca="1">IF(AT61=0,0,(AT60*AT61+AT62*AT63*6)/AT61)</f>
        <v>0</v>
      </c>
      <c r="AU59" s="712">
        <f ca="1">IF(AS59=0,0,(AT59-AS59)/AS59*100)</f>
        <v>0</v>
      </c>
      <c r="AV59" s="817">
        <f ca="1">IF(AV61=0,0,(AV60*AV61+AV62*AV63*6)/AV61)</f>
        <v>0</v>
      </c>
      <c r="AW59" s="817">
        <f ca="1">IF(AW61=0,0,(AW60*AW61+AW62*AW63*6)/AW61)</f>
        <v>0</v>
      </c>
      <c r="AX59" s="712">
        <f ca="1">IF(AV59=0,0,(AW59-AV59)/AV59*100)</f>
        <v>0</v>
      </c>
      <c r="AY59" s="817">
        <f ca="1">IF(AY61=0,0,(AY60*AY61+AY62*AY63*6)/AY61)</f>
        <v>0</v>
      </c>
      <c r="AZ59" s="817">
        <f ca="1">IF(AZ61=0,0,(AZ60*AZ61+AZ62*AZ63*6)/AZ61)</f>
        <v>0</v>
      </c>
      <c r="BA59" s="712">
        <f ca="1">IF(AY59=0,0,(AZ59-AY59)/AY59*100)</f>
        <v>0</v>
      </c>
      <c r="BB59" s="817">
        <f ca="1">IF(BB61=0,0,(BB60*BB61+BB62*BB63*6)/BB61)</f>
        <v>0</v>
      </c>
      <c r="BC59" s="817">
        <f ca="1">IF(BC61=0,0,(BC60*BC61+BC62*BC63*6)/BC61)</f>
        <v>0</v>
      </c>
      <c r="BD59" s="712">
        <f ca="1">IF(BB59=0,0,(BC59-BB59)/BB59*100)</f>
        <v>0</v>
      </c>
      <c r="BE59" s="817">
        <f ca="1">IF(BE61=0,0,(BE60*BE61+BE62*BE63*6)/BE61)</f>
        <v>0</v>
      </c>
      <c r="BF59" s="817">
        <f ca="1">IF(BF61=0,0,(BF60*BF61+BF62*BF63*6)/BF61)</f>
        <v>0</v>
      </c>
      <c r="BG59" s="712">
        <f ca="1">IF(BE59=0,0,(BF59-BE59)/BE59*100)</f>
        <v>0</v>
      </c>
      <c r="BH59" s="817">
        <f>IF(BH61=0,0,(BH60*BH61+BH62*BH63*6)/BH61)</f>
        <v>0</v>
      </c>
      <c r="BI59" s="817">
        <f>IF(BI61=0,0,(BI60*BI61+BI62*BI63*6)/BI61)</f>
        <v>0</v>
      </c>
      <c r="BJ59" s="712">
        <f>IF(BH59=0,0,(BI59-BH59)/BH59*100)</f>
        <v>0</v>
      </c>
      <c r="BK59" s="817">
        <f>IF(BK61=0,0,(BK60*BK61+BK62*BK63*6)/BK61)</f>
        <v>0</v>
      </c>
      <c r="BL59" s="817">
        <f>IF(BL61=0,0,(BL60*BL61+BL62*BL63*6)/BL61)</f>
        <v>0</v>
      </c>
      <c r="BM59" s="712">
        <f>IF(BK59=0,0,(BL59-BK59)/BK59*100)</f>
        <v>0</v>
      </c>
      <c r="BN59" s="817">
        <f>IF(BN61=0,0,(BN60*BN61+BN62*BN63*6)/BN61)</f>
        <v>0</v>
      </c>
      <c r="BO59" s="817">
        <f>IF(BO61=0,0,(BO60*BO61+BO62*BO63*6)/BO61)</f>
        <v>0</v>
      </c>
      <c r="BP59" s="712">
        <f>IF(BN59=0,0,(BO59-BN59)/BN59*100)</f>
        <v>0</v>
      </c>
      <c r="BQ59" s="817">
        <f>IF(BQ61=0,0,(BQ60*BQ61+BQ62*BQ63*6)/BQ61)</f>
        <v>0</v>
      </c>
      <c r="BR59" s="817">
        <f>IF(BR61=0,0,(BR60*BR61+BR62*BR63*6)/BR61)</f>
        <v>0</v>
      </c>
      <c r="BS59" s="712">
        <f>IF(BQ59=0,0,(BR59-BQ59)/BQ59*100)</f>
        <v>0</v>
      </c>
      <c r="BT59" s="817">
        <f>IF(BT61=0,0,(BT60*BT61+BT62*BT63*6)/BT61)</f>
        <v>0</v>
      </c>
      <c r="BU59" s="817">
        <f>IF(BU61=0,0,(BU60*BU61+BU62*BU63*6)/BU61)</f>
        <v>0</v>
      </c>
      <c r="BV59" s="712">
        <f>IF(BT59=0,0,(BU59-BT59)/BT59*100)</f>
        <v>0</v>
      </c>
      <c r="BW59" s="817">
        <f>IF(BW61=0,0,(BW60*BW61+BW62*BW63*6)/BW61)</f>
        <v>0</v>
      </c>
      <c r="BX59" s="817">
        <f>IF(BX61=0,0,(BX60*BX61+BX62*BX63*6)/BX61)</f>
        <v>0</v>
      </c>
      <c r="BY59" s="712">
        <f>IF(BW59=0,0,(BX59-BW59)/BW59*100)</f>
        <v>0</v>
      </c>
      <c r="BZ59" s="817">
        <f>IF(BZ61=0,0,(BZ60*BZ61+BZ62*BZ63*6)/BZ61)</f>
        <v>0</v>
      </c>
      <c r="CA59" s="817">
        <f>IF(CA61=0,0,(CA60*CA61+CA62*CA63*6)/CA61)</f>
        <v>0</v>
      </c>
      <c r="CB59" s="712">
        <f>IF(BZ59=0,0,(CA59-BZ59)/BZ59*100)</f>
        <v>0</v>
      </c>
      <c r="CC59" s="817">
        <f>IF(CC61=0,0,(CC60*CC61+CC62*CC63*6)/CC61)</f>
        <v>0</v>
      </c>
      <c r="CD59" s="817">
        <f>IF(CD61=0,0,(CD60*CD61+CD62*CD63*6)/CD61)</f>
        <v>0</v>
      </c>
      <c r="CE59" s="712">
        <f>IF(CC59=0,0,(CD59-CC59)/CC59*100)</f>
        <v>0</v>
      </c>
      <c r="CF59" s="817">
        <f>IF(CF61=0,0,(CF60*CF61+CF62*CF63*6)/CF61)</f>
        <v>0</v>
      </c>
      <c r="CG59" s="817">
        <f>IF(CG61=0,0,(CG60*CG61+CG62*CG63*6)/CG61)</f>
        <v>0</v>
      </c>
      <c r="CH59" s="712">
        <f>IF(CF59=0,0,(CG59-CF59)/CF59*100)</f>
        <v>0</v>
      </c>
      <c r="CI59" s="817">
        <f>IF(CI61=0,0,(CI60*CI61+CI62*CI63*6)/CI61)</f>
        <v>0</v>
      </c>
      <c r="CJ59" s="817">
        <f>IF(CJ61=0,0,(CJ60*CJ61+CJ62*CJ63*6)/CJ61)</f>
        <v>0</v>
      </c>
      <c r="CK59" s="712">
        <f>IF(CI59=0,0,(CJ59-CI59)/CI59*100)</f>
        <v>0</v>
      </c>
      <c r="CL59" s="817">
        <f>IF(CL61=0,0,(CL60*CL61+CL62*CL63*6)/CL61)</f>
        <v>0</v>
      </c>
      <c r="CM59" s="817">
        <f>IF(CM61=0,0,(CM60*CM61+CM62*CM63*6)/CM61)</f>
        <v>0</v>
      </c>
      <c r="CN59" s="712">
        <f>IF(CL59=0,0,(CM59-CL59)/CL59*100)</f>
        <v>0</v>
      </c>
      <c r="CO59" s="817">
        <f>IF(CO61=0,0,(CO60*CO61+CO62*CO63*6)/CO61)</f>
        <v>0</v>
      </c>
      <c r="CP59" s="817">
        <f>IF(CP61=0,0,(CP60*CP61+CP62*CP63*6)/CP61)</f>
        <v>0</v>
      </c>
      <c r="CQ59" s="712">
        <f>IF(CO59=0,0,(CP59-CO59)/CO59*100)</f>
        <v>0</v>
      </c>
      <c r="CR59" s="817">
        <f>IF(CR61=0,0,(CR60*CR61+CR62*CR63*6)/CR61)</f>
        <v>0</v>
      </c>
      <c r="CS59" s="817">
        <f>IF(CS61=0,0,(CS60*CS61+CS62*CS63*6)/CS61)</f>
        <v>0</v>
      </c>
      <c r="CT59" s="712">
        <f>IF(CR59=0,0,(CS59-CR59)/CR59*100)</f>
        <v>0</v>
      </c>
      <c r="CU59" s="817">
        <f>IF(CU61=0,0,(CU60*CU61+CU62*CU63*6)/CU61)</f>
        <v>0</v>
      </c>
      <c r="CV59" s="817">
        <f>IF(CV61=0,0,(CV60*CV61+CV62*CV63*6)/CV61)</f>
        <v>0</v>
      </c>
      <c r="CW59" s="712">
        <f>IF(CU59=0,0,(CV59-CU59)/CU59*100)</f>
        <v>0</v>
      </c>
      <c r="CX59" s="817">
        <f>IF(CX61=0,0,(CX60*CX61+CX62*CX63*6)/CX61)</f>
        <v>0</v>
      </c>
      <c r="CY59" s="817">
        <f>IF(CY61=0,0,(CY60*CY61+CY62*CY63*6)/CY61)</f>
        <v>0</v>
      </c>
      <c r="CZ59" s="712">
        <f>IF(CX59=0,0,(CY59-CX59)/CX59*100)</f>
        <v>0</v>
      </c>
      <c r="DA59" s="817">
        <f>IF(DA61=0,0,(DA60*DA61+DA62*DA63*6)/DA61)</f>
        <v>0</v>
      </c>
      <c r="DB59" s="817">
        <f>IF(DB61=0,0,(DB60*DB61+DB62*DB63*6)/DB61)</f>
        <v>0</v>
      </c>
      <c r="DC59" s="712">
        <f>IF(DA59=0,0,(DB59-DA59)/DA59*100)</f>
        <v>0</v>
      </c>
      <c r="DD59" s="817">
        <f>IF(DD61=0,0,(DD60*DD61+DD62*DD63*6)/DD61)</f>
        <v>0</v>
      </c>
      <c r="DE59" s="817">
        <f>IF(DE61=0,0,(DE60*DE61+DE62*DE63*6)/DE61)</f>
        <v>0</v>
      </c>
      <c r="DF59" s="712">
        <f>IF(DD59=0,0,(DE59-DD59)/DD59*100)</f>
        <v>0</v>
      </c>
      <c r="DG59" s="817">
        <f>IF(DG61=0,0,(DG60*DG61+DG62*DG63*6)/DG61)</f>
        <v>0</v>
      </c>
      <c r="DH59" s="817">
        <f>IF(DH61=0,0,(DH60*DH61+DH62*DH63*6)/DH61)</f>
        <v>0</v>
      </c>
      <c r="DI59" s="712">
        <f>IF(DG59=0,0,(DH59-DG59)/DG59*100)</f>
        <v>0</v>
      </c>
      <c r="DJ59" s="817">
        <f>IF(DJ61=0,0,(DJ60*DJ61+DJ62*DJ63*6)/DJ61)</f>
        <v>0</v>
      </c>
      <c r="DK59" s="817">
        <f>IF(DK61=0,0,(DK60*DK61+DK62*DK63*6)/DK61)</f>
        <v>0</v>
      </c>
      <c r="DL59" s="712">
        <f>IF(DJ59=0,0,(DK59-DJ59)/DJ59*100)</f>
        <v>0</v>
      </c>
      <c r="DM59" s="817">
        <f>IF(DM61=0,0,(DM60*DM61+DM62*DM63*6)/DM61)</f>
        <v>0</v>
      </c>
      <c r="DN59" s="817">
        <f>IF(DN61=0,0,(DN60*DN61+DN62*DN63*6)/DN61)</f>
        <v>0</v>
      </c>
      <c r="DO59" s="712">
        <f>IF(DM59=0,0,(DN59-DM59)/DM59*100)</f>
        <v>0</v>
      </c>
      <c r="DP59" s="817">
        <f>IF(DP61=0,0,(DP60*DP61+DP62*DP63*6)/DP61)</f>
        <v>0</v>
      </c>
      <c r="DQ59" s="817">
        <f>IF(DQ61=0,0,(DQ60*DQ61+DQ62*DQ63*6)/DQ61)</f>
        <v>0</v>
      </c>
      <c r="DR59" s="712">
        <f>IF(DP59=0,0,(DQ59-DP59)/DP59*100)</f>
        <v>0</v>
      </c>
      <c r="DS59" s="817">
        <f>IF(DS61=0,0,(DS60*DS61+DS62*DS63*6)/DS61)</f>
        <v>0</v>
      </c>
      <c r="DT59" s="817">
        <f>IF(DT61=0,0,(DT60*DT61+DT62*DT63*6)/DT61)</f>
        <v>0</v>
      </c>
      <c r="DU59" s="712">
        <f>IF(DS59=0,0,(DT59-DS59)/DS59*100)</f>
        <v>0</v>
      </c>
      <c r="DV59" s="817">
        <f>IF(DV61=0,0,(DV60*DV61+DV62*DV63*6)/DV61)</f>
        <v>0</v>
      </c>
      <c r="DW59" s="817">
        <f>IF(DW61=0,0,(DW60*DW61+DW62*DW63*6)/DW61)</f>
        <v>0</v>
      </c>
      <c r="DX59" s="712">
        <f>IF(DV59=0,0,(DW59-DV59)/DV59*100)</f>
        <v>0</v>
      </c>
      <c r="DY59" s="817">
        <f>IF(DY61=0,0,(DY60*DY61+DY62*DY63*6)/DY61)</f>
        <v>0</v>
      </c>
      <c r="DZ59" s="817">
        <f>IF(DZ61=0,0,(DZ60*DZ61+DZ62*DZ63*6)/DZ61)</f>
        <v>0</v>
      </c>
      <c r="EA59" s="712">
        <f>IF(DY59=0,0,(DZ59-DY59)/DY59*100)</f>
        <v>0</v>
      </c>
      <c r="EB59" s="817">
        <f>IF(EB61=0,0,(EB60*EB61+EB62*EB63*6)/EB61)</f>
        <v>0</v>
      </c>
      <c r="EC59" s="817">
        <f>IF(EC61=0,0,(EC60*EC61+EC62*EC63*6)/EC61)</f>
        <v>0</v>
      </c>
      <c r="ED59" s="712">
        <f>IF(EB59=0,0,(EC59-EB59)/EB59*100)</f>
        <v>0</v>
      </c>
      <c r="EE59" s="817">
        <f>IF(EE61=0,0,(EE60*EE61+EE62*EE63*6)/EE61)</f>
        <v>0</v>
      </c>
      <c r="EF59" s="817">
        <f>IF(EF61=0,0,(EF60*EF61+EF62*EF63*6)/EF61)</f>
        <v>0</v>
      </c>
      <c r="EG59" s="712">
        <f>IF(EE59=0,0,(EF59-EE59)/EE59*100)</f>
        <v>0</v>
      </c>
      <c r="EH59" s="817">
        <f>IF(EH61=0,0,(EH60*EH61+EH62*EH63*6)/EH61)</f>
        <v>0</v>
      </c>
      <c r="EI59" s="817">
        <f>IF(EI61=0,0,(EI60*EI61+EI62*EI63*6)/EI61)</f>
        <v>0</v>
      </c>
      <c r="EJ59" s="712">
        <f>IF(EH59=0,0,(EI59-EH59)/EH59*100)</f>
        <v>0</v>
      </c>
      <c r="EK59" s="817">
        <f>IF(EK61=0,0,(EK60*EK61+EK62*EK63*6)/EK61)</f>
        <v>0</v>
      </c>
      <c r="EL59" s="817">
        <f>IF(EL61=0,0,(EL60*EL61+EL62*EL63*6)/EL61)</f>
        <v>0</v>
      </c>
      <c r="EM59" s="712">
        <f>IF(EK59=0,0,(EL59-EK59)/EK59*100)</f>
        <v>0</v>
      </c>
      <c r="EN59" s="817">
        <f>IF(EN61=0,0,(EN60*EN61+EN62*EN63*6)/EN61)</f>
        <v>0</v>
      </c>
      <c r="EO59" s="817">
        <f>IF(EO61=0,0,(EO60*EO61+EO62*EO63*6)/EO61)</f>
        <v>0</v>
      </c>
      <c r="EP59" s="712">
        <f>IF(EN59=0,0,(EO59-EN59)/EN59*100)</f>
        <v>0</v>
      </c>
      <c r="EQ59" s="817">
        <f>IF(EQ61=0,0,(EQ60*EQ61+EQ62*EQ63*6)/EQ61)</f>
        <v>0</v>
      </c>
      <c r="ER59" s="817">
        <f>IF(ER61=0,0,(ER60*ER61+ER62*ER63*6)/ER61)</f>
        <v>0</v>
      </c>
      <c r="ES59" s="712">
        <f>IF(EQ59=0,0,(ER59-EQ59)/EQ59*100)</f>
        <v>0</v>
      </c>
      <c r="ET59" s="817">
        <f>IF(ET61=0,0,(ET60*ET61+ET62*ET63*6)/ET61)</f>
        <v>0</v>
      </c>
      <c r="EU59" s="817">
        <f>IF(EU61=0,0,(EU60*EU61+EU62*EU63*6)/EU61)</f>
        <v>0</v>
      </c>
      <c r="EV59" s="712">
        <f>IF(ET59=0,0,(EU59-ET59)/ET59*100)</f>
        <v>0</v>
      </c>
      <c r="EW59" s="817">
        <f>IF(EW61=0,0,(EW60*EW61+EW62*EW63*6)/EW61)</f>
        <v>0</v>
      </c>
      <c r="EX59" s="817">
        <f>IF(EX61=0,0,(EX60*EX61+EX62*EX63*6)/EX61)</f>
        <v>0</v>
      </c>
      <c r="EY59" s="712">
        <f>IF(EW59=0,0,(EX59-EW59)/EW59*100)</f>
        <v>0</v>
      </c>
      <c r="EZ59" s="817">
        <f>IF(EZ61=0,0,(EZ60*EZ61+EZ62*EZ63*6)/EZ61)</f>
        <v>0</v>
      </c>
      <c r="FA59" s="817">
        <f>IF(FA61=0,0,(FA60*FA61+FA62*FA63*6)/FA61)</f>
        <v>0</v>
      </c>
      <c r="FB59" s="712">
        <f>IF(EZ59=0,0,(FA59-EZ59)/EZ59*100)</f>
        <v>0</v>
      </c>
      <c r="FC59" s="817">
        <f>IF(FC61=0,0,(FC60*FC61+FC62*FC63*6)/FC61)</f>
        <v>0</v>
      </c>
      <c r="FD59" s="817">
        <f>IF(FD61=0,0,(FD60*FD61+FD62*FD63*6)/FD61)</f>
        <v>0</v>
      </c>
      <c r="FE59" s="712">
        <f>IF(FC59=0,0,(FD59-FC59)/FC59*100)</f>
        <v>0</v>
      </c>
      <c r="FF59" s="817">
        <f>IF(FF61=0,0,(FF60*FF61+FF62*FF63*6)/FF61)</f>
        <v>0</v>
      </c>
      <c r="FG59" s="817">
        <f>IF(FG61=0,0,(FG60*FG61+FG62*FG63*6)/FG61)</f>
        <v>0</v>
      </c>
      <c r="FH59" s="712">
        <f>IF(FF59=0,0,(FG59-FF59)/FF59*100)</f>
        <v>0</v>
      </c>
      <c r="FI59" s="817">
        <f>IF(FI61=0,0,(FI60*FI61+FI62*FI63*6)/FI61)</f>
        <v>0</v>
      </c>
      <c r="FJ59" s="817">
        <f>IF(FJ61=0,0,(FJ60*FJ61+FJ62*FJ63*6)/FJ61)</f>
        <v>0</v>
      </c>
      <c r="FK59" s="712">
        <f>IF(FI59=0,0,(FJ59-FI59)/FI59*100)</f>
        <v>0</v>
      </c>
      <c r="FL59" s="817">
        <f>IF(FL61=0,0,(FL60*FL61+FL62*FL63*6)/FL61)</f>
        <v>0</v>
      </c>
      <c r="FM59" s="817">
        <f>IF(FM61=0,0,(FM60*FM61+FM62*FM63*6)/FM61)</f>
        <v>0</v>
      </c>
      <c r="FN59" s="712">
        <f>IF(FL59=0,0,(FM59-FL59)/FL59*100)</f>
        <v>0</v>
      </c>
      <c r="FO59" s="817">
        <f>IF(FO61=0,0,(FO60*FO61+FO62*FO63*6)/FO61)</f>
        <v>0</v>
      </c>
      <c r="FP59" s="817">
        <f>IF(FP61=0,0,(FP60*FP61+FP62*FP63*6)/FP61)</f>
        <v>0</v>
      </c>
      <c r="FQ59" s="712">
        <f>IF(FO59=0,0,(FP59-FO59)/FO59*100)</f>
        <v>0</v>
      </c>
      <c r="FR59" s="817">
        <f>IF(FR61=0,0,(FR60*FR61+FR62*FR63*6)/FR61)</f>
        <v>0</v>
      </c>
      <c r="FS59" s="817">
        <f>IF(FS61=0,0,(FS60*FS61+FS62*FS63*6)/FS61)</f>
        <v>0</v>
      </c>
      <c r="FT59" s="712">
        <f>IF(FR59=0,0,(FS59-FR59)/FR59*100)</f>
        <v>0</v>
      </c>
      <c r="FU59" s="817">
        <f>IF(FU61=0,0,(FU60*FU61+FU62*FU63*6)/FU61)</f>
        <v>0</v>
      </c>
      <c r="FV59" s="817">
        <f>IF(FV61=0,0,(FV60*FV61+FV62*FV63*6)/FV61)</f>
        <v>0</v>
      </c>
      <c r="FW59" s="712">
        <f>IF(FU59=0,0,(FV59-FU59)/FU59*100)</f>
        <v>0</v>
      </c>
      <c r="FZ59" s="689" t="s">
        <v>1701</v>
      </c>
    </row>
    <row r="60" spans="1:182" ht="14.65" hidden="1" customHeight="1">
      <c r="A60" s="59"/>
      <c r="B60" s="611" t="b" cm="1">
        <f t="array" ref="B60">B59</f>
        <v>0</v>
      </c>
      <c r="C60" s="59"/>
      <c r="D60" s="59"/>
      <c r="E60" s="460">
        <v>15</v>
      </c>
      <c r="F60" s="3" cm="1">
        <f t="array" aca="1" ref="F60" ca="1">OFFSET(E60,-1,1)</f>
        <v>0</v>
      </c>
      <c r="G60" s="59"/>
      <c r="H60" s="59" t="s">
        <v>1608</v>
      </c>
      <c r="I60" s="59" t="s">
        <v>1660</v>
      </c>
      <c r="J60" s="59"/>
      <c r="K60" s="59"/>
      <c r="L60" s="59"/>
      <c r="M60" s="59"/>
      <c r="N60" s="59"/>
      <c r="O60" s="59"/>
      <c r="P60" s="59"/>
      <c r="Q60" s="59"/>
      <c r="R60" s="59"/>
      <c r="S60" s="59"/>
      <c r="T60" s="351" t="b" cm="1">
        <f t="array" aca="1" ref="T60" ca="1">T59</f>
        <v>0</v>
      </c>
      <c r="U60" s="59"/>
      <c r="V60" s="59"/>
      <c r="W60" s="59"/>
      <c r="X60" s="1046"/>
      <c r="Y60" s="59"/>
      <c r="Z60" s="1007"/>
      <c r="AA60" s="59"/>
      <c r="AB60" s="105"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1647</v>
      </c>
      <c r="AD60" s="817"/>
      <c r="AE60" s="817"/>
      <c r="AF60" s="712">
        <f>IF(AD60=0,0,(AE60-AD60)/AD60*100)</f>
        <v>0</v>
      </c>
      <c r="AG60" s="57"/>
      <c r="AH60" s="57"/>
      <c r="AI60" s="712">
        <f>IF(AG60=0,0,(AH60-AG60)/AG60*100)</f>
        <v>0</v>
      </c>
      <c r="AJ60" s="57"/>
      <c r="AK60" s="57"/>
      <c r="AL60" s="712">
        <f>IF(AJ60=0,0,(AK60-AJ60)/AJ60*100)</f>
        <v>0</v>
      </c>
      <c r="AM60" s="817"/>
      <c r="AN60" s="817"/>
      <c r="AO60" s="712">
        <f>IF(AM60=0,0,(AN60-AM60)/AM60*100)</f>
        <v>0</v>
      </c>
      <c r="AP60" s="817"/>
      <c r="AQ60" s="817"/>
      <c r="AR60" s="712">
        <f>IF(AP60=0,0,(AQ60-AP60)/AP60*100)</f>
        <v>0</v>
      </c>
      <c r="AS60" s="817"/>
      <c r="AT60" s="817"/>
      <c r="AU60" s="712">
        <f>IF(AS60=0,0,(AT60-AS60)/AS60*100)</f>
        <v>0</v>
      </c>
      <c r="AV60" s="817"/>
      <c r="AW60" s="817"/>
      <c r="AX60" s="712">
        <f>IF(AV60=0,0,(AW60-AV60)/AV60*100)</f>
        <v>0</v>
      </c>
      <c r="AY60" s="817"/>
      <c r="AZ60" s="817"/>
      <c r="BA60" s="712">
        <f>IF(AY60=0,0,(AZ60-AY60)/AY60*100)</f>
        <v>0</v>
      </c>
      <c r="BB60" s="817"/>
      <c r="BC60" s="817"/>
      <c r="BD60" s="712">
        <f>IF(BB60=0,0,(BC60-BB60)/BB60*100)</f>
        <v>0</v>
      </c>
      <c r="BE60" s="817"/>
      <c r="BF60" s="817"/>
      <c r="BG60" s="712">
        <f>IF(BE60=0,0,(BF60-BE60)/BE60*100)</f>
        <v>0</v>
      </c>
      <c r="BH60" s="817"/>
      <c r="BI60" s="817"/>
      <c r="BJ60" s="712">
        <f>IF(BH60=0,0,(BI60-BH60)/BH60*100)</f>
        <v>0</v>
      </c>
      <c r="BK60" s="817"/>
      <c r="BL60" s="817"/>
      <c r="BM60" s="712">
        <f>IF(BK60=0,0,(BL60-BK60)/BK60*100)</f>
        <v>0</v>
      </c>
      <c r="BN60" s="817"/>
      <c r="BO60" s="817"/>
      <c r="BP60" s="712">
        <f>IF(BN60=0,0,(BO60-BN60)/BN60*100)</f>
        <v>0</v>
      </c>
      <c r="BQ60" s="817"/>
      <c r="BR60" s="817"/>
      <c r="BS60" s="712">
        <f>IF(BQ60=0,0,(BR60-BQ60)/BQ60*100)</f>
        <v>0</v>
      </c>
      <c r="BT60" s="817"/>
      <c r="BU60" s="817"/>
      <c r="BV60" s="712">
        <f>IF(BT60=0,0,(BU60-BT60)/BT60*100)</f>
        <v>0</v>
      </c>
      <c r="BW60" s="817"/>
      <c r="BX60" s="817"/>
      <c r="BY60" s="712">
        <f>IF(BW60=0,0,(BX60-BW60)/BW60*100)</f>
        <v>0</v>
      </c>
      <c r="BZ60" s="817"/>
      <c r="CA60" s="817"/>
      <c r="CB60" s="712">
        <f>IF(BZ60=0,0,(CA60-BZ60)/BZ60*100)</f>
        <v>0</v>
      </c>
      <c r="CC60" s="817"/>
      <c r="CD60" s="817"/>
      <c r="CE60" s="712">
        <f>IF(CC60=0,0,(CD60-CC60)/CC60*100)</f>
        <v>0</v>
      </c>
      <c r="CF60" s="817"/>
      <c r="CG60" s="817"/>
      <c r="CH60" s="712">
        <f>IF(CF60=0,0,(CG60-CF60)/CF60*100)</f>
        <v>0</v>
      </c>
      <c r="CI60" s="817"/>
      <c r="CJ60" s="817"/>
      <c r="CK60" s="712">
        <f>IF(CI60=0,0,(CJ60-CI60)/CI60*100)</f>
        <v>0</v>
      </c>
      <c r="CL60" s="817"/>
      <c r="CM60" s="817"/>
      <c r="CN60" s="712">
        <f>IF(CL60=0,0,(CM60-CL60)/CL60*100)</f>
        <v>0</v>
      </c>
      <c r="CO60" s="817"/>
      <c r="CP60" s="817"/>
      <c r="CQ60" s="712">
        <f>IF(CO60=0,0,(CP60-CO60)/CO60*100)</f>
        <v>0</v>
      </c>
      <c r="CR60" s="817"/>
      <c r="CS60" s="817"/>
      <c r="CT60" s="712">
        <f>IF(CR60=0,0,(CS60-CR60)/CR60*100)</f>
        <v>0</v>
      </c>
      <c r="CU60" s="817"/>
      <c r="CV60" s="817"/>
      <c r="CW60" s="712">
        <f>IF(CU60=0,0,(CV60-CU60)/CU60*100)</f>
        <v>0</v>
      </c>
      <c r="CX60" s="817"/>
      <c r="CY60" s="817"/>
      <c r="CZ60" s="712">
        <f>IF(CX60=0,0,(CY60-CX60)/CX60*100)</f>
        <v>0</v>
      </c>
      <c r="DA60" s="817"/>
      <c r="DB60" s="817"/>
      <c r="DC60" s="712">
        <f>IF(DA60=0,0,(DB60-DA60)/DA60*100)</f>
        <v>0</v>
      </c>
      <c r="DD60" s="817"/>
      <c r="DE60" s="817"/>
      <c r="DF60" s="712">
        <f>IF(DD60=0,0,(DE60-DD60)/DD60*100)</f>
        <v>0</v>
      </c>
      <c r="DG60" s="817"/>
      <c r="DH60" s="817"/>
      <c r="DI60" s="712">
        <f>IF(DG60=0,0,(DH60-DG60)/DG60*100)</f>
        <v>0</v>
      </c>
      <c r="DJ60" s="817"/>
      <c r="DK60" s="817"/>
      <c r="DL60" s="712">
        <f>IF(DJ60=0,0,(DK60-DJ60)/DJ60*100)</f>
        <v>0</v>
      </c>
      <c r="DM60" s="817"/>
      <c r="DN60" s="817"/>
      <c r="DO60" s="712">
        <f>IF(DM60=0,0,(DN60-DM60)/DM60*100)</f>
        <v>0</v>
      </c>
      <c r="DP60" s="817"/>
      <c r="DQ60" s="817"/>
      <c r="DR60" s="712">
        <f>IF(DP60=0,0,(DQ60-DP60)/DP60*100)</f>
        <v>0</v>
      </c>
      <c r="DS60" s="817"/>
      <c r="DT60" s="817"/>
      <c r="DU60" s="712">
        <f>IF(DS60=0,0,(DT60-DS60)/DS60*100)</f>
        <v>0</v>
      </c>
      <c r="DV60" s="817"/>
      <c r="DW60" s="817"/>
      <c r="DX60" s="712">
        <f>IF(DV60=0,0,(DW60-DV60)/DV60*100)</f>
        <v>0</v>
      </c>
      <c r="DY60" s="817"/>
      <c r="DZ60" s="817"/>
      <c r="EA60" s="712">
        <f>IF(DY60=0,0,(DZ60-DY60)/DY60*100)</f>
        <v>0</v>
      </c>
      <c r="EB60" s="817"/>
      <c r="EC60" s="817"/>
      <c r="ED60" s="712">
        <f>IF(EB60=0,0,(EC60-EB60)/EB60*100)</f>
        <v>0</v>
      </c>
      <c r="EE60" s="817"/>
      <c r="EF60" s="817"/>
      <c r="EG60" s="712">
        <f>IF(EE60=0,0,(EF60-EE60)/EE60*100)</f>
        <v>0</v>
      </c>
      <c r="EH60" s="817"/>
      <c r="EI60" s="817"/>
      <c r="EJ60" s="712">
        <f>IF(EH60=0,0,(EI60-EH60)/EH60*100)</f>
        <v>0</v>
      </c>
      <c r="EK60" s="817"/>
      <c r="EL60" s="817"/>
      <c r="EM60" s="712">
        <f>IF(EK60=0,0,(EL60-EK60)/EK60*100)</f>
        <v>0</v>
      </c>
      <c r="EN60" s="817"/>
      <c r="EO60" s="817"/>
      <c r="EP60" s="712">
        <f>IF(EN60=0,0,(EO60-EN60)/EN60*100)</f>
        <v>0</v>
      </c>
      <c r="EQ60" s="817"/>
      <c r="ER60" s="817"/>
      <c r="ES60" s="712">
        <f>IF(EQ60=0,0,(ER60-EQ60)/EQ60*100)</f>
        <v>0</v>
      </c>
      <c r="ET60" s="817"/>
      <c r="EU60" s="817"/>
      <c r="EV60" s="712">
        <f>IF(ET60=0,0,(EU60-ET60)/ET60*100)</f>
        <v>0</v>
      </c>
      <c r="EW60" s="817"/>
      <c r="EX60" s="817"/>
      <c r="EY60" s="712">
        <f>IF(EW60=0,0,(EX60-EW60)/EW60*100)</f>
        <v>0</v>
      </c>
      <c r="EZ60" s="817"/>
      <c r="FA60" s="817"/>
      <c r="FB60" s="712">
        <f>IF(EZ60=0,0,(FA60-EZ60)/EZ60*100)</f>
        <v>0</v>
      </c>
      <c r="FC60" s="817"/>
      <c r="FD60" s="817"/>
      <c r="FE60" s="712">
        <f>IF(FC60=0,0,(FD60-FC60)/FC60*100)</f>
        <v>0</v>
      </c>
      <c r="FF60" s="817"/>
      <c r="FG60" s="817"/>
      <c r="FH60" s="712">
        <f>IF(FF60=0,0,(FG60-FF60)/FF60*100)</f>
        <v>0</v>
      </c>
      <c r="FI60" s="817"/>
      <c r="FJ60" s="817"/>
      <c r="FK60" s="712">
        <f>IF(FI60=0,0,(FJ60-FI60)/FI60*100)</f>
        <v>0</v>
      </c>
      <c r="FL60" s="817"/>
      <c r="FM60" s="817"/>
      <c r="FN60" s="712">
        <f>IF(FL60=0,0,(FM60-FL60)/FL60*100)</f>
        <v>0</v>
      </c>
      <c r="FO60" s="817"/>
      <c r="FP60" s="817"/>
      <c r="FQ60" s="712">
        <f>IF(FO60=0,0,(FP60-FO60)/FO60*100)</f>
        <v>0</v>
      </c>
      <c r="FR60" s="817"/>
      <c r="FS60" s="817"/>
      <c r="FT60" s="712">
        <f>IF(FR60=0,0,(FS60-FR60)/FR60*100)</f>
        <v>0</v>
      </c>
      <c r="FU60" s="817"/>
      <c r="FV60" s="817"/>
      <c r="FW60" s="712">
        <f>IF(FU60=0,0,(FV60-FU60)/FU60*100)</f>
        <v>0</v>
      </c>
      <c r="FZ60" s="689" t="s">
        <v>1702</v>
      </c>
    </row>
    <row r="61" spans="1:182" ht="14.65" hidden="1" customHeight="1">
      <c r="A61" s="59"/>
      <c r="B61" s="611" t="b" cm="1">
        <f t="array" ref="B61">B60</f>
        <v>0</v>
      </c>
      <c r="C61" s="59"/>
      <c r="D61" s="59"/>
      <c r="E61" s="460">
        <v>15</v>
      </c>
      <c r="F61" s="3" cm="1">
        <f t="array" aca="1" ref="F61" ca="1">OFFSET(E61,-1,1)</f>
        <v>0</v>
      </c>
      <c r="G61" s="25" t="s">
        <v>1703</v>
      </c>
      <c r="H61" s="59" t="s">
        <v>1684</v>
      </c>
      <c r="I61" s="59" t="s">
        <v>1660</v>
      </c>
      <c r="J61" s="59"/>
      <c r="K61" s="59"/>
      <c r="L61" s="59"/>
      <c r="M61" s="59"/>
      <c r="N61" s="59"/>
      <c r="O61" s="59"/>
      <c r="P61" s="59"/>
      <c r="Q61" s="59"/>
      <c r="R61" s="59"/>
      <c r="S61" s="59"/>
      <c r="T61" s="351" t="b" cm="1">
        <f t="array" aca="1" ref="T61" ca="1">T60</f>
        <v>0</v>
      </c>
      <c r="U61" s="59"/>
      <c r="V61" s="59"/>
      <c r="W61" s="59"/>
      <c r="X61" s="1046"/>
      <c r="Y61" s="59"/>
      <c r="Z61" s="1007"/>
      <c r="AA61" s="59"/>
      <c r="AB61" s="105" t="str">
        <f>"объём "&amp;IF(Q29="Водоснабжение","потребления холодной воды","водоотведения")</f>
        <v>объём водоотведения</v>
      </c>
      <c r="AC61" s="12" t="s">
        <v>585</v>
      </c>
      <c r="AD61" s="833">
        <f ca="1">IF(AND(method_reg="Метод индексации",god&lt;&gt;first_year),SUMIFS(INDEX('Калькуляция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(МИ)'!$AJ$25:$BC$315,,MATCH(AD$8,'Калькуляция (МИ)'!$AJ$8:$BC$8,0)),'Калькуляция (МИ)'!$F$25:$F$315,$F61,'Калькуляция (МИ)'!$G$25:$G$315,$G61))))</f>
        <v>0</v>
      </c>
      <c r="AE61" s="833">
        <f ca="1">IF(AND(method_reg="Метод индексации",god&lt;&gt;first_year),SUMIFS(INDEX('Калькуляция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(МИ)'!$AJ$25:$BC$315,,MATCH(AE$8,'Калькуляция (МИ)'!$AJ$8:$BC$8,0)),'Калькуляция (МИ)'!$F$25:$F$315,$F61,'Калькуляция (МИ)'!$G$25:$G$315,$G61))))</f>
        <v>0</v>
      </c>
      <c r="AF61" s="713">
        <f ca="1">IF(AD61=0,0,(AE61-AD61)/AD61*100)</f>
        <v>0</v>
      </c>
      <c r="AG61" s="190">
        <f ca="1">IF(AND(method_reg="Метод индексации",god&lt;&gt;first_year),SUMIFS(INDEX('Калькуляция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(МИ)'!$AJ$25:$BC$315,,MATCH(AG$8,'Калькуляция (МИ)'!$AJ$8:$BC$8,0)),'Калькуляция (МИ)'!$F$25:$F$315,$F61,'Калькуляция (МИ)'!$G$25:$G$315,$G61))))</f>
        <v>0</v>
      </c>
      <c r="AH61" s="190">
        <f ca="1">IF(AND(method_reg="Метод индексации",god&lt;&gt;first_year),SUMIFS(INDEX('Калькуляция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(МИ)'!$AJ$25:$BC$315,,MATCH(AH$8,'Калькуляция (МИ)'!$AJ$8:$BC$8,0)),'Калькуляция (МИ)'!$F$25:$F$315,$F61,'Калькуляция (МИ)'!$G$25:$G$315,$G61))))</f>
        <v>0</v>
      </c>
      <c r="AI61" s="713">
        <f ca="1">IF(AG61=0,0,(AH61-AG61)/AG61*100)</f>
        <v>0</v>
      </c>
      <c r="AJ61" s="190">
        <f ca="1">IF(AND(method_reg="Метод индексации",god&lt;&gt;first_year),SUMIFS(INDEX('Калькуляция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(МИ)'!$AJ$25:$BC$315,,MATCH(AJ$8,'Калькуляция (МИ)'!$AJ$8:$BC$8,0)),'Калькуляция (МИ)'!$F$25:$F$315,$F61,'Калькуляция (МИ)'!$G$25:$G$315,$G61))))</f>
        <v>0</v>
      </c>
      <c r="AK61" s="190">
        <f ca="1">IF(AND(method_reg="Метод индексации",god&lt;&gt;first_year),SUMIFS(INDEX('Калькуляция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(МИ)'!$AJ$25:$BC$315,,MATCH(AK$8,'Калькуляция (МИ)'!$AJ$8:$BC$8,0)),'Калькуляция (МИ)'!$F$25:$F$315,$F61,'Калькуляция (МИ)'!$G$25:$G$315,$G61))))</f>
        <v>0</v>
      </c>
      <c r="AL61" s="713">
        <f ca="1">IF(AJ61=0,0,(AK61-AJ61)/AJ61*100)</f>
        <v>0</v>
      </c>
      <c r="AM61" s="833">
        <f ca="1">IF(AND(method_reg="Метод индексации",god&lt;&gt;first_year),SUMIFS(INDEX('Калькуляция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(МИ)'!$AJ$25:$BC$315,,MATCH(AM$8,'Калькуляция (МИ)'!$AJ$8:$BC$8,0)),'Калькуляция (МИ)'!$F$25:$F$315,$F61,'Калькуляция (МИ)'!$G$25:$G$315,$G61))))</f>
        <v>0</v>
      </c>
      <c r="AN61" s="833">
        <f ca="1">IF(AND(method_reg="Метод индексации",god&lt;&gt;first_year),SUMIFS(INDEX('Калькуляция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(МИ)'!$AJ$25:$BC$315,,MATCH(AN$8,'Калькуляция (МИ)'!$AJ$8:$BC$8,0)),'Калькуляция (МИ)'!$F$25:$F$315,$F61,'Калькуляция (МИ)'!$G$25:$G$315,$G61))))</f>
        <v>0</v>
      </c>
      <c r="AO61" s="713">
        <f ca="1">IF(AM61=0,0,(AN61-AM61)/AM61*100)</f>
        <v>0</v>
      </c>
      <c r="AP61" s="833">
        <f ca="1">IF(AND(method_reg="Метод индексации",god&lt;&gt;first_year),SUMIFS(INDEX('Калькуляция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(МИ)'!$AJ$25:$BC$315,,MATCH(AP$8,'Калькуляция (МИ)'!$AJ$8:$BC$8,0)),'Калькуляция (МИ)'!$F$25:$F$315,$F61,'Калькуляция (МИ)'!$G$25:$G$315,$G61))))</f>
        <v>0</v>
      </c>
      <c r="AQ61" s="833">
        <f ca="1">IF(AND(method_reg="Метод индексации",god&lt;&gt;first_year),SUMIFS(INDEX('Калькуляция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(МИ)'!$AJ$25:$BC$315,,MATCH(AQ$8,'Калькуляция (МИ)'!$AJ$8:$BC$8,0)),'Калькуляция (МИ)'!$F$25:$F$315,$F61,'Калькуляция (МИ)'!$G$25:$G$315,$G61))))</f>
        <v>0</v>
      </c>
      <c r="AR61" s="713">
        <f ca="1">IF(AP61=0,0,(AQ61-AP61)/AP61*100)</f>
        <v>0</v>
      </c>
      <c r="AS61" s="833">
        <f ca="1">IF(AND(method_reg="Метод индексации",god&lt;&gt;first_year),SUMIFS(INDEX('Калькуляция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(МИ)'!$AJ$25:$BC$315,,MATCH(AS$8,'Калькуляция (МИ)'!$AJ$8:$BC$8,0)),'Калькуляция (МИ)'!$F$25:$F$315,$F61,'Калькуляция (МИ)'!$G$25:$G$315,$G61))))</f>
        <v>0</v>
      </c>
      <c r="AT61" s="833">
        <f ca="1">IF(AND(method_reg="Метод индексации",god&lt;&gt;first_year),SUMIFS(INDEX('Калькуляция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(МИ)'!$AJ$25:$BC$315,,MATCH(AT$8,'Калькуляция (МИ)'!$AJ$8:$BC$8,0)),'Калькуляция (МИ)'!$F$25:$F$315,$F61,'Калькуляция (МИ)'!$G$25:$G$315,$G61))))</f>
        <v>0</v>
      </c>
      <c r="AU61" s="713">
        <f ca="1">IF(AS61=0,0,(AT61-AS61)/AS61*100)</f>
        <v>0</v>
      </c>
      <c r="AV61" s="833">
        <f ca="1">IF(AND(method_reg="Метод индексации",god&lt;&gt;first_year),SUMIFS(INDEX('Калькуляция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(МИ)'!$AJ$25:$BC$315,,MATCH(AV$8,'Калькуляция (МИ)'!$AJ$8:$BC$8,0)),'Калькуляция (МИ)'!$F$25:$F$315,$F61,'Калькуляция (МИ)'!$G$25:$G$315,$G61))))</f>
        <v>0</v>
      </c>
      <c r="AW61" s="833">
        <f ca="1">IF(AND(method_reg="Метод индексации",god&lt;&gt;first_year),SUMIFS(INDEX('Калькуляция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(МИ)'!$AJ$25:$BC$315,,MATCH(AW$8,'Калькуляция (МИ)'!$AJ$8:$BC$8,0)),'Калькуляция (МИ)'!$F$25:$F$315,$F61,'Калькуляция (МИ)'!$G$25:$G$315,$G61))))</f>
        <v>0</v>
      </c>
      <c r="AX61" s="713">
        <f ca="1">IF(AV61=0,0,(AW61-AV61)/AV61*100)</f>
        <v>0</v>
      </c>
      <c r="AY61" s="833">
        <f ca="1">IF(AND(method_reg="Метод индексации",god&lt;&gt;first_year),SUMIFS(INDEX('Калькуляция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(МИ)'!$AJ$25:$BC$315,,MATCH(AY$8,'Калькуляция (МИ)'!$AJ$8:$BC$8,0)),'Калькуляция (МИ)'!$F$25:$F$315,$F61,'Калькуляция (МИ)'!$G$25:$G$315,$G61))))</f>
        <v>0</v>
      </c>
      <c r="AZ61" s="833">
        <f ca="1">IF(AND(method_reg="Метод индексации",god&lt;&gt;first_year),SUMIFS(INDEX('Калькуляция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(МИ)'!$AJ$25:$BC$315,,MATCH(AZ$8,'Калькуляция (МИ)'!$AJ$8:$BC$8,0)),'Калькуляция (МИ)'!$F$25:$F$315,$F61,'Калькуляция (МИ)'!$G$25:$G$315,$G61))))</f>
        <v>0</v>
      </c>
      <c r="BA61" s="713">
        <f ca="1">IF(AY61=0,0,(AZ61-AY61)/AY61*100)</f>
        <v>0</v>
      </c>
      <c r="BB61" s="833">
        <f ca="1">IF(AND(method_reg="Метод индексации",god&lt;&gt;first_year),SUMIFS(INDEX('Калькуляция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(МИ)'!$AJ$25:$BC$315,,MATCH(BB$8,'Калькуляция (МИ)'!$AJ$8:$BC$8,0)),'Калькуляция (МИ)'!$F$25:$F$315,$F61,'Калькуляция (МИ)'!$G$25:$G$315,$G61))))</f>
        <v>0</v>
      </c>
      <c r="BC61" s="833">
        <f ca="1">IF(AND(method_reg="Метод индексации",god&lt;&gt;first_year),SUMIFS(INDEX('Калькуляция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(МИ)'!$AJ$25:$BC$315,,MATCH(BC$8,'Калькуляция (МИ)'!$AJ$8:$BC$8,0)),'Калькуляция (МИ)'!$F$25:$F$315,$F61,'Калькуляция (МИ)'!$G$25:$G$315,$G61))))</f>
        <v>0</v>
      </c>
      <c r="BD61" s="713">
        <f ca="1">IF(BB61=0,0,(BC61-BB61)/BB61*100)</f>
        <v>0</v>
      </c>
      <c r="BE61" s="833">
        <f ca="1">IF(AND(method_reg="Метод индексации",god&lt;&gt;first_year),SUMIFS(INDEX('Калькуляция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(МИ)'!$AJ$25:$BC$315,,MATCH(BE$8,'Калькуляция (МИ)'!$AJ$8:$BC$8,0)),'Калькуляция (МИ)'!$F$25:$F$315,$F61,'Калькуляция (МИ)'!$G$25:$G$315,$G61))))</f>
        <v>0</v>
      </c>
      <c r="BF61" s="833">
        <f ca="1">IF(AND(method_reg="Метод индексации",god&lt;&gt;first_year),SUMIFS(INDEX('Калькуляция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(МИ)'!$AJ$25:$BC$315,,MATCH(BF$8,'Калькуляция (МИ)'!$AJ$8:$BC$8,0)),'Калькуляция (МИ)'!$F$25:$F$315,$F61,'Калькуляция (МИ)'!$G$25:$G$315,$G61))))</f>
        <v>0</v>
      </c>
      <c r="BG61" s="713">
        <f ca="1">IF(BE61=0,0,(BF61-BE61)/BE61*100)</f>
        <v>0</v>
      </c>
      <c r="BH61" s="833"/>
      <c r="BI61" s="833"/>
      <c r="BJ61" s="713">
        <f>IF(BH61=0,0,(BI61-BH61)/BH61*100)</f>
        <v>0</v>
      </c>
      <c r="BK61" s="833"/>
      <c r="BL61" s="833"/>
      <c r="BM61" s="713">
        <f>IF(BK61=0,0,(BL61-BK61)/BK61*100)</f>
        <v>0</v>
      </c>
      <c r="BN61" s="833"/>
      <c r="BO61" s="833"/>
      <c r="BP61" s="713">
        <f>IF(BN61=0,0,(BO61-BN61)/BN61*100)</f>
        <v>0</v>
      </c>
      <c r="BQ61" s="833"/>
      <c r="BR61" s="833"/>
      <c r="BS61" s="713">
        <f>IF(BQ61=0,0,(BR61-BQ61)/BQ61*100)</f>
        <v>0</v>
      </c>
      <c r="BT61" s="833"/>
      <c r="BU61" s="833"/>
      <c r="BV61" s="713">
        <f>IF(BT61=0,0,(BU61-BT61)/BT61*100)</f>
        <v>0</v>
      </c>
      <c r="BW61" s="833"/>
      <c r="BX61" s="833"/>
      <c r="BY61" s="713">
        <f>IF(BW61=0,0,(BX61-BW61)/BW61*100)</f>
        <v>0</v>
      </c>
      <c r="BZ61" s="833"/>
      <c r="CA61" s="833"/>
      <c r="CB61" s="713">
        <f>IF(BZ61=0,0,(CA61-BZ61)/BZ61*100)</f>
        <v>0</v>
      </c>
      <c r="CC61" s="833"/>
      <c r="CD61" s="833"/>
      <c r="CE61" s="713">
        <f>IF(CC61=0,0,(CD61-CC61)/CC61*100)</f>
        <v>0</v>
      </c>
      <c r="CF61" s="833"/>
      <c r="CG61" s="833"/>
      <c r="CH61" s="713">
        <f>IF(CF61=0,0,(CG61-CF61)/CF61*100)</f>
        <v>0</v>
      </c>
      <c r="CI61" s="833"/>
      <c r="CJ61" s="833"/>
      <c r="CK61" s="713">
        <f>IF(CI61=0,0,(CJ61-CI61)/CI61*100)</f>
        <v>0</v>
      </c>
      <c r="CL61" s="833"/>
      <c r="CM61" s="833"/>
      <c r="CN61" s="713">
        <f>IF(CL61=0,0,(CM61-CL61)/CL61*100)</f>
        <v>0</v>
      </c>
      <c r="CO61" s="833"/>
      <c r="CP61" s="833"/>
      <c r="CQ61" s="713">
        <f>IF(CO61=0,0,(CP61-CO61)/CO61*100)</f>
        <v>0</v>
      </c>
      <c r="CR61" s="833"/>
      <c r="CS61" s="833"/>
      <c r="CT61" s="713">
        <f>IF(CR61=0,0,(CS61-CR61)/CR61*100)</f>
        <v>0</v>
      </c>
      <c r="CU61" s="833"/>
      <c r="CV61" s="833"/>
      <c r="CW61" s="713">
        <f>IF(CU61=0,0,(CV61-CU61)/CU61*100)</f>
        <v>0</v>
      </c>
      <c r="CX61" s="833"/>
      <c r="CY61" s="833"/>
      <c r="CZ61" s="713">
        <f>IF(CX61=0,0,(CY61-CX61)/CX61*100)</f>
        <v>0</v>
      </c>
      <c r="DA61" s="833"/>
      <c r="DB61" s="833"/>
      <c r="DC61" s="713">
        <f>IF(DA61=0,0,(DB61-DA61)/DA61*100)</f>
        <v>0</v>
      </c>
      <c r="DD61" s="833"/>
      <c r="DE61" s="833"/>
      <c r="DF61" s="713">
        <f>IF(DD61=0,0,(DE61-DD61)/DD61*100)</f>
        <v>0</v>
      </c>
      <c r="DG61" s="833"/>
      <c r="DH61" s="833"/>
      <c r="DI61" s="713">
        <f>IF(DG61=0,0,(DH61-DG61)/DG61*100)</f>
        <v>0</v>
      </c>
      <c r="DJ61" s="833"/>
      <c r="DK61" s="833"/>
      <c r="DL61" s="713">
        <f>IF(DJ61=0,0,(DK61-DJ61)/DJ61*100)</f>
        <v>0</v>
      </c>
      <c r="DM61" s="833"/>
      <c r="DN61" s="833"/>
      <c r="DO61" s="713">
        <f>IF(DM61=0,0,(DN61-DM61)/DM61*100)</f>
        <v>0</v>
      </c>
      <c r="DP61" s="833"/>
      <c r="DQ61" s="833"/>
      <c r="DR61" s="713">
        <f>IF(DP61=0,0,(DQ61-DP61)/DP61*100)</f>
        <v>0</v>
      </c>
      <c r="DS61" s="833"/>
      <c r="DT61" s="833"/>
      <c r="DU61" s="713">
        <f>IF(DS61=0,0,(DT61-DS61)/DS61*100)</f>
        <v>0</v>
      </c>
      <c r="DV61" s="833"/>
      <c r="DW61" s="833"/>
      <c r="DX61" s="713">
        <f>IF(DV61=0,0,(DW61-DV61)/DV61*100)</f>
        <v>0</v>
      </c>
      <c r="DY61" s="833"/>
      <c r="DZ61" s="833"/>
      <c r="EA61" s="713">
        <f>IF(DY61=0,0,(DZ61-DY61)/DY61*100)</f>
        <v>0</v>
      </c>
      <c r="EB61" s="833"/>
      <c r="EC61" s="833"/>
      <c r="ED61" s="713">
        <f>IF(EB61=0,0,(EC61-EB61)/EB61*100)</f>
        <v>0</v>
      </c>
      <c r="EE61" s="833"/>
      <c r="EF61" s="833"/>
      <c r="EG61" s="713">
        <f>IF(EE61=0,0,(EF61-EE61)/EE61*100)</f>
        <v>0</v>
      </c>
      <c r="EH61" s="833"/>
      <c r="EI61" s="833"/>
      <c r="EJ61" s="713">
        <f>IF(EH61=0,0,(EI61-EH61)/EH61*100)</f>
        <v>0</v>
      </c>
      <c r="EK61" s="833"/>
      <c r="EL61" s="833"/>
      <c r="EM61" s="713">
        <f>IF(EK61=0,0,(EL61-EK61)/EK61*100)</f>
        <v>0</v>
      </c>
      <c r="EN61" s="833"/>
      <c r="EO61" s="833"/>
      <c r="EP61" s="713">
        <f>IF(EN61=0,0,(EO61-EN61)/EN61*100)</f>
        <v>0</v>
      </c>
      <c r="EQ61" s="833"/>
      <c r="ER61" s="833"/>
      <c r="ES61" s="713">
        <f>IF(EQ61=0,0,(ER61-EQ61)/EQ61*100)</f>
        <v>0</v>
      </c>
      <c r="ET61" s="833"/>
      <c r="EU61" s="833"/>
      <c r="EV61" s="713">
        <f>IF(ET61=0,0,(EU61-ET61)/ET61*100)</f>
        <v>0</v>
      </c>
      <c r="EW61" s="833"/>
      <c r="EX61" s="833"/>
      <c r="EY61" s="713">
        <f>IF(EW61=0,0,(EX61-EW61)/EW61*100)</f>
        <v>0</v>
      </c>
      <c r="EZ61" s="833"/>
      <c r="FA61" s="833"/>
      <c r="FB61" s="713">
        <f>IF(EZ61=0,0,(FA61-EZ61)/EZ61*100)</f>
        <v>0</v>
      </c>
      <c r="FC61" s="833"/>
      <c r="FD61" s="833"/>
      <c r="FE61" s="713">
        <f>IF(FC61=0,0,(FD61-FC61)/FC61*100)</f>
        <v>0</v>
      </c>
      <c r="FF61" s="833"/>
      <c r="FG61" s="833"/>
      <c r="FH61" s="713">
        <f>IF(FF61=0,0,(FG61-FF61)/FF61*100)</f>
        <v>0</v>
      </c>
      <c r="FI61" s="833"/>
      <c r="FJ61" s="833"/>
      <c r="FK61" s="713">
        <f>IF(FI61=0,0,(FJ61-FI61)/FI61*100)</f>
        <v>0</v>
      </c>
      <c r="FL61" s="833"/>
      <c r="FM61" s="833"/>
      <c r="FN61" s="713">
        <f>IF(FL61=0,0,(FM61-FL61)/FL61*100)</f>
        <v>0</v>
      </c>
      <c r="FO61" s="833"/>
      <c r="FP61" s="833"/>
      <c r="FQ61" s="713">
        <f>IF(FO61=0,0,(FP61-FO61)/FO61*100)</f>
        <v>0</v>
      </c>
      <c r="FR61" s="833"/>
      <c r="FS61" s="833"/>
      <c r="FT61" s="713">
        <f>IF(FR61=0,0,(FS61-FR61)/FR61*100)</f>
        <v>0</v>
      </c>
      <c r="FU61" s="833"/>
      <c r="FV61" s="833"/>
      <c r="FW61" s="713">
        <f>IF(FU61=0,0,(FV61-FU61)/FU61*100)</f>
        <v>0</v>
      </c>
      <c r="FZ61" s="689" t="s">
        <v>1704</v>
      </c>
    </row>
    <row r="62" spans="1:182" ht="21.95" hidden="1" customHeight="1">
      <c r="A62" s="59"/>
      <c r="B62" s="611" t="b" cm="1">
        <f t="array" ref="B62">B61</f>
        <v>0</v>
      </c>
      <c r="C62" s="59"/>
      <c r="D62" s="59"/>
      <c r="E62" s="460">
        <v>22.5</v>
      </c>
      <c r="F62" s="3" cm="1">
        <f t="array" aca="1" ref="F62" ca="1">OFFSET(E62,-1,1)</f>
        <v>0</v>
      </c>
      <c r="G62" s="59"/>
      <c r="H62" s="59" t="s">
        <v>1686</v>
      </c>
      <c r="I62" s="59" t="s">
        <v>1660</v>
      </c>
      <c r="J62" s="59"/>
      <c r="K62" s="59"/>
      <c r="L62" s="59"/>
      <c r="M62" s="59"/>
      <c r="N62" s="59"/>
      <c r="O62" s="59"/>
      <c r="P62" s="59"/>
      <c r="Q62" s="59"/>
      <c r="R62" s="59"/>
      <c r="S62" s="59"/>
      <c r="T62" s="351" t="b" cm="1">
        <f t="array" aca="1" ref="T62" ca="1">T61</f>
        <v>0</v>
      </c>
      <c r="U62" s="59"/>
      <c r="V62" s="59"/>
      <c r="W62" s="59"/>
      <c r="X62" s="1046"/>
      <c r="Y62" s="59"/>
      <c r="Z62" s="1007"/>
      <c r="AA62" s="59"/>
      <c r="AB62"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1687</v>
      </c>
      <c r="AD62" s="817"/>
      <c r="AE62" s="817"/>
      <c r="AF62" s="712">
        <f>IF(AD62=0,0,(AE62-AD62)/AD62*100)</f>
        <v>0</v>
      </c>
      <c r="AG62" s="57"/>
      <c r="AH62" s="57"/>
      <c r="AI62" s="712">
        <f>IF(AG62=0,0,(AH62-AG62)/AG62*100)</f>
        <v>0</v>
      </c>
      <c r="AJ62" s="57"/>
      <c r="AK62" s="57"/>
      <c r="AL62" s="712">
        <f>IF(AJ62=0,0,(AK62-AJ62)/AJ62*100)</f>
        <v>0</v>
      </c>
      <c r="AM62" s="817"/>
      <c r="AN62" s="817"/>
      <c r="AO62" s="712">
        <f>IF(AM62=0,0,(AN62-AM62)/AM62*100)</f>
        <v>0</v>
      </c>
      <c r="AP62" s="817"/>
      <c r="AQ62" s="817"/>
      <c r="AR62" s="712">
        <f>IF(AP62=0,0,(AQ62-AP62)/AP62*100)</f>
        <v>0</v>
      </c>
      <c r="AS62" s="817"/>
      <c r="AT62" s="817"/>
      <c r="AU62" s="712">
        <f>IF(AS62=0,0,(AT62-AS62)/AS62*100)</f>
        <v>0</v>
      </c>
      <c r="AV62" s="817"/>
      <c r="AW62" s="817"/>
      <c r="AX62" s="712">
        <f>IF(AV62=0,0,(AW62-AV62)/AV62*100)</f>
        <v>0</v>
      </c>
      <c r="AY62" s="817"/>
      <c r="AZ62" s="817"/>
      <c r="BA62" s="712">
        <f>IF(AY62=0,0,(AZ62-AY62)/AY62*100)</f>
        <v>0</v>
      </c>
      <c r="BB62" s="817"/>
      <c r="BC62" s="817"/>
      <c r="BD62" s="712">
        <f>IF(BB62=0,0,(BC62-BB62)/BB62*100)</f>
        <v>0</v>
      </c>
      <c r="BE62" s="817"/>
      <c r="BF62" s="817"/>
      <c r="BG62" s="712">
        <f>IF(BE62=0,0,(BF62-BE62)/BE62*100)</f>
        <v>0</v>
      </c>
      <c r="BH62" s="817"/>
      <c r="BI62" s="817"/>
      <c r="BJ62" s="712">
        <f>IF(BH62=0,0,(BI62-BH62)/BH62*100)</f>
        <v>0</v>
      </c>
      <c r="BK62" s="817"/>
      <c r="BL62" s="817"/>
      <c r="BM62" s="712">
        <f>IF(BK62=0,0,(BL62-BK62)/BK62*100)</f>
        <v>0</v>
      </c>
      <c r="BN62" s="817"/>
      <c r="BO62" s="817"/>
      <c r="BP62" s="712">
        <f>IF(BN62=0,0,(BO62-BN62)/BN62*100)</f>
        <v>0</v>
      </c>
      <c r="BQ62" s="817"/>
      <c r="BR62" s="817"/>
      <c r="BS62" s="712">
        <f>IF(BQ62=0,0,(BR62-BQ62)/BQ62*100)</f>
        <v>0</v>
      </c>
      <c r="BT62" s="817"/>
      <c r="BU62" s="817"/>
      <c r="BV62" s="712">
        <f>IF(BT62=0,0,(BU62-BT62)/BT62*100)</f>
        <v>0</v>
      </c>
      <c r="BW62" s="817"/>
      <c r="BX62" s="817"/>
      <c r="BY62" s="712">
        <f>IF(BW62=0,0,(BX62-BW62)/BW62*100)</f>
        <v>0</v>
      </c>
      <c r="BZ62" s="817"/>
      <c r="CA62" s="817"/>
      <c r="CB62" s="712">
        <f>IF(BZ62=0,0,(CA62-BZ62)/BZ62*100)</f>
        <v>0</v>
      </c>
      <c r="CC62" s="817"/>
      <c r="CD62" s="817"/>
      <c r="CE62" s="712">
        <f>IF(CC62=0,0,(CD62-CC62)/CC62*100)</f>
        <v>0</v>
      </c>
      <c r="CF62" s="817"/>
      <c r="CG62" s="817"/>
      <c r="CH62" s="712">
        <f>IF(CF62=0,0,(CG62-CF62)/CF62*100)</f>
        <v>0</v>
      </c>
      <c r="CI62" s="817"/>
      <c r="CJ62" s="817"/>
      <c r="CK62" s="712">
        <f>IF(CI62=0,0,(CJ62-CI62)/CI62*100)</f>
        <v>0</v>
      </c>
      <c r="CL62" s="817"/>
      <c r="CM62" s="817"/>
      <c r="CN62" s="712">
        <f>IF(CL62=0,0,(CM62-CL62)/CL62*100)</f>
        <v>0</v>
      </c>
      <c r="CO62" s="817"/>
      <c r="CP62" s="817"/>
      <c r="CQ62" s="712">
        <f>IF(CO62=0,0,(CP62-CO62)/CO62*100)</f>
        <v>0</v>
      </c>
      <c r="CR62" s="817"/>
      <c r="CS62" s="817"/>
      <c r="CT62" s="712">
        <f>IF(CR62=0,0,(CS62-CR62)/CR62*100)</f>
        <v>0</v>
      </c>
      <c r="CU62" s="817"/>
      <c r="CV62" s="817"/>
      <c r="CW62" s="712">
        <f>IF(CU62=0,0,(CV62-CU62)/CU62*100)</f>
        <v>0</v>
      </c>
      <c r="CX62" s="817"/>
      <c r="CY62" s="817"/>
      <c r="CZ62" s="712">
        <f>IF(CX62=0,0,(CY62-CX62)/CX62*100)</f>
        <v>0</v>
      </c>
      <c r="DA62" s="817"/>
      <c r="DB62" s="817"/>
      <c r="DC62" s="712">
        <f>IF(DA62=0,0,(DB62-DA62)/DA62*100)</f>
        <v>0</v>
      </c>
      <c r="DD62" s="817"/>
      <c r="DE62" s="817"/>
      <c r="DF62" s="712">
        <f>IF(DD62=0,0,(DE62-DD62)/DD62*100)</f>
        <v>0</v>
      </c>
      <c r="DG62" s="817"/>
      <c r="DH62" s="817"/>
      <c r="DI62" s="712">
        <f>IF(DG62=0,0,(DH62-DG62)/DG62*100)</f>
        <v>0</v>
      </c>
      <c r="DJ62" s="817"/>
      <c r="DK62" s="817"/>
      <c r="DL62" s="712">
        <f>IF(DJ62=0,0,(DK62-DJ62)/DJ62*100)</f>
        <v>0</v>
      </c>
      <c r="DM62" s="817"/>
      <c r="DN62" s="817"/>
      <c r="DO62" s="712">
        <f>IF(DM62=0,0,(DN62-DM62)/DM62*100)</f>
        <v>0</v>
      </c>
      <c r="DP62" s="817"/>
      <c r="DQ62" s="817"/>
      <c r="DR62" s="712">
        <f>IF(DP62=0,0,(DQ62-DP62)/DP62*100)</f>
        <v>0</v>
      </c>
      <c r="DS62" s="817"/>
      <c r="DT62" s="817"/>
      <c r="DU62" s="712">
        <f>IF(DS62=0,0,(DT62-DS62)/DS62*100)</f>
        <v>0</v>
      </c>
      <c r="DV62" s="817"/>
      <c r="DW62" s="817"/>
      <c r="DX62" s="712">
        <f>IF(DV62=0,0,(DW62-DV62)/DV62*100)</f>
        <v>0</v>
      </c>
      <c r="DY62" s="817"/>
      <c r="DZ62" s="817"/>
      <c r="EA62" s="712">
        <f>IF(DY62=0,0,(DZ62-DY62)/DY62*100)</f>
        <v>0</v>
      </c>
      <c r="EB62" s="817"/>
      <c r="EC62" s="817"/>
      <c r="ED62" s="712">
        <f>IF(EB62=0,0,(EC62-EB62)/EB62*100)</f>
        <v>0</v>
      </c>
      <c r="EE62" s="817"/>
      <c r="EF62" s="817"/>
      <c r="EG62" s="712">
        <f>IF(EE62=0,0,(EF62-EE62)/EE62*100)</f>
        <v>0</v>
      </c>
      <c r="EH62" s="817"/>
      <c r="EI62" s="817"/>
      <c r="EJ62" s="712">
        <f>IF(EH62=0,0,(EI62-EH62)/EH62*100)</f>
        <v>0</v>
      </c>
      <c r="EK62" s="817"/>
      <c r="EL62" s="817"/>
      <c r="EM62" s="712">
        <f>IF(EK62=0,0,(EL62-EK62)/EK62*100)</f>
        <v>0</v>
      </c>
      <c r="EN62" s="817"/>
      <c r="EO62" s="817"/>
      <c r="EP62" s="712">
        <f>IF(EN62=0,0,(EO62-EN62)/EN62*100)</f>
        <v>0</v>
      </c>
      <c r="EQ62" s="817"/>
      <c r="ER62" s="817"/>
      <c r="ES62" s="712">
        <f>IF(EQ62=0,0,(ER62-EQ62)/EQ62*100)</f>
        <v>0</v>
      </c>
      <c r="ET62" s="817"/>
      <c r="EU62" s="817"/>
      <c r="EV62" s="712">
        <f>IF(ET62=0,0,(EU62-ET62)/ET62*100)</f>
        <v>0</v>
      </c>
      <c r="EW62" s="817"/>
      <c r="EX62" s="817"/>
      <c r="EY62" s="712">
        <f>IF(EW62=0,0,(EX62-EW62)/EW62*100)</f>
        <v>0</v>
      </c>
      <c r="EZ62" s="817"/>
      <c r="FA62" s="817"/>
      <c r="FB62" s="712">
        <f>IF(EZ62=0,0,(FA62-EZ62)/EZ62*100)</f>
        <v>0</v>
      </c>
      <c r="FC62" s="817"/>
      <c r="FD62" s="817"/>
      <c r="FE62" s="712">
        <f>IF(FC62=0,0,(FD62-FC62)/FC62*100)</f>
        <v>0</v>
      </c>
      <c r="FF62" s="817"/>
      <c r="FG62" s="817"/>
      <c r="FH62" s="712">
        <f>IF(FF62=0,0,(FG62-FF62)/FF62*100)</f>
        <v>0</v>
      </c>
      <c r="FI62" s="817"/>
      <c r="FJ62" s="817"/>
      <c r="FK62" s="712">
        <f>IF(FI62=0,0,(FJ62-FI62)/FI62*100)</f>
        <v>0</v>
      </c>
      <c r="FL62" s="817"/>
      <c r="FM62" s="817"/>
      <c r="FN62" s="712">
        <f>IF(FL62=0,0,(FM62-FL62)/FL62*100)</f>
        <v>0</v>
      </c>
      <c r="FO62" s="817"/>
      <c r="FP62" s="817"/>
      <c r="FQ62" s="712">
        <f>IF(FO62=0,0,(FP62-FO62)/FO62*100)</f>
        <v>0</v>
      </c>
      <c r="FR62" s="817"/>
      <c r="FS62" s="817"/>
      <c r="FT62" s="712">
        <f>IF(FR62=0,0,(FS62-FR62)/FR62*100)</f>
        <v>0</v>
      </c>
      <c r="FU62" s="817"/>
      <c r="FV62" s="817"/>
      <c r="FW62" s="712">
        <f>IF(FU62=0,0,(FV62-FU62)/FU62*100)</f>
        <v>0</v>
      </c>
      <c r="FZ62" s="689" t="s">
        <v>1705</v>
      </c>
    </row>
    <row r="63" spans="1:182" ht="14.65" hidden="1" customHeight="1">
      <c r="A63" s="59"/>
      <c r="B63" s="611" t="b" cm="1">
        <f t="array" ref="B63">B62</f>
        <v>0</v>
      </c>
      <c r="C63" s="59"/>
      <c r="D63" s="59"/>
      <c r="E63" s="460">
        <v>15</v>
      </c>
      <c r="F63" s="3" cm="1">
        <f t="array" aca="1" ref="F63" ca="1">OFFSET(E63,-1,1)</f>
        <v>0</v>
      </c>
      <c r="G63" s="59"/>
      <c r="H63" s="59" t="s">
        <v>1689</v>
      </c>
      <c r="I63" s="59" t="s">
        <v>1660</v>
      </c>
      <c r="J63" s="59"/>
      <c r="K63" s="59"/>
      <c r="L63" s="59"/>
      <c r="M63" s="59"/>
      <c r="N63" s="59"/>
      <c r="O63" s="59"/>
      <c r="P63" s="59"/>
      <c r="Q63" s="59"/>
      <c r="R63" s="59"/>
      <c r="S63" s="59"/>
      <c r="T63" s="351" t="b" cm="1">
        <f t="array" aca="1" ref="T63" ca="1">T62</f>
        <v>0</v>
      </c>
      <c r="U63" s="59"/>
      <c r="V63" s="59"/>
      <c r="W63" s="59"/>
      <c r="X63" s="1046"/>
      <c r="Y63" s="59"/>
      <c r="Z63" s="1007"/>
      <c r="AA63" s="59"/>
      <c r="AB63" s="105" t="s">
        <v>1690</v>
      </c>
      <c r="AC63" s="12" t="s">
        <v>1691</v>
      </c>
      <c r="AD63" s="817"/>
      <c r="AE63" s="817"/>
      <c r="AF63" s="712">
        <f>IF(AD63=0,0,(AE63-AD63)/AD63*100)</f>
        <v>0</v>
      </c>
      <c r="AG63" s="57"/>
      <c r="AH63" s="57"/>
      <c r="AI63" s="712">
        <f>IF(AG63=0,0,(AH63-AG63)/AG63*100)</f>
        <v>0</v>
      </c>
      <c r="AJ63" s="57"/>
      <c r="AK63" s="57"/>
      <c r="AL63" s="712">
        <f>IF(AJ63=0,0,(AK63-AJ63)/AJ63*100)</f>
        <v>0</v>
      </c>
      <c r="AM63" s="817"/>
      <c r="AN63" s="817"/>
      <c r="AO63" s="712">
        <f>IF(AM63=0,0,(AN63-AM63)/AM63*100)</f>
        <v>0</v>
      </c>
      <c r="AP63" s="817"/>
      <c r="AQ63" s="817"/>
      <c r="AR63" s="712">
        <f>IF(AP63=0,0,(AQ63-AP63)/AP63*100)</f>
        <v>0</v>
      </c>
      <c r="AS63" s="817"/>
      <c r="AT63" s="817"/>
      <c r="AU63" s="712">
        <f>IF(AS63=0,0,(AT63-AS63)/AS63*100)</f>
        <v>0</v>
      </c>
      <c r="AV63" s="817"/>
      <c r="AW63" s="817"/>
      <c r="AX63" s="712">
        <f>IF(AV63=0,0,(AW63-AV63)/AV63*100)</f>
        <v>0</v>
      </c>
      <c r="AY63" s="817"/>
      <c r="AZ63" s="817"/>
      <c r="BA63" s="712">
        <f>IF(AY63=0,0,(AZ63-AY63)/AY63*100)</f>
        <v>0</v>
      </c>
      <c r="BB63" s="817"/>
      <c r="BC63" s="817"/>
      <c r="BD63" s="712">
        <f>IF(BB63=0,0,(BC63-BB63)/BB63*100)</f>
        <v>0</v>
      </c>
      <c r="BE63" s="817"/>
      <c r="BF63" s="817"/>
      <c r="BG63" s="712">
        <f>IF(BE63=0,0,(BF63-BE63)/BE63*100)</f>
        <v>0</v>
      </c>
      <c r="BH63" s="817"/>
      <c r="BI63" s="817"/>
      <c r="BJ63" s="712">
        <f>IF(BH63=0,0,(BI63-BH63)/BH63*100)</f>
        <v>0</v>
      </c>
      <c r="BK63" s="817"/>
      <c r="BL63" s="817"/>
      <c r="BM63" s="712">
        <f>IF(BK63=0,0,(BL63-BK63)/BK63*100)</f>
        <v>0</v>
      </c>
      <c r="BN63" s="817"/>
      <c r="BO63" s="817"/>
      <c r="BP63" s="712">
        <f>IF(BN63=0,0,(BO63-BN63)/BN63*100)</f>
        <v>0</v>
      </c>
      <c r="BQ63" s="817"/>
      <c r="BR63" s="817"/>
      <c r="BS63" s="712">
        <f>IF(BQ63=0,0,(BR63-BQ63)/BQ63*100)</f>
        <v>0</v>
      </c>
      <c r="BT63" s="817"/>
      <c r="BU63" s="817"/>
      <c r="BV63" s="712">
        <f>IF(BT63=0,0,(BU63-BT63)/BT63*100)</f>
        <v>0</v>
      </c>
      <c r="BW63" s="817"/>
      <c r="BX63" s="817"/>
      <c r="BY63" s="712">
        <f>IF(BW63=0,0,(BX63-BW63)/BW63*100)</f>
        <v>0</v>
      </c>
      <c r="BZ63" s="817"/>
      <c r="CA63" s="817"/>
      <c r="CB63" s="712">
        <f>IF(BZ63=0,0,(CA63-BZ63)/BZ63*100)</f>
        <v>0</v>
      </c>
      <c r="CC63" s="817"/>
      <c r="CD63" s="817"/>
      <c r="CE63" s="712">
        <f>IF(CC63=0,0,(CD63-CC63)/CC63*100)</f>
        <v>0</v>
      </c>
      <c r="CF63" s="817"/>
      <c r="CG63" s="817"/>
      <c r="CH63" s="712">
        <f>IF(CF63=0,0,(CG63-CF63)/CF63*100)</f>
        <v>0</v>
      </c>
      <c r="CI63" s="817"/>
      <c r="CJ63" s="817"/>
      <c r="CK63" s="712">
        <f>IF(CI63=0,0,(CJ63-CI63)/CI63*100)</f>
        <v>0</v>
      </c>
      <c r="CL63" s="817"/>
      <c r="CM63" s="817"/>
      <c r="CN63" s="712">
        <f>IF(CL63=0,0,(CM63-CL63)/CL63*100)</f>
        <v>0</v>
      </c>
      <c r="CO63" s="817"/>
      <c r="CP63" s="817"/>
      <c r="CQ63" s="712">
        <f>IF(CO63=0,0,(CP63-CO63)/CO63*100)</f>
        <v>0</v>
      </c>
      <c r="CR63" s="817"/>
      <c r="CS63" s="817"/>
      <c r="CT63" s="712">
        <f>IF(CR63=0,0,(CS63-CR63)/CR63*100)</f>
        <v>0</v>
      </c>
      <c r="CU63" s="817"/>
      <c r="CV63" s="817"/>
      <c r="CW63" s="712">
        <f>IF(CU63=0,0,(CV63-CU63)/CU63*100)</f>
        <v>0</v>
      </c>
      <c r="CX63" s="817"/>
      <c r="CY63" s="817"/>
      <c r="CZ63" s="712">
        <f>IF(CX63=0,0,(CY63-CX63)/CX63*100)</f>
        <v>0</v>
      </c>
      <c r="DA63" s="817"/>
      <c r="DB63" s="817"/>
      <c r="DC63" s="712">
        <f>IF(DA63=0,0,(DB63-DA63)/DA63*100)</f>
        <v>0</v>
      </c>
      <c r="DD63" s="817"/>
      <c r="DE63" s="817"/>
      <c r="DF63" s="712">
        <f>IF(DD63=0,0,(DE63-DD63)/DD63*100)</f>
        <v>0</v>
      </c>
      <c r="DG63" s="817"/>
      <c r="DH63" s="817"/>
      <c r="DI63" s="712">
        <f>IF(DG63=0,0,(DH63-DG63)/DG63*100)</f>
        <v>0</v>
      </c>
      <c r="DJ63" s="817"/>
      <c r="DK63" s="817"/>
      <c r="DL63" s="712">
        <f>IF(DJ63=0,0,(DK63-DJ63)/DJ63*100)</f>
        <v>0</v>
      </c>
      <c r="DM63" s="817"/>
      <c r="DN63" s="817"/>
      <c r="DO63" s="712">
        <f>IF(DM63=0,0,(DN63-DM63)/DM63*100)</f>
        <v>0</v>
      </c>
      <c r="DP63" s="817"/>
      <c r="DQ63" s="817"/>
      <c r="DR63" s="712">
        <f>IF(DP63=0,0,(DQ63-DP63)/DP63*100)</f>
        <v>0</v>
      </c>
      <c r="DS63" s="817"/>
      <c r="DT63" s="817"/>
      <c r="DU63" s="712">
        <f>IF(DS63=0,0,(DT63-DS63)/DS63*100)</f>
        <v>0</v>
      </c>
      <c r="DV63" s="817"/>
      <c r="DW63" s="817"/>
      <c r="DX63" s="712">
        <f>IF(DV63=0,0,(DW63-DV63)/DV63*100)</f>
        <v>0</v>
      </c>
      <c r="DY63" s="817"/>
      <c r="DZ63" s="817"/>
      <c r="EA63" s="712">
        <f>IF(DY63=0,0,(DZ63-DY63)/DY63*100)</f>
        <v>0</v>
      </c>
      <c r="EB63" s="817"/>
      <c r="EC63" s="817"/>
      <c r="ED63" s="712">
        <f>IF(EB63=0,0,(EC63-EB63)/EB63*100)</f>
        <v>0</v>
      </c>
      <c r="EE63" s="817"/>
      <c r="EF63" s="817"/>
      <c r="EG63" s="712">
        <f>IF(EE63=0,0,(EF63-EE63)/EE63*100)</f>
        <v>0</v>
      </c>
      <c r="EH63" s="817"/>
      <c r="EI63" s="817"/>
      <c r="EJ63" s="712">
        <f>IF(EH63=0,0,(EI63-EH63)/EH63*100)</f>
        <v>0</v>
      </c>
      <c r="EK63" s="817"/>
      <c r="EL63" s="817"/>
      <c r="EM63" s="712">
        <f>IF(EK63=0,0,(EL63-EK63)/EK63*100)</f>
        <v>0</v>
      </c>
      <c r="EN63" s="817"/>
      <c r="EO63" s="817"/>
      <c r="EP63" s="712">
        <f>IF(EN63=0,0,(EO63-EN63)/EN63*100)</f>
        <v>0</v>
      </c>
      <c r="EQ63" s="817"/>
      <c r="ER63" s="817"/>
      <c r="ES63" s="712">
        <f>IF(EQ63=0,0,(ER63-EQ63)/EQ63*100)</f>
        <v>0</v>
      </c>
      <c r="ET63" s="817"/>
      <c r="EU63" s="817"/>
      <c r="EV63" s="712">
        <f>IF(ET63=0,0,(EU63-ET63)/ET63*100)</f>
        <v>0</v>
      </c>
      <c r="EW63" s="817"/>
      <c r="EX63" s="817"/>
      <c r="EY63" s="712">
        <f>IF(EW63=0,0,(EX63-EW63)/EW63*100)</f>
        <v>0</v>
      </c>
      <c r="EZ63" s="817"/>
      <c r="FA63" s="817"/>
      <c r="FB63" s="712">
        <f>IF(EZ63=0,0,(FA63-EZ63)/EZ63*100)</f>
        <v>0</v>
      </c>
      <c r="FC63" s="817"/>
      <c r="FD63" s="817"/>
      <c r="FE63" s="712">
        <f>IF(FC63=0,0,(FD63-FC63)/FC63*100)</f>
        <v>0</v>
      </c>
      <c r="FF63" s="817"/>
      <c r="FG63" s="817"/>
      <c r="FH63" s="712">
        <f>IF(FF63=0,0,(FG63-FF63)/FF63*100)</f>
        <v>0</v>
      </c>
      <c r="FI63" s="817"/>
      <c r="FJ63" s="817"/>
      <c r="FK63" s="712">
        <f>IF(FI63=0,0,(FJ63-FI63)/FI63*100)</f>
        <v>0</v>
      </c>
      <c r="FL63" s="817"/>
      <c r="FM63" s="817"/>
      <c r="FN63" s="712">
        <f>IF(FL63=0,0,(FM63-FL63)/FL63*100)</f>
        <v>0</v>
      </c>
      <c r="FO63" s="817"/>
      <c r="FP63" s="817"/>
      <c r="FQ63" s="712">
        <f>IF(FO63=0,0,(FP63-FO63)/FO63*100)</f>
        <v>0</v>
      </c>
      <c r="FR63" s="817"/>
      <c r="FS63" s="817"/>
      <c r="FT63" s="712">
        <f>IF(FR63=0,0,(FS63-FR63)/FR63*100)</f>
        <v>0</v>
      </c>
      <c r="FU63" s="817"/>
      <c r="FV63" s="817"/>
      <c r="FW63" s="712">
        <f>IF(FU63=0,0,(FV63-FU63)/FU63*100)</f>
        <v>0</v>
      </c>
      <c r="FZ63" s="689" t="s">
        <v>1706</v>
      </c>
    </row>
    <row r="64" spans="1:182" ht="23.85" hidden="1" customHeight="1">
      <c r="A64" s="59"/>
      <c r="B64" s="611" t="b" cm="1">
        <f t="array" ref="B64">B63</f>
        <v>0</v>
      </c>
      <c r="C64" s="59"/>
      <c r="D64" s="59"/>
      <c r="E64" s="460">
        <v>24.5</v>
      </c>
      <c r="F64" s="3" cm="1">
        <f t="array" aca="1" ref="F64" ca="1">OFFSET(E64,-1,1)</f>
        <v>0</v>
      </c>
      <c r="G64" s="59"/>
      <c r="H64" s="59"/>
      <c r="I64" s="59"/>
      <c r="J64" s="59"/>
      <c r="K64" s="59"/>
      <c r="L64" s="59"/>
      <c r="M64" s="59"/>
      <c r="N64" s="59"/>
      <c r="O64" s="59"/>
      <c r="P64" s="59"/>
      <c r="Q64" s="59"/>
      <c r="R64" s="59"/>
      <c r="S64" s="59"/>
      <c r="T64" s="351" t="b" cm="1">
        <f t="array" aca="1" ref="T64" ca="1">T63</f>
        <v>0</v>
      </c>
      <c r="U64" s="59"/>
      <c r="V64" s="59"/>
      <c r="W64" s="59"/>
      <c r="X64" s="1046"/>
      <c r="Y64" s="59"/>
      <c r="Z64" s="1007"/>
      <c r="AA64" s="59"/>
      <c r="AB64" s="204" t="s">
        <v>1707</v>
      </c>
      <c r="AC64" s="595"/>
      <c r="AD64" s="717"/>
      <c r="AE64" s="717"/>
      <c r="AF64" s="717"/>
      <c r="AG64" s="717"/>
      <c r="AH64" s="717"/>
      <c r="AI64" s="717"/>
      <c r="AJ64" s="717"/>
      <c r="AK64" s="717"/>
      <c r="AL64" s="717"/>
      <c r="AM64" s="717"/>
      <c r="AN64" s="717"/>
      <c r="AO64" s="717"/>
      <c r="AP64" s="717"/>
      <c r="AQ64" s="717"/>
      <c r="AR64" s="717"/>
      <c r="AS64" s="717"/>
      <c r="AT64" s="717"/>
      <c r="AU64" s="717"/>
      <c r="AV64" s="717"/>
      <c r="AW64" s="717"/>
      <c r="AX64" s="717"/>
      <c r="AY64" s="717"/>
      <c r="AZ64" s="717"/>
      <c r="BA64" s="717"/>
      <c r="BB64" s="717"/>
      <c r="BC64" s="717"/>
      <c r="BD64" s="717"/>
      <c r="BE64" s="717"/>
      <c r="BF64" s="717"/>
      <c r="BG64" s="717"/>
      <c r="BH64" s="717"/>
      <c r="BI64" s="717"/>
      <c r="BJ64" s="717"/>
      <c r="BK64" s="717"/>
      <c r="BL64" s="717"/>
      <c r="BM64" s="717"/>
      <c r="BN64" s="717"/>
      <c r="BO64" s="717"/>
      <c r="BP64" s="717"/>
      <c r="BQ64" s="717"/>
      <c r="BR64" s="717"/>
      <c r="BS64" s="717"/>
      <c r="BT64" s="717"/>
      <c r="BU64" s="717"/>
      <c r="BV64" s="717"/>
      <c r="BW64" s="717"/>
      <c r="BX64" s="717"/>
      <c r="BY64" s="717"/>
      <c r="BZ64" s="717"/>
      <c r="CA64" s="717"/>
      <c r="CB64" s="717"/>
      <c r="CC64" s="717"/>
      <c r="CD64" s="717"/>
      <c r="CE64" s="717"/>
      <c r="CF64" s="717"/>
      <c r="CG64" s="717"/>
      <c r="CH64" s="717"/>
      <c r="CI64" s="717"/>
      <c r="CJ64" s="717"/>
      <c r="CK64" s="717"/>
      <c r="CL64" s="717"/>
      <c r="CM64" s="717"/>
      <c r="CN64" s="717"/>
      <c r="CO64" s="717"/>
      <c r="CP64" s="717"/>
      <c r="CQ64" s="717"/>
      <c r="CR64" s="717"/>
      <c r="CS64" s="717"/>
      <c r="CT64" s="717"/>
      <c r="CU64" s="717"/>
      <c r="CV64" s="717"/>
      <c r="CW64" s="717"/>
      <c r="CX64" s="717"/>
      <c r="CY64" s="717"/>
      <c r="CZ64" s="717"/>
      <c r="DA64" s="717"/>
      <c r="DB64" s="717"/>
      <c r="DC64" s="717"/>
      <c r="DD64" s="717"/>
      <c r="DE64" s="717"/>
      <c r="DF64" s="717"/>
      <c r="DG64" s="717"/>
      <c r="DH64" s="717"/>
      <c r="DI64" s="717"/>
      <c r="DJ64" s="717"/>
      <c r="DK64" s="717"/>
      <c r="DL64" s="717"/>
      <c r="DM64" s="717"/>
      <c r="DN64" s="717"/>
      <c r="DO64" s="717"/>
      <c r="DP64" s="717"/>
      <c r="DQ64" s="717"/>
      <c r="DR64" s="717"/>
      <c r="DS64" s="717"/>
      <c r="DT64" s="717"/>
      <c r="DU64" s="717"/>
      <c r="DV64" s="717"/>
      <c r="DW64" s="717"/>
      <c r="DX64" s="717"/>
      <c r="DY64" s="717"/>
      <c r="DZ64" s="717"/>
      <c r="EA64" s="717"/>
      <c r="EB64" s="717"/>
      <c r="EC64" s="717"/>
      <c r="ED64" s="717"/>
      <c r="EE64" s="717"/>
      <c r="EF64" s="717"/>
      <c r="EG64" s="717"/>
      <c r="EH64" s="717"/>
      <c r="EI64" s="717"/>
      <c r="EJ64" s="717"/>
      <c r="EK64" s="717"/>
      <c r="EL64" s="717"/>
      <c r="EM64" s="717"/>
      <c r="EN64" s="717"/>
      <c r="EO64" s="717"/>
      <c r="EP64" s="717"/>
      <c r="EQ64" s="717"/>
      <c r="ER64" s="717"/>
      <c r="ES64" s="717"/>
      <c r="ET64" s="717"/>
      <c r="EU64" s="717"/>
      <c r="EV64" s="717"/>
      <c r="EW64" s="717"/>
      <c r="EX64" s="717"/>
      <c r="EY64" s="717"/>
      <c r="EZ64" s="717"/>
      <c r="FA64" s="717"/>
      <c r="FB64" s="717"/>
      <c r="FC64" s="717"/>
      <c r="FD64" s="717"/>
      <c r="FE64" s="717"/>
      <c r="FF64" s="717"/>
      <c r="FG64" s="717"/>
      <c r="FH64" s="717"/>
      <c r="FI64" s="717"/>
      <c r="FJ64" s="717"/>
      <c r="FK64" s="717"/>
      <c r="FL64" s="717"/>
      <c r="FM64" s="717"/>
      <c r="FN64" s="717"/>
      <c r="FO64" s="717"/>
      <c r="FP64" s="717"/>
      <c r="FQ64" s="717"/>
      <c r="FR64" s="717"/>
      <c r="FS64" s="717"/>
      <c r="FT64" s="717"/>
      <c r="FU64" s="717"/>
      <c r="FV64" s="717"/>
      <c r="FW64" s="718"/>
      <c r="FZ64" s="689"/>
    </row>
    <row r="65" spans="1:186" ht="14.65" hidden="1" customHeight="1">
      <c r="A65" s="59"/>
      <c r="B65" s="611" t="b" cm="1">
        <f t="array" ref="B65">B64</f>
        <v>0</v>
      </c>
      <c r="C65" s="59"/>
      <c r="D65" s="59"/>
      <c r="E65" s="460">
        <v>15</v>
      </c>
      <c r="F65" s="3" cm="1">
        <f t="array" aca="1" ref="F65" ca="1">OFFSET(E65,-1,1)</f>
        <v>0</v>
      </c>
      <c r="G65" s="59"/>
      <c r="H65" s="59" t="s">
        <v>1604</v>
      </c>
      <c r="I65" s="59" t="s">
        <v>1664</v>
      </c>
      <c r="J65" s="59"/>
      <c r="K65" s="59"/>
      <c r="L65" s="59"/>
      <c r="M65" s="59"/>
      <c r="N65" s="59"/>
      <c r="O65" s="59"/>
      <c r="P65" s="59"/>
      <c r="Q65" s="59"/>
      <c r="R65" s="59"/>
      <c r="S65" s="59"/>
      <c r="T65" s="351" t="b" cm="1">
        <f t="array" aca="1" ref="T65" ca="1">T64</f>
        <v>0</v>
      </c>
      <c r="U65" s="59"/>
      <c r="V65" s="59"/>
      <c r="W65" s="59"/>
      <c r="X65" s="1046"/>
      <c r="Y65" s="59"/>
      <c r="Z65" s="1007"/>
      <c r="AA65" s="59"/>
      <c r="AB65" s="105" t="s">
        <v>1680</v>
      </c>
      <c r="AC65" s="12" t="s">
        <v>1647</v>
      </c>
      <c r="AD65" s="817">
        <f ca="1">IF(AD67=0,0,(AD66*AD67+AD68*AD69*IF(god=2026,3,6))/AD67)</f>
        <v>0</v>
      </c>
      <c r="AE65" s="817">
        <f ca="1">IF(AE67=0,0,(AE66*AE67+AE68*AE69*IF(god=2026,3,6))/AE67)</f>
        <v>0</v>
      </c>
      <c r="AF65" s="712">
        <f ca="1">IF(AD65=0,0,(AE65-AD65)/AD65*100)</f>
        <v>0</v>
      </c>
      <c r="AG65" s="57">
        <f ca="1">IF(AG67=0,0,(AG66*AG67+AG68*AG69*IF(god=2025,3,6))/AG67)</f>
        <v>0</v>
      </c>
      <c r="AH65" s="57">
        <f ca="1">IF(AH67=0,0,(AH66*AH67+AH68*AH69*IF(god=2025,3,6))/AH67)</f>
        <v>0</v>
      </c>
      <c r="AI65" s="712">
        <f ca="1">IF(AG65=0,0,(AH65-AG65)/AG65*100)</f>
        <v>0</v>
      </c>
      <c r="AJ65" s="57">
        <f ca="1">IF(AJ67=0,0,(AJ66*AJ67+AJ68*AJ69*6)/AJ67)</f>
        <v>0</v>
      </c>
      <c r="AK65" s="57">
        <f ca="1">IF(AK67=0,0,(AK66*AK67+AK68*AK69*6)/AK67)</f>
        <v>0</v>
      </c>
      <c r="AL65" s="712">
        <f ca="1">IF(AJ65=0,0,(AK65-AJ65)/AJ65*100)</f>
        <v>0</v>
      </c>
      <c r="AM65" s="817">
        <f ca="1">IF(AM67=0,0,(AM66*AM67+AM68*AM69*6)/AM67)</f>
        <v>0</v>
      </c>
      <c r="AN65" s="817">
        <f ca="1">IF(AN67=0,0,(AN66*AN67+AN68*AN69*6)/AN67)</f>
        <v>0</v>
      </c>
      <c r="AO65" s="712">
        <f ca="1">IF(AM65=0,0,(AN65-AM65)/AM65*100)</f>
        <v>0</v>
      </c>
      <c r="AP65" s="817">
        <f ca="1">IF(AP67=0,0,(AP66*AP67+AP68*AP69*6)/AP67)</f>
        <v>0</v>
      </c>
      <c r="AQ65" s="817">
        <f ca="1">IF(AQ67=0,0,(AQ66*AQ67+AQ68*AQ69*6)/AQ67)</f>
        <v>0</v>
      </c>
      <c r="AR65" s="712">
        <f ca="1">IF(AP65=0,0,(AQ65-AP65)/AP65*100)</f>
        <v>0</v>
      </c>
      <c r="AS65" s="817">
        <f ca="1">IF(AS67=0,0,(AS66*AS67+AS68*AS69*6)/AS67)</f>
        <v>0</v>
      </c>
      <c r="AT65" s="817">
        <f ca="1">IF(AT67=0,0,(AT66*AT67+AT68*AT69*6)/AT67)</f>
        <v>0</v>
      </c>
      <c r="AU65" s="712">
        <f ca="1">IF(AS65=0,0,(AT65-AS65)/AS65*100)</f>
        <v>0</v>
      </c>
      <c r="AV65" s="817">
        <f ca="1">IF(AV67=0,0,(AV66*AV67+AV68*AV69*6)/AV67)</f>
        <v>0</v>
      </c>
      <c r="AW65" s="817">
        <f ca="1">IF(AW67=0,0,(AW66*AW67+AW68*AW69*6)/AW67)</f>
        <v>0</v>
      </c>
      <c r="AX65" s="712">
        <f ca="1">IF(AV65=0,0,(AW65-AV65)/AV65*100)</f>
        <v>0</v>
      </c>
      <c r="AY65" s="817">
        <f ca="1">IF(AY67=0,0,(AY66*AY67+AY68*AY69*6)/AY67)</f>
        <v>0</v>
      </c>
      <c r="AZ65" s="817">
        <f ca="1">IF(AZ67=0,0,(AZ66*AZ67+AZ68*AZ69*6)/AZ67)</f>
        <v>0</v>
      </c>
      <c r="BA65" s="712">
        <f ca="1">IF(AY65=0,0,(AZ65-AY65)/AY65*100)</f>
        <v>0</v>
      </c>
      <c r="BB65" s="817">
        <f ca="1">IF(BB67=0,0,(BB66*BB67+BB68*BB69*6)/BB67)</f>
        <v>0</v>
      </c>
      <c r="BC65" s="817">
        <f ca="1">IF(BC67=0,0,(BC66*BC67+BC68*BC69*6)/BC67)</f>
        <v>0</v>
      </c>
      <c r="BD65" s="712">
        <f ca="1">IF(BB65=0,0,(BC65-BB65)/BB65*100)</f>
        <v>0</v>
      </c>
      <c r="BE65" s="817">
        <f ca="1">IF(BE67=0,0,(BE66*BE67+BE68*BE69*6)/BE67)</f>
        <v>0</v>
      </c>
      <c r="BF65" s="817">
        <f ca="1">IF(BF67=0,0,(BF66*BF67+BF68*BF69*6)/BF67)</f>
        <v>0</v>
      </c>
      <c r="BG65" s="712">
        <f ca="1">IF(BE65=0,0,(BF65-BE65)/BE65*100)</f>
        <v>0</v>
      </c>
      <c r="BH65" s="817">
        <f>IF(BH67=0,0,(BH66*BH67+BH68*BH69*6)/BH67)</f>
        <v>0</v>
      </c>
      <c r="BI65" s="817">
        <f>IF(BI67=0,0,(BI66*BI67+BI68*BI69*6)/BI67)</f>
        <v>0</v>
      </c>
      <c r="BJ65" s="712">
        <f>IF(BH65=0,0,(BI65-BH65)/BH65*100)</f>
        <v>0</v>
      </c>
      <c r="BK65" s="817">
        <f>IF(BK67=0,0,(BK66*BK67+BK68*BK69*6)/BK67)</f>
        <v>0</v>
      </c>
      <c r="BL65" s="817">
        <f>IF(BL67=0,0,(BL66*BL67+BL68*BL69*6)/BL67)</f>
        <v>0</v>
      </c>
      <c r="BM65" s="712">
        <f>IF(BK65=0,0,(BL65-BK65)/BK65*100)</f>
        <v>0</v>
      </c>
      <c r="BN65" s="817">
        <f>IF(BN67=0,0,(BN66*BN67+BN68*BN69*6)/BN67)</f>
        <v>0</v>
      </c>
      <c r="BO65" s="817">
        <f>IF(BO67=0,0,(BO66*BO67+BO68*BO69*6)/BO67)</f>
        <v>0</v>
      </c>
      <c r="BP65" s="712">
        <f>IF(BN65=0,0,(BO65-BN65)/BN65*100)</f>
        <v>0</v>
      </c>
      <c r="BQ65" s="817">
        <f>IF(BQ67=0,0,(BQ66*BQ67+BQ68*BQ69*6)/BQ67)</f>
        <v>0</v>
      </c>
      <c r="BR65" s="817">
        <f>IF(BR67=0,0,(BR66*BR67+BR68*BR69*6)/BR67)</f>
        <v>0</v>
      </c>
      <c r="BS65" s="712">
        <f>IF(BQ65=0,0,(BR65-BQ65)/BQ65*100)</f>
        <v>0</v>
      </c>
      <c r="BT65" s="817">
        <f>IF(BT67=0,0,(BT66*BT67+BT68*BT69*6)/BT67)</f>
        <v>0</v>
      </c>
      <c r="BU65" s="817">
        <f>IF(BU67=0,0,(BU66*BU67+BU68*BU69*6)/BU67)</f>
        <v>0</v>
      </c>
      <c r="BV65" s="712">
        <f>IF(BT65=0,0,(BU65-BT65)/BT65*100)</f>
        <v>0</v>
      </c>
      <c r="BW65" s="817">
        <f>IF(BW67=0,0,(BW66*BW67+BW68*BW69*6)/BW67)</f>
        <v>0</v>
      </c>
      <c r="BX65" s="817">
        <f>IF(BX67=0,0,(BX66*BX67+BX68*BX69*6)/BX67)</f>
        <v>0</v>
      </c>
      <c r="BY65" s="712">
        <f>IF(BW65=0,0,(BX65-BW65)/BW65*100)</f>
        <v>0</v>
      </c>
      <c r="BZ65" s="817">
        <f>IF(BZ67=0,0,(BZ66*BZ67+BZ68*BZ69*6)/BZ67)</f>
        <v>0</v>
      </c>
      <c r="CA65" s="817">
        <f>IF(CA67=0,0,(CA66*CA67+CA68*CA69*6)/CA67)</f>
        <v>0</v>
      </c>
      <c r="CB65" s="712">
        <f>IF(BZ65=0,0,(CA65-BZ65)/BZ65*100)</f>
        <v>0</v>
      </c>
      <c r="CC65" s="817">
        <f>IF(CC67=0,0,(CC66*CC67+CC68*CC69*6)/CC67)</f>
        <v>0</v>
      </c>
      <c r="CD65" s="817">
        <f>IF(CD67=0,0,(CD66*CD67+CD68*CD69*6)/CD67)</f>
        <v>0</v>
      </c>
      <c r="CE65" s="712">
        <f>IF(CC65=0,0,(CD65-CC65)/CC65*100)</f>
        <v>0</v>
      </c>
      <c r="CF65" s="817">
        <f>IF(CF67=0,0,(CF66*CF67+CF68*CF69*6)/CF67)</f>
        <v>0</v>
      </c>
      <c r="CG65" s="817">
        <f>IF(CG67=0,0,(CG66*CG67+CG68*CG69*6)/CG67)</f>
        <v>0</v>
      </c>
      <c r="CH65" s="712">
        <f>IF(CF65=0,0,(CG65-CF65)/CF65*100)</f>
        <v>0</v>
      </c>
      <c r="CI65" s="817">
        <f>IF(CI67=0,0,(CI66*CI67+CI68*CI69*6)/CI67)</f>
        <v>0</v>
      </c>
      <c r="CJ65" s="817">
        <f>IF(CJ67=0,0,(CJ66*CJ67+CJ68*CJ69*6)/CJ67)</f>
        <v>0</v>
      </c>
      <c r="CK65" s="712">
        <f>IF(CI65=0,0,(CJ65-CI65)/CI65*100)</f>
        <v>0</v>
      </c>
      <c r="CL65" s="817">
        <f>IF(CL67=0,0,(CL66*CL67+CL68*CL69*6)/CL67)</f>
        <v>0</v>
      </c>
      <c r="CM65" s="817">
        <f>IF(CM67=0,0,(CM66*CM67+CM68*CM69*6)/CM67)</f>
        <v>0</v>
      </c>
      <c r="CN65" s="712">
        <f>IF(CL65=0,0,(CM65-CL65)/CL65*100)</f>
        <v>0</v>
      </c>
      <c r="CO65" s="817">
        <f>IF(CO67=0,0,(CO66*CO67+CO68*CO69*6)/CO67)</f>
        <v>0</v>
      </c>
      <c r="CP65" s="817">
        <f>IF(CP67=0,0,(CP66*CP67+CP68*CP69*6)/CP67)</f>
        <v>0</v>
      </c>
      <c r="CQ65" s="712">
        <f>IF(CO65=0,0,(CP65-CO65)/CO65*100)</f>
        <v>0</v>
      </c>
      <c r="CR65" s="817">
        <f>IF(CR67=0,0,(CR66*CR67+CR68*CR69*6)/CR67)</f>
        <v>0</v>
      </c>
      <c r="CS65" s="817">
        <f>IF(CS67=0,0,(CS66*CS67+CS68*CS69*6)/CS67)</f>
        <v>0</v>
      </c>
      <c r="CT65" s="712">
        <f>IF(CR65=0,0,(CS65-CR65)/CR65*100)</f>
        <v>0</v>
      </c>
      <c r="CU65" s="817">
        <f>IF(CU67=0,0,(CU66*CU67+CU68*CU69*6)/CU67)</f>
        <v>0</v>
      </c>
      <c r="CV65" s="817">
        <f>IF(CV67=0,0,(CV66*CV67+CV68*CV69*6)/CV67)</f>
        <v>0</v>
      </c>
      <c r="CW65" s="712">
        <f>IF(CU65=0,0,(CV65-CU65)/CU65*100)</f>
        <v>0</v>
      </c>
      <c r="CX65" s="817">
        <f>IF(CX67=0,0,(CX66*CX67+CX68*CX69*6)/CX67)</f>
        <v>0</v>
      </c>
      <c r="CY65" s="817">
        <f>IF(CY67=0,0,(CY66*CY67+CY68*CY69*6)/CY67)</f>
        <v>0</v>
      </c>
      <c r="CZ65" s="712">
        <f>IF(CX65=0,0,(CY65-CX65)/CX65*100)</f>
        <v>0</v>
      </c>
      <c r="DA65" s="817">
        <f>IF(DA67=0,0,(DA66*DA67+DA68*DA69*6)/DA67)</f>
        <v>0</v>
      </c>
      <c r="DB65" s="817">
        <f>IF(DB67=0,0,(DB66*DB67+DB68*DB69*6)/DB67)</f>
        <v>0</v>
      </c>
      <c r="DC65" s="712">
        <f>IF(DA65=0,0,(DB65-DA65)/DA65*100)</f>
        <v>0</v>
      </c>
      <c r="DD65" s="817">
        <f>IF(DD67=0,0,(DD66*DD67+DD68*DD69*6)/DD67)</f>
        <v>0</v>
      </c>
      <c r="DE65" s="817">
        <f>IF(DE67=0,0,(DE66*DE67+DE68*DE69*6)/DE67)</f>
        <v>0</v>
      </c>
      <c r="DF65" s="712">
        <f>IF(DD65=0,0,(DE65-DD65)/DD65*100)</f>
        <v>0</v>
      </c>
      <c r="DG65" s="817">
        <f>IF(DG67=0,0,(DG66*DG67+DG68*DG69*6)/DG67)</f>
        <v>0</v>
      </c>
      <c r="DH65" s="817">
        <f>IF(DH67=0,0,(DH66*DH67+DH68*DH69*6)/DH67)</f>
        <v>0</v>
      </c>
      <c r="DI65" s="712">
        <f>IF(DG65=0,0,(DH65-DG65)/DG65*100)</f>
        <v>0</v>
      </c>
      <c r="DJ65" s="817">
        <f>IF(DJ67=0,0,(DJ66*DJ67+DJ68*DJ69*6)/DJ67)</f>
        <v>0</v>
      </c>
      <c r="DK65" s="817">
        <f>IF(DK67=0,0,(DK66*DK67+DK68*DK69*6)/DK67)</f>
        <v>0</v>
      </c>
      <c r="DL65" s="712">
        <f>IF(DJ65=0,0,(DK65-DJ65)/DJ65*100)</f>
        <v>0</v>
      </c>
      <c r="DM65" s="817">
        <f>IF(DM67=0,0,(DM66*DM67+DM68*DM69*6)/DM67)</f>
        <v>0</v>
      </c>
      <c r="DN65" s="817">
        <f>IF(DN67=0,0,(DN66*DN67+DN68*DN69*6)/DN67)</f>
        <v>0</v>
      </c>
      <c r="DO65" s="712">
        <f>IF(DM65=0,0,(DN65-DM65)/DM65*100)</f>
        <v>0</v>
      </c>
      <c r="DP65" s="817">
        <f>IF(DP67=0,0,(DP66*DP67+DP68*DP69*6)/DP67)</f>
        <v>0</v>
      </c>
      <c r="DQ65" s="817">
        <f>IF(DQ67=0,0,(DQ66*DQ67+DQ68*DQ69*6)/DQ67)</f>
        <v>0</v>
      </c>
      <c r="DR65" s="712">
        <f>IF(DP65=0,0,(DQ65-DP65)/DP65*100)</f>
        <v>0</v>
      </c>
      <c r="DS65" s="817">
        <f>IF(DS67=0,0,(DS66*DS67+DS68*DS69*6)/DS67)</f>
        <v>0</v>
      </c>
      <c r="DT65" s="817">
        <f>IF(DT67=0,0,(DT66*DT67+DT68*DT69*6)/DT67)</f>
        <v>0</v>
      </c>
      <c r="DU65" s="712">
        <f>IF(DS65=0,0,(DT65-DS65)/DS65*100)</f>
        <v>0</v>
      </c>
      <c r="DV65" s="817">
        <f>IF(DV67=0,0,(DV66*DV67+DV68*DV69*6)/DV67)</f>
        <v>0</v>
      </c>
      <c r="DW65" s="817">
        <f>IF(DW67=0,0,(DW66*DW67+DW68*DW69*6)/DW67)</f>
        <v>0</v>
      </c>
      <c r="DX65" s="712">
        <f>IF(DV65=0,0,(DW65-DV65)/DV65*100)</f>
        <v>0</v>
      </c>
      <c r="DY65" s="817">
        <f>IF(DY67=0,0,(DY66*DY67+DY68*DY69*6)/DY67)</f>
        <v>0</v>
      </c>
      <c r="DZ65" s="817">
        <f>IF(DZ67=0,0,(DZ66*DZ67+DZ68*DZ69*6)/DZ67)</f>
        <v>0</v>
      </c>
      <c r="EA65" s="712">
        <f>IF(DY65=0,0,(DZ65-DY65)/DY65*100)</f>
        <v>0</v>
      </c>
      <c r="EB65" s="817">
        <f>IF(EB67=0,0,(EB66*EB67+EB68*EB69*6)/EB67)</f>
        <v>0</v>
      </c>
      <c r="EC65" s="817">
        <f>IF(EC67=0,0,(EC66*EC67+EC68*EC69*6)/EC67)</f>
        <v>0</v>
      </c>
      <c r="ED65" s="712">
        <f>IF(EB65=0,0,(EC65-EB65)/EB65*100)</f>
        <v>0</v>
      </c>
      <c r="EE65" s="817">
        <f>IF(EE67=0,0,(EE66*EE67+EE68*EE69*6)/EE67)</f>
        <v>0</v>
      </c>
      <c r="EF65" s="817">
        <f>IF(EF67=0,0,(EF66*EF67+EF68*EF69*6)/EF67)</f>
        <v>0</v>
      </c>
      <c r="EG65" s="712">
        <f>IF(EE65=0,0,(EF65-EE65)/EE65*100)</f>
        <v>0</v>
      </c>
      <c r="EH65" s="817">
        <f>IF(EH67=0,0,(EH66*EH67+EH68*EH69*6)/EH67)</f>
        <v>0</v>
      </c>
      <c r="EI65" s="817">
        <f>IF(EI67=0,0,(EI66*EI67+EI68*EI69*6)/EI67)</f>
        <v>0</v>
      </c>
      <c r="EJ65" s="712">
        <f>IF(EH65=0,0,(EI65-EH65)/EH65*100)</f>
        <v>0</v>
      </c>
      <c r="EK65" s="817">
        <f>IF(EK67=0,0,(EK66*EK67+EK68*EK69*6)/EK67)</f>
        <v>0</v>
      </c>
      <c r="EL65" s="817">
        <f>IF(EL67=0,0,(EL66*EL67+EL68*EL69*6)/EL67)</f>
        <v>0</v>
      </c>
      <c r="EM65" s="712">
        <f>IF(EK65=0,0,(EL65-EK65)/EK65*100)</f>
        <v>0</v>
      </c>
      <c r="EN65" s="817">
        <f>IF(EN67=0,0,(EN66*EN67+EN68*EN69*6)/EN67)</f>
        <v>0</v>
      </c>
      <c r="EO65" s="817">
        <f>IF(EO67=0,0,(EO66*EO67+EO68*EO69*6)/EO67)</f>
        <v>0</v>
      </c>
      <c r="EP65" s="712">
        <f>IF(EN65=0,0,(EO65-EN65)/EN65*100)</f>
        <v>0</v>
      </c>
      <c r="EQ65" s="817">
        <f>IF(EQ67=0,0,(EQ66*EQ67+EQ68*EQ69*6)/EQ67)</f>
        <v>0</v>
      </c>
      <c r="ER65" s="817">
        <f>IF(ER67=0,0,(ER66*ER67+ER68*ER69*6)/ER67)</f>
        <v>0</v>
      </c>
      <c r="ES65" s="712">
        <f>IF(EQ65=0,0,(ER65-EQ65)/EQ65*100)</f>
        <v>0</v>
      </c>
      <c r="ET65" s="817">
        <f>IF(ET67=0,0,(ET66*ET67+ET68*ET69*6)/ET67)</f>
        <v>0</v>
      </c>
      <c r="EU65" s="817">
        <f>IF(EU67=0,0,(EU66*EU67+EU68*EU69*6)/EU67)</f>
        <v>0</v>
      </c>
      <c r="EV65" s="712">
        <f>IF(ET65=0,0,(EU65-ET65)/ET65*100)</f>
        <v>0</v>
      </c>
      <c r="EW65" s="817">
        <f>IF(EW67=0,0,(EW66*EW67+EW68*EW69*6)/EW67)</f>
        <v>0</v>
      </c>
      <c r="EX65" s="817">
        <f>IF(EX67=0,0,(EX66*EX67+EX68*EX69*6)/EX67)</f>
        <v>0</v>
      </c>
      <c r="EY65" s="712">
        <f>IF(EW65=0,0,(EX65-EW65)/EW65*100)</f>
        <v>0</v>
      </c>
      <c r="EZ65" s="817">
        <f>IF(EZ67=0,0,(EZ66*EZ67+EZ68*EZ69*6)/EZ67)</f>
        <v>0</v>
      </c>
      <c r="FA65" s="817">
        <f>IF(FA67=0,0,(FA66*FA67+FA68*FA69*6)/FA67)</f>
        <v>0</v>
      </c>
      <c r="FB65" s="712">
        <f>IF(EZ65=0,0,(FA65-EZ65)/EZ65*100)</f>
        <v>0</v>
      </c>
      <c r="FC65" s="817">
        <f>IF(FC67=0,0,(FC66*FC67+FC68*FC69*6)/FC67)</f>
        <v>0</v>
      </c>
      <c r="FD65" s="817">
        <f>IF(FD67=0,0,(FD66*FD67+FD68*FD69*6)/FD67)</f>
        <v>0</v>
      </c>
      <c r="FE65" s="712">
        <f>IF(FC65=0,0,(FD65-FC65)/FC65*100)</f>
        <v>0</v>
      </c>
      <c r="FF65" s="817">
        <f>IF(FF67=0,0,(FF66*FF67+FF68*FF69*6)/FF67)</f>
        <v>0</v>
      </c>
      <c r="FG65" s="817">
        <f>IF(FG67=0,0,(FG66*FG67+FG68*FG69*6)/FG67)</f>
        <v>0</v>
      </c>
      <c r="FH65" s="712">
        <f>IF(FF65=0,0,(FG65-FF65)/FF65*100)</f>
        <v>0</v>
      </c>
      <c r="FI65" s="817">
        <f>IF(FI67=0,0,(FI66*FI67+FI68*FI69*6)/FI67)</f>
        <v>0</v>
      </c>
      <c r="FJ65" s="817">
        <f>IF(FJ67=0,0,(FJ66*FJ67+FJ68*FJ69*6)/FJ67)</f>
        <v>0</v>
      </c>
      <c r="FK65" s="712">
        <f>IF(FI65=0,0,(FJ65-FI65)/FI65*100)</f>
        <v>0</v>
      </c>
      <c r="FL65" s="817">
        <f>IF(FL67=0,0,(FL66*FL67+FL68*FL69*6)/FL67)</f>
        <v>0</v>
      </c>
      <c r="FM65" s="817">
        <f>IF(FM67=0,0,(FM66*FM67+FM68*FM69*6)/FM67)</f>
        <v>0</v>
      </c>
      <c r="FN65" s="712">
        <f>IF(FL65=0,0,(FM65-FL65)/FL65*100)</f>
        <v>0</v>
      </c>
      <c r="FO65" s="817">
        <f>IF(FO67=0,0,(FO66*FO67+FO68*FO69*6)/FO67)</f>
        <v>0</v>
      </c>
      <c r="FP65" s="817">
        <f>IF(FP67=0,0,(FP66*FP67+FP68*FP69*6)/FP67)</f>
        <v>0</v>
      </c>
      <c r="FQ65" s="712">
        <f>IF(FO65=0,0,(FP65-FO65)/FO65*100)</f>
        <v>0</v>
      </c>
      <c r="FR65" s="817">
        <f>IF(FR67=0,0,(FR66*FR67+FR68*FR69*6)/FR67)</f>
        <v>0</v>
      </c>
      <c r="FS65" s="817">
        <f>IF(FS67=0,0,(FS66*FS67+FS68*FS69*6)/FS67)</f>
        <v>0</v>
      </c>
      <c r="FT65" s="712">
        <f>IF(FR65=0,0,(FS65-FR65)/FR65*100)</f>
        <v>0</v>
      </c>
      <c r="FU65" s="817">
        <f>IF(FU67=0,0,(FU66*FU67+FU68*FU69*6)/FU67)</f>
        <v>0</v>
      </c>
      <c r="FV65" s="817">
        <f>IF(FV67=0,0,(FV66*FV67+FV68*FV69*6)/FV67)</f>
        <v>0</v>
      </c>
      <c r="FW65" s="712">
        <f>IF(FU65=0,0,(FV65-FU65)/FU65*100)</f>
        <v>0</v>
      </c>
      <c r="FZ65" s="689" t="s">
        <v>1708</v>
      </c>
    </row>
    <row r="66" spans="1:186" ht="14.65" hidden="1" customHeight="1">
      <c r="A66" s="59"/>
      <c r="B66" s="611" t="b" cm="1">
        <f t="array" ref="B66">B65</f>
        <v>0</v>
      </c>
      <c r="C66" s="59"/>
      <c r="D66" s="59"/>
      <c r="E66" s="460">
        <v>15</v>
      </c>
      <c r="F66" s="3" cm="1">
        <f t="array" aca="1" ref="F66" ca="1">OFFSET(E66,-1,1)</f>
        <v>0</v>
      </c>
      <c r="G66" s="59"/>
      <c r="H66" s="59" t="s">
        <v>1608</v>
      </c>
      <c r="I66" s="59" t="s">
        <v>1664</v>
      </c>
      <c r="J66" s="59"/>
      <c r="K66" s="59"/>
      <c r="L66" s="59"/>
      <c r="M66" s="59"/>
      <c r="N66" s="59"/>
      <c r="O66" s="59"/>
      <c r="P66" s="59"/>
      <c r="Q66" s="59"/>
      <c r="R66" s="59"/>
      <c r="S66" s="59"/>
      <c r="T66" s="351" t="b" cm="1">
        <f t="array" aca="1" ref="T66" ca="1">T65</f>
        <v>0</v>
      </c>
      <c r="U66" s="59"/>
      <c r="V66" s="59"/>
      <c r="W66" s="59"/>
      <c r="X66" s="1046"/>
      <c r="Y66" s="59"/>
      <c r="Z66" s="1007"/>
      <c r="AA66" s="59"/>
      <c r="AB66" s="105"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1647</v>
      </c>
      <c r="AD66" s="817"/>
      <c r="AE66" s="817"/>
      <c r="AF66" s="712">
        <f>IF(AD66=0,0,(AE66-AD66)/AD66*100)</f>
        <v>0</v>
      </c>
      <c r="AG66" s="57"/>
      <c r="AH66" s="57"/>
      <c r="AI66" s="712">
        <f>IF(AG66=0,0,(AH66-AG66)/AG66*100)</f>
        <v>0</v>
      </c>
      <c r="AJ66" s="57"/>
      <c r="AK66" s="57"/>
      <c r="AL66" s="712">
        <f>IF(AJ66=0,0,(AK66-AJ66)/AJ66*100)</f>
        <v>0</v>
      </c>
      <c r="AM66" s="817"/>
      <c r="AN66" s="817"/>
      <c r="AO66" s="712">
        <f>IF(AM66=0,0,(AN66-AM66)/AM66*100)</f>
        <v>0</v>
      </c>
      <c r="AP66" s="817"/>
      <c r="AQ66" s="817"/>
      <c r="AR66" s="712">
        <f>IF(AP66=0,0,(AQ66-AP66)/AP66*100)</f>
        <v>0</v>
      </c>
      <c r="AS66" s="817"/>
      <c r="AT66" s="817"/>
      <c r="AU66" s="712">
        <f>IF(AS66=0,0,(AT66-AS66)/AS66*100)</f>
        <v>0</v>
      </c>
      <c r="AV66" s="817"/>
      <c r="AW66" s="817"/>
      <c r="AX66" s="712">
        <f>IF(AV66=0,0,(AW66-AV66)/AV66*100)</f>
        <v>0</v>
      </c>
      <c r="AY66" s="817"/>
      <c r="AZ66" s="817"/>
      <c r="BA66" s="712">
        <f>IF(AY66=0,0,(AZ66-AY66)/AY66*100)</f>
        <v>0</v>
      </c>
      <c r="BB66" s="817"/>
      <c r="BC66" s="817"/>
      <c r="BD66" s="712">
        <f>IF(BB66=0,0,(BC66-BB66)/BB66*100)</f>
        <v>0</v>
      </c>
      <c r="BE66" s="817"/>
      <c r="BF66" s="817"/>
      <c r="BG66" s="712">
        <f>IF(BE66=0,0,(BF66-BE66)/BE66*100)</f>
        <v>0</v>
      </c>
      <c r="BH66" s="817"/>
      <c r="BI66" s="817"/>
      <c r="BJ66" s="712">
        <f>IF(BH66=0,0,(BI66-BH66)/BH66*100)</f>
        <v>0</v>
      </c>
      <c r="BK66" s="817"/>
      <c r="BL66" s="817"/>
      <c r="BM66" s="712">
        <f>IF(BK66=0,0,(BL66-BK66)/BK66*100)</f>
        <v>0</v>
      </c>
      <c r="BN66" s="817"/>
      <c r="BO66" s="817"/>
      <c r="BP66" s="712">
        <f>IF(BN66=0,0,(BO66-BN66)/BN66*100)</f>
        <v>0</v>
      </c>
      <c r="BQ66" s="817"/>
      <c r="BR66" s="817"/>
      <c r="BS66" s="712">
        <f>IF(BQ66=0,0,(BR66-BQ66)/BQ66*100)</f>
        <v>0</v>
      </c>
      <c r="BT66" s="817"/>
      <c r="BU66" s="817"/>
      <c r="BV66" s="712">
        <f>IF(BT66=0,0,(BU66-BT66)/BT66*100)</f>
        <v>0</v>
      </c>
      <c r="BW66" s="817"/>
      <c r="BX66" s="817"/>
      <c r="BY66" s="712">
        <f>IF(BW66=0,0,(BX66-BW66)/BW66*100)</f>
        <v>0</v>
      </c>
      <c r="BZ66" s="817"/>
      <c r="CA66" s="817"/>
      <c r="CB66" s="712">
        <f>IF(BZ66=0,0,(CA66-BZ66)/BZ66*100)</f>
        <v>0</v>
      </c>
      <c r="CC66" s="817"/>
      <c r="CD66" s="817"/>
      <c r="CE66" s="712">
        <f>IF(CC66=0,0,(CD66-CC66)/CC66*100)</f>
        <v>0</v>
      </c>
      <c r="CF66" s="817"/>
      <c r="CG66" s="817"/>
      <c r="CH66" s="712">
        <f>IF(CF66=0,0,(CG66-CF66)/CF66*100)</f>
        <v>0</v>
      </c>
      <c r="CI66" s="817"/>
      <c r="CJ66" s="817"/>
      <c r="CK66" s="712">
        <f>IF(CI66=0,0,(CJ66-CI66)/CI66*100)</f>
        <v>0</v>
      </c>
      <c r="CL66" s="817"/>
      <c r="CM66" s="817"/>
      <c r="CN66" s="712">
        <f>IF(CL66=0,0,(CM66-CL66)/CL66*100)</f>
        <v>0</v>
      </c>
      <c r="CO66" s="817"/>
      <c r="CP66" s="817"/>
      <c r="CQ66" s="712">
        <f>IF(CO66=0,0,(CP66-CO66)/CO66*100)</f>
        <v>0</v>
      </c>
      <c r="CR66" s="817"/>
      <c r="CS66" s="817"/>
      <c r="CT66" s="712">
        <f>IF(CR66=0,0,(CS66-CR66)/CR66*100)</f>
        <v>0</v>
      </c>
      <c r="CU66" s="817"/>
      <c r="CV66" s="817"/>
      <c r="CW66" s="712">
        <f>IF(CU66=0,0,(CV66-CU66)/CU66*100)</f>
        <v>0</v>
      </c>
      <c r="CX66" s="817"/>
      <c r="CY66" s="817"/>
      <c r="CZ66" s="712">
        <f>IF(CX66=0,0,(CY66-CX66)/CX66*100)</f>
        <v>0</v>
      </c>
      <c r="DA66" s="817"/>
      <c r="DB66" s="817"/>
      <c r="DC66" s="712">
        <f>IF(DA66=0,0,(DB66-DA66)/DA66*100)</f>
        <v>0</v>
      </c>
      <c r="DD66" s="817"/>
      <c r="DE66" s="817"/>
      <c r="DF66" s="712">
        <f>IF(DD66=0,0,(DE66-DD66)/DD66*100)</f>
        <v>0</v>
      </c>
      <c r="DG66" s="817"/>
      <c r="DH66" s="817"/>
      <c r="DI66" s="712">
        <f>IF(DG66=0,0,(DH66-DG66)/DG66*100)</f>
        <v>0</v>
      </c>
      <c r="DJ66" s="817"/>
      <c r="DK66" s="817"/>
      <c r="DL66" s="712">
        <f>IF(DJ66=0,0,(DK66-DJ66)/DJ66*100)</f>
        <v>0</v>
      </c>
      <c r="DM66" s="817"/>
      <c r="DN66" s="817"/>
      <c r="DO66" s="712">
        <f>IF(DM66=0,0,(DN66-DM66)/DM66*100)</f>
        <v>0</v>
      </c>
      <c r="DP66" s="817"/>
      <c r="DQ66" s="817"/>
      <c r="DR66" s="712">
        <f>IF(DP66=0,0,(DQ66-DP66)/DP66*100)</f>
        <v>0</v>
      </c>
      <c r="DS66" s="817"/>
      <c r="DT66" s="817"/>
      <c r="DU66" s="712">
        <f>IF(DS66=0,0,(DT66-DS66)/DS66*100)</f>
        <v>0</v>
      </c>
      <c r="DV66" s="817"/>
      <c r="DW66" s="817"/>
      <c r="DX66" s="712">
        <f>IF(DV66=0,0,(DW66-DV66)/DV66*100)</f>
        <v>0</v>
      </c>
      <c r="DY66" s="817"/>
      <c r="DZ66" s="817"/>
      <c r="EA66" s="712">
        <f>IF(DY66=0,0,(DZ66-DY66)/DY66*100)</f>
        <v>0</v>
      </c>
      <c r="EB66" s="817"/>
      <c r="EC66" s="817"/>
      <c r="ED66" s="712">
        <f>IF(EB66=0,0,(EC66-EB66)/EB66*100)</f>
        <v>0</v>
      </c>
      <c r="EE66" s="817"/>
      <c r="EF66" s="817"/>
      <c r="EG66" s="712">
        <f>IF(EE66=0,0,(EF66-EE66)/EE66*100)</f>
        <v>0</v>
      </c>
      <c r="EH66" s="817"/>
      <c r="EI66" s="817"/>
      <c r="EJ66" s="712">
        <f>IF(EH66=0,0,(EI66-EH66)/EH66*100)</f>
        <v>0</v>
      </c>
      <c r="EK66" s="817"/>
      <c r="EL66" s="817"/>
      <c r="EM66" s="712">
        <f>IF(EK66=0,0,(EL66-EK66)/EK66*100)</f>
        <v>0</v>
      </c>
      <c r="EN66" s="817"/>
      <c r="EO66" s="817"/>
      <c r="EP66" s="712">
        <f>IF(EN66=0,0,(EO66-EN66)/EN66*100)</f>
        <v>0</v>
      </c>
      <c r="EQ66" s="817"/>
      <c r="ER66" s="817"/>
      <c r="ES66" s="712">
        <f>IF(EQ66=0,0,(ER66-EQ66)/EQ66*100)</f>
        <v>0</v>
      </c>
      <c r="ET66" s="817"/>
      <c r="EU66" s="817"/>
      <c r="EV66" s="712">
        <f>IF(ET66=0,0,(EU66-ET66)/ET66*100)</f>
        <v>0</v>
      </c>
      <c r="EW66" s="817"/>
      <c r="EX66" s="817"/>
      <c r="EY66" s="712">
        <f>IF(EW66=0,0,(EX66-EW66)/EW66*100)</f>
        <v>0</v>
      </c>
      <c r="EZ66" s="817"/>
      <c r="FA66" s="817"/>
      <c r="FB66" s="712">
        <f>IF(EZ66=0,0,(FA66-EZ66)/EZ66*100)</f>
        <v>0</v>
      </c>
      <c r="FC66" s="817"/>
      <c r="FD66" s="817"/>
      <c r="FE66" s="712">
        <f>IF(FC66=0,0,(FD66-FC66)/FC66*100)</f>
        <v>0</v>
      </c>
      <c r="FF66" s="817"/>
      <c r="FG66" s="817"/>
      <c r="FH66" s="712">
        <f>IF(FF66=0,0,(FG66-FF66)/FF66*100)</f>
        <v>0</v>
      </c>
      <c r="FI66" s="817"/>
      <c r="FJ66" s="817"/>
      <c r="FK66" s="712">
        <f>IF(FI66=0,0,(FJ66-FI66)/FI66*100)</f>
        <v>0</v>
      </c>
      <c r="FL66" s="817"/>
      <c r="FM66" s="817"/>
      <c r="FN66" s="712">
        <f>IF(FL66=0,0,(FM66-FL66)/FL66*100)</f>
        <v>0</v>
      </c>
      <c r="FO66" s="817"/>
      <c r="FP66" s="817"/>
      <c r="FQ66" s="712">
        <f>IF(FO66=0,0,(FP66-FO66)/FO66*100)</f>
        <v>0</v>
      </c>
      <c r="FR66" s="817"/>
      <c r="FS66" s="817"/>
      <c r="FT66" s="712">
        <f>IF(FR66=0,0,(FS66-FR66)/FR66*100)</f>
        <v>0</v>
      </c>
      <c r="FU66" s="817"/>
      <c r="FV66" s="817"/>
      <c r="FW66" s="712">
        <f>IF(FU66=0,0,(FV66-FU66)/FU66*100)</f>
        <v>0</v>
      </c>
      <c r="FZ66" s="689" t="s">
        <v>1709</v>
      </c>
    </row>
    <row r="67" spans="1:186" ht="14.65" hidden="1" customHeight="1">
      <c r="A67" s="59"/>
      <c r="B67" s="611" t="b" cm="1">
        <f t="array" ref="B67">B66</f>
        <v>0</v>
      </c>
      <c r="C67" s="59"/>
      <c r="D67" s="59"/>
      <c r="E67" s="460">
        <v>15</v>
      </c>
      <c r="F67" s="3" cm="1">
        <f t="array" aca="1" ref="F67" ca="1">OFFSET(E67,-1,1)</f>
        <v>0</v>
      </c>
      <c r="G67" s="25" t="s">
        <v>1710</v>
      </c>
      <c r="H67" s="59" t="s">
        <v>1684</v>
      </c>
      <c r="I67" s="59" t="s">
        <v>1664</v>
      </c>
      <c r="J67" s="59"/>
      <c r="K67" s="59"/>
      <c r="L67" s="59"/>
      <c r="M67" s="59"/>
      <c r="N67" s="59"/>
      <c r="O67" s="59"/>
      <c r="P67" s="59"/>
      <c r="Q67" s="59"/>
      <c r="R67" s="59"/>
      <c r="S67" s="59"/>
      <c r="T67" s="351" t="b" cm="1">
        <f t="array" aca="1" ref="T67" ca="1">T66</f>
        <v>0</v>
      </c>
      <c r="U67" s="59"/>
      <c r="V67" s="59"/>
      <c r="W67" s="59"/>
      <c r="X67" s="1046"/>
      <c r="Y67" s="59"/>
      <c r="Z67" s="1007"/>
      <c r="AA67" s="59"/>
      <c r="AB67" s="105" t="str">
        <f>"объём "&amp;IF(Q29="Водоснабжение","потребления холодной воды","водоотведения")</f>
        <v>объём водоотведения</v>
      </c>
      <c r="AC67" s="12" t="s">
        <v>585</v>
      </c>
      <c r="AD67" s="833">
        <f ca="1">IF(AND(method_reg="Метод индексации",god&lt;&gt;first_year),SUMIFS(INDEX('Калькуляция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(МИ)'!$AJ$25:$BC$315,,MATCH(AD$8,'Калькуляция (МИ)'!$AJ$8:$BC$8,0)),'Калькуляция (МИ)'!$F$25:$F$315,$F67,'Калькуляция (МИ)'!$G$25:$G$315,$G67))))</f>
        <v>0</v>
      </c>
      <c r="AE67" s="833">
        <f ca="1">IF(AND(method_reg="Метод индексации",god&lt;&gt;first_year),SUMIFS(INDEX('Калькуляция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(МИ)'!$AJ$25:$BC$315,,MATCH(AE$8,'Калькуляция (МИ)'!$AJ$8:$BC$8,0)),'Калькуляция (МИ)'!$F$25:$F$315,$F67,'Калькуляция (МИ)'!$G$25:$G$315,$G67))))</f>
        <v>0</v>
      </c>
      <c r="AF67" s="713">
        <f ca="1">IF(AD67=0,0,(AE67-AD67)/AD67*100)</f>
        <v>0</v>
      </c>
      <c r="AG67" s="190">
        <f ca="1">IF(AND(method_reg="Метод индексации",god&lt;&gt;first_year),SUMIFS(INDEX('Калькуляция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(МИ)'!$AJ$25:$BC$315,,MATCH(AG$8,'Калькуляция (МИ)'!$AJ$8:$BC$8,0)),'Калькуляция (МИ)'!$F$25:$F$315,$F67,'Калькуляция (МИ)'!$G$25:$G$315,$G67))))</f>
        <v>0</v>
      </c>
      <c r="AH67" s="190">
        <f ca="1">IF(AND(method_reg="Метод индексации",god&lt;&gt;first_year),SUMIFS(INDEX('Калькуляция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(МИ)'!$AJ$25:$BC$315,,MATCH(AH$8,'Калькуляция (МИ)'!$AJ$8:$BC$8,0)),'Калькуляция (МИ)'!$F$25:$F$315,$F67,'Калькуляция (МИ)'!$G$25:$G$315,$G67))))</f>
        <v>0</v>
      </c>
      <c r="AI67" s="713">
        <f ca="1">IF(AG67=0,0,(AH67-AG67)/AG67*100)</f>
        <v>0</v>
      </c>
      <c r="AJ67" s="190">
        <f ca="1">IF(AND(method_reg="Метод индексации",god&lt;&gt;first_year),SUMIFS(INDEX('Калькуляция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(МИ)'!$AJ$25:$BC$315,,MATCH(AJ$8,'Калькуляция (МИ)'!$AJ$8:$BC$8,0)),'Калькуляция (МИ)'!$F$25:$F$315,$F67,'Калькуляция (МИ)'!$G$25:$G$315,$G67))))</f>
        <v>0</v>
      </c>
      <c r="AK67" s="190">
        <f ca="1">IF(AND(method_reg="Метод индексации",god&lt;&gt;first_year),SUMIFS(INDEX('Калькуляция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(МИ)'!$AJ$25:$BC$315,,MATCH(AK$8,'Калькуляция (МИ)'!$AJ$8:$BC$8,0)),'Калькуляция (МИ)'!$F$25:$F$315,$F67,'Калькуляция (МИ)'!$G$25:$G$315,$G67))))</f>
        <v>0</v>
      </c>
      <c r="AL67" s="713">
        <f ca="1">IF(AJ67=0,0,(AK67-AJ67)/AJ67*100)</f>
        <v>0</v>
      </c>
      <c r="AM67" s="833">
        <f ca="1">IF(AND(method_reg="Метод индексации",god&lt;&gt;first_year),SUMIFS(INDEX('Калькуляция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(МИ)'!$AJ$25:$BC$315,,MATCH(AM$8,'Калькуляция (МИ)'!$AJ$8:$BC$8,0)),'Калькуляция (МИ)'!$F$25:$F$315,$F67,'Калькуляция (МИ)'!$G$25:$G$315,$G67))))</f>
        <v>0</v>
      </c>
      <c r="AN67" s="833">
        <f ca="1">IF(AND(method_reg="Метод индексации",god&lt;&gt;first_year),SUMIFS(INDEX('Калькуляция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(МИ)'!$AJ$25:$BC$315,,MATCH(AN$8,'Калькуляция (МИ)'!$AJ$8:$BC$8,0)),'Калькуляция (МИ)'!$F$25:$F$315,$F67,'Калькуляция (МИ)'!$G$25:$G$315,$G67))))</f>
        <v>0</v>
      </c>
      <c r="AO67" s="713">
        <f ca="1">IF(AM67=0,0,(AN67-AM67)/AM67*100)</f>
        <v>0</v>
      </c>
      <c r="AP67" s="833">
        <f ca="1">IF(AND(method_reg="Метод индексации",god&lt;&gt;first_year),SUMIFS(INDEX('Калькуляция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(МИ)'!$AJ$25:$BC$315,,MATCH(AP$8,'Калькуляция (МИ)'!$AJ$8:$BC$8,0)),'Калькуляция (МИ)'!$F$25:$F$315,$F67,'Калькуляция (МИ)'!$G$25:$G$315,$G67))))</f>
        <v>0</v>
      </c>
      <c r="AQ67" s="833">
        <f ca="1">IF(AND(method_reg="Метод индексации",god&lt;&gt;first_year),SUMIFS(INDEX('Калькуляция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(МИ)'!$AJ$25:$BC$315,,MATCH(AQ$8,'Калькуляция (МИ)'!$AJ$8:$BC$8,0)),'Калькуляция (МИ)'!$F$25:$F$315,$F67,'Калькуляция (МИ)'!$G$25:$G$315,$G67))))</f>
        <v>0</v>
      </c>
      <c r="AR67" s="713">
        <f ca="1">IF(AP67=0,0,(AQ67-AP67)/AP67*100)</f>
        <v>0</v>
      </c>
      <c r="AS67" s="833">
        <f ca="1">IF(AND(method_reg="Метод индексации",god&lt;&gt;first_year),SUMIFS(INDEX('Калькуляция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(МИ)'!$AJ$25:$BC$315,,MATCH(AS$8,'Калькуляция (МИ)'!$AJ$8:$BC$8,0)),'Калькуляция (МИ)'!$F$25:$F$315,$F67,'Калькуляция (МИ)'!$G$25:$G$315,$G67))))</f>
        <v>0</v>
      </c>
      <c r="AT67" s="833">
        <f ca="1">IF(AND(method_reg="Метод индексации",god&lt;&gt;first_year),SUMIFS(INDEX('Калькуляция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(МИ)'!$AJ$25:$BC$315,,MATCH(AT$8,'Калькуляция (МИ)'!$AJ$8:$BC$8,0)),'Калькуляция (МИ)'!$F$25:$F$315,$F67,'Калькуляция (МИ)'!$G$25:$G$315,$G67))))</f>
        <v>0</v>
      </c>
      <c r="AU67" s="713">
        <f ca="1">IF(AS67=0,0,(AT67-AS67)/AS67*100)</f>
        <v>0</v>
      </c>
      <c r="AV67" s="833">
        <f ca="1">IF(AND(method_reg="Метод индексации",god&lt;&gt;first_year),SUMIFS(INDEX('Калькуляция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(МИ)'!$AJ$25:$BC$315,,MATCH(AV$8,'Калькуляция (МИ)'!$AJ$8:$BC$8,0)),'Калькуляция (МИ)'!$F$25:$F$315,$F67,'Калькуляция (МИ)'!$G$25:$G$315,$G67))))</f>
        <v>0</v>
      </c>
      <c r="AW67" s="833">
        <f ca="1">IF(AND(method_reg="Метод индексации",god&lt;&gt;first_year),SUMIFS(INDEX('Калькуляция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(МИ)'!$AJ$25:$BC$315,,MATCH(AW$8,'Калькуляция (МИ)'!$AJ$8:$BC$8,0)),'Калькуляция (МИ)'!$F$25:$F$315,$F67,'Калькуляция (МИ)'!$G$25:$G$315,$G67))))</f>
        <v>0</v>
      </c>
      <c r="AX67" s="713">
        <f ca="1">IF(AV67=0,0,(AW67-AV67)/AV67*100)</f>
        <v>0</v>
      </c>
      <c r="AY67" s="833">
        <f ca="1">IF(AND(method_reg="Метод индексации",god&lt;&gt;first_year),SUMIFS(INDEX('Калькуляция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(МИ)'!$AJ$25:$BC$315,,MATCH(AY$8,'Калькуляция (МИ)'!$AJ$8:$BC$8,0)),'Калькуляция (МИ)'!$F$25:$F$315,$F67,'Калькуляция (МИ)'!$G$25:$G$315,$G67))))</f>
        <v>0</v>
      </c>
      <c r="AZ67" s="833">
        <f ca="1">IF(AND(method_reg="Метод индексации",god&lt;&gt;first_year),SUMIFS(INDEX('Калькуляция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(МИ)'!$AJ$25:$BC$315,,MATCH(AZ$8,'Калькуляция (МИ)'!$AJ$8:$BC$8,0)),'Калькуляция (МИ)'!$F$25:$F$315,$F67,'Калькуляция (МИ)'!$G$25:$G$315,$G67))))</f>
        <v>0</v>
      </c>
      <c r="BA67" s="713">
        <f ca="1">IF(AY67=0,0,(AZ67-AY67)/AY67*100)</f>
        <v>0</v>
      </c>
      <c r="BB67" s="833">
        <f ca="1">IF(AND(method_reg="Метод индексации",god&lt;&gt;first_year),SUMIFS(INDEX('Калькуляция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(МИ)'!$AJ$25:$BC$315,,MATCH(BB$8,'Калькуляция (МИ)'!$AJ$8:$BC$8,0)),'Калькуляция (МИ)'!$F$25:$F$315,$F67,'Калькуляция (МИ)'!$G$25:$G$315,$G67))))</f>
        <v>0</v>
      </c>
      <c r="BC67" s="833">
        <f ca="1">IF(AND(method_reg="Метод индексации",god&lt;&gt;first_year),SUMIFS(INDEX('Калькуляция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(МИ)'!$AJ$25:$BC$315,,MATCH(BC$8,'Калькуляция (МИ)'!$AJ$8:$BC$8,0)),'Калькуляция (МИ)'!$F$25:$F$315,$F67,'Калькуляция (МИ)'!$G$25:$G$315,$G67))))</f>
        <v>0</v>
      </c>
      <c r="BD67" s="713">
        <f ca="1">IF(BB67=0,0,(BC67-BB67)/BB67*100)</f>
        <v>0</v>
      </c>
      <c r="BE67" s="833">
        <f ca="1">IF(AND(method_reg="Метод индексации",god&lt;&gt;first_year),SUMIFS(INDEX('Калькуляция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(МИ)'!$AJ$25:$BC$315,,MATCH(BE$8,'Калькуляция (МИ)'!$AJ$8:$BC$8,0)),'Калькуляция (МИ)'!$F$25:$F$315,$F67,'Калькуляция (МИ)'!$G$25:$G$315,$G67))))</f>
        <v>0</v>
      </c>
      <c r="BF67" s="833">
        <f ca="1">IF(AND(method_reg="Метод индексации",god&lt;&gt;first_year),SUMIFS(INDEX('Калькуляция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(МИ)'!$AJ$25:$BC$315,,MATCH(BF$8,'Калькуляция (МИ)'!$AJ$8:$BC$8,0)),'Калькуляция (МИ)'!$F$25:$F$315,$F67,'Калькуляция (МИ)'!$G$25:$G$315,$G67))))</f>
        <v>0</v>
      </c>
      <c r="BG67" s="713">
        <f ca="1">IF(BE67=0,0,(BF67-BE67)/BE67*100)</f>
        <v>0</v>
      </c>
      <c r="BH67" s="833"/>
      <c r="BI67" s="833"/>
      <c r="BJ67" s="713">
        <f>IF(BH67=0,0,(BI67-BH67)/BH67*100)</f>
        <v>0</v>
      </c>
      <c r="BK67" s="833"/>
      <c r="BL67" s="833"/>
      <c r="BM67" s="713">
        <f>IF(BK67=0,0,(BL67-BK67)/BK67*100)</f>
        <v>0</v>
      </c>
      <c r="BN67" s="833"/>
      <c r="BO67" s="833"/>
      <c r="BP67" s="713">
        <f>IF(BN67=0,0,(BO67-BN67)/BN67*100)</f>
        <v>0</v>
      </c>
      <c r="BQ67" s="833"/>
      <c r="BR67" s="833"/>
      <c r="BS67" s="713">
        <f>IF(BQ67=0,0,(BR67-BQ67)/BQ67*100)</f>
        <v>0</v>
      </c>
      <c r="BT67" s="833"/>
      <c r="BU67" s="833"/>
      <c r="BV67" s="713">
        <f>IF(BT67=0,0,(BU67-BT67)/BT67*100)</f>
        <v>0</v>
      </c>
      <c r="BW67" s="833"/>
      <c r="BX67" s="833"/>
      <c r="BY67" s="713">
        <f>IF(BW67=0,0,(BX67-BW67)/BW67*100)</f>
        <v>0</v>
      </c>
      <c r="BZ67" s="833"/>
      <c r="CA67" s="833"/>
      <c r="CB67" s="713">
        <f>IF(BZ67=0,0,(CA67-BZ67)/BZ67*100)</f>
        <v>0</v>
      </c>
      <c r="CC67" s="833"/>
      <c r="CD67" s="833"/>
      <c r="CE67" s="713">
        <f>IF(CC67=0,0,(CD67-CC67)/CC67*100)</f>
        <v>0</v>
      </c>
      <c r="CF67" s="833"/>
      <c r="CG67" s="833"/>
      <c r="CH67" s="713">
        <f>IF(CF67=0,0,(CG67-CF67)/CF67*100)</f>
        <v>0</v>
      </c>
      <c r="CI67" s="833"/>
      <c r="CJ67" s="833"/>
      <c r="CK67" s="713">
        <f>IF(CI67=0,0,(CJ67-CI67)/CI67*100)</f>
        <v>0</v>
      </c>
      <c r="CL67" s="833"/>
      <c r="CM67" s="833"/>
      <c r="CN67" s="713">
        <f>IF(CL67=0,0,(CM67-CL67)/CL67*100)</f>
        <v>0</v>
      </c>
      <c r="CO67" s="833"/>
      <c r="CP67" s="833"/>
      <c r="CQ67" s="713">
        <f>IF(CO67=0,0,(CP67-CO67)/CO67*100)</f>
        <v>0</v>
      </c>
      <c r="CR67" s="833"/>
      <c r="CS67" s="833"/>
      <c r="CT67" s="713">
        <f>IF(CR67=0,0,(CS67-CR67)/CR67*100)</f>
        <v>0</v>
      </c>
      <c r="CU67" s="833"/>
      <c r="CV67" s="833"/>
      <c r="CW67" s="713">
        <f>IF(CU67=0,0,(CV67-CU67)/CU67*100)</f>
        <v>0</v>
      </c>
      <c r="CX67" s="833"/>
      <c r="CY67" s="833"/>
      <c r="CZ67" s="713">
        <f>IF(CX67=0,0,(CY67-CX67)/CX67*100)</f>
        <v>0</v>
      </c>
      <c r="DA67" s="833"/>
      <c r="DB67" s="833"/>
      <c r="DC67" s="713">
        <f>IF(DA67=0,0,(DB67-DA67)/DA67*100)</f>
        <v>0</v>
      </c>
      <c r="DD67" s="833"/>
      <c r="DE67" s="833"/>
      <c r="DF67" s="713">
        <f>IF(DD67=0,0,(DE67-DD67)/DD67*100)</f>
        <v>0</v>
      </c>
      <c r="DG67" s="833"/>
      <c r="DH67" s="833"/>
      <c r="DI67" s="713">
        <f>IF(DG67=0,0,(DH67-DG67)/DG67*100)</f>
        <v>0</v>
      </c>
      <c r="DJ67" s="833"/>
      <c r="DK67" s="833"/>
      <c r="DL67" s="713">
        <f>IF(DJ67=0,0,(DK67-DJ67)/DJ67*100)</f>
        <v>0</v>
      </c>
      <c r="DM67" s="833"/>
      <c r="DN67" s="833"/>
      <c r="DO67" s="713">
        <f>IF(DM67=0,0,(DN67-DM67)/DM67*100)</f>
        <v>0</v>
      </c>
      <c r="DP67" s="833"/>
      <c r="DQ67" s="833"/>
      <c r="DR67" s="713">
        <f>IF(DP67=0,0,(DQ67-DP67)/DP67*100)</f>
        <v>0</v>
      </c>
      <c r="DS67" s="833"/>
      <c r="DT67" s="833"/>
      <c r="DU67" s="713">
        <f>IF(DS67=0,0,(DT67-DS67)/DS67*100)</f>
        <v>0</v>
      </c>
      <c r="DV67" s="833"/>
      <c r="DW67" s="833"/>
      <c r="DX67" s="713">
        <f>IF(DV67=0,0,(DW67-DV67)/DV67*100)</f>
        <v>0</v>
      </c>
      <c r="DY67" s="833"/>
      <c r="DZ67" s="833"/>
      <c r="EA67" s="713">
        <f>IF(DY67=0,0,(DZ67-DY67)/DY67*100)</f>
        <v>0</v>
      </c>
      <c r="EB67" s="833"/>
      <c r="EC67" s="833"/>
      <c r="ED67" s="713">
        <f>IF(EB67=0,0,(EC67-EB67)/EB67*100)</f>
        <v>0</v>
      </c>
      <c r="EE67" s="833"/>
      <c r="EF67" s="833"/>
      <c r="EG67" s="713">
        <f>IF(EE67=0,0,(EF67-EE67)/EE67*100)</f>
        <v>0</v>
      </c>
      <c r="EH67" s="833"/>
      <c r="EI67" s="833"/>
      <c r="EJ67" s="713">
        <f>IF(EH67=0,0,(EI67-EH67)/EH67*100)</f>
        <v>0</v>
      </c>
      <c r="EK67" s="833"/>
      <c r="EL67" s="833"/>
      <c r="EM67" s="713">
        <f>IF(EK67=0,0,(EL67-EK67)/EK67*100)</f>
        <v>0</v>
      </c>
      <c r="EN67" s="833"/>
      <c r="EO67" s="833"/>
      <c r="EP67" s="713">
        <f>IF(EN67=0,0,(EO67-EN67)/EN67*100)</f>
        <v>0</v>
      </c>
      <c r="EQ67" s="833"/>
      <c r="ER67" s="833"/>
      <c r="ES67" s="713">
        <f>IF(EQ67=0,0,(ER67-EQ67)/EQ67*100)</f>
        <v>0</v>
      </c>
      <c r="ET67" s="833"/>
      <c r="EU67" s="833"/>
      <c r="EV67" s="713">
        <f>IF(ET67=0,0,(EU67-ET67)/ET67*100)</f>
        <v>0</v>
      </c>
      <c r="EW67" s="833"/>
      <c r="EX67" s="833"/>
      <c r="EY67" s="713">
        <f>IF(EW67=0,0,(EX67-EW67)/EW67*100)</f>
        <v>0</v>
      </c>
      <c r="EZ67" s="833"/>
      <c r="FA67" s="833"/>
      <c r="FB67" s="713">
        <f>IF(EZ67=0,0,(FA67-EZ67)/EZ67*100)</f>
        <v>0</v>
      </c>
      <c r="FC67" s="833"/>
      <c r="FD67" s="833"/>
      <c r="FE67" s="713">
        <f>IF(FC67=0,0,(FD67-FC67)/FC67*100)</f>
        <v>0</v>
      </c>
      <c r="FF67" s="833"/>
      <c r="FG67" s="833"/>
      <c r="FH67" s="713">
        <f>IF(FF67=0,0,(FG67-FF67)/FF67*100)</f>
        <v>0</v>
      </c>
      <c r="FI67" s="833"/>
      <c r="FJ67" s="833"/>
      <c r="FK67" s="713">
        <f>IF(FI67=0,0,(FJ67-FI67)/FI67*100)</f>
        <v>0</v>
      </c>
      <c r="FL67" s="833"/>
      <c r="FM67" s="833"/>
      <c r="FN67" s="713">
        <f>IF(FL67=0,0,(FM67-FL67)/FL67*100)</f>
        <v>0</v>
      </c>
      <c r="FO67" s="833"/>
      <c r="FP67" s="833"/>
      <c r="FQ67" s="713">
        <f>IF(FO67=0,0,(FP67-FO67)/FO67*100)</f>
        <v>0</v>
      </c>
      <c r="FR67" s="833"/>
      <c r="FS67" s="833"/>
      <c r="FT67" s="713">
        <f>IF(FR67=0,0,(FS67-FR67)/FR67*100)</f>
        <v>0</v>
      </c>
      <c r="FU67" s="833"/>
      <c r="FV67" s="833"/>
      <c r="FW67" s="713">
        <f>IF(FU67=0,0,(FV67-FU67)/FU67*100)</f>
        <v>0</v>
      </c>
      <c r="FZ67" s="689" t="s">
        <v>1711</v>
      </c>
    </row>
    <row r="68" spans="1:186" ht="21.95" hidden="1" customHeight="1">
      <c r="A68" s="59"/>
      <c r="B68" s="611" t="b" cm="1">
        <f t="array" ref="B68">B67</f>
        <v>0</v>
      </c>
      <c r="C68" s="59"/>
      <c r="D68" s="59"/>
      <c r="E68" s="460">
        <v>22.5</v>
      </c>
      <c r="F68" s="3" cm="1">
        <f t="array" aca="1" ref="F68" ca="1">OFFSET(E68,-1,1)</f>
        <v>0</v>
      </c>
      <c r="G68" s="59"/>
      <c r="H68" s="59" t="s">
        <v>1686</v>
      </c>
      <c r="I68" s="59" t="s">
        <v>1664</v>
      </c>
      <c r="J68" s="59"/>
      <c r="K68" s="59"/>
      <c r="L68" s="59"/>
      <c r="M68" s="59"/>
      <c r="N68" s="59"/>
      <c r="O68" s="59"/>
      <c r="P68" s="59"/>
      <c r="Q68" s="59"/>
      <c r="R68" s="59"/>
      <c r="S68" s="59"/>
      <c r="T68" s="351" t="b" cm="1">
        <f t="array" aca="1" ref="T68" ca="1">T67</f>
        <v>0</v>
      </c>
      <c r="U68" s="59"/>
      <c r="V68" s="59"/>
      <c r="W68" s="59"/>
      <c r="X68" s="1046"/>
      <c r="Y68" s="59"/>
      <c r="Z68" s="1007"/>
      <c r="AA68" s="59"/>
      <c r="AB68"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1687</v>
      </c>
      <c r="AD68" s="817"/>
      <c r="AE68" s="817"/>
      <c r="AF68" s="712">
        <f>IF(AD68=0,0,(AE68-AD68)/AD68*100)</f>
        <v>0</v>
      </c>
      <c r="AG68" s="57"/>
      <c r="AH68" s="57"/>
      <c r="AI68" s="712">
        <f>IF(AG68=0,0,(AH68-AG68)/AG68*100)</f>
        <v>0</v>
      </c>
      <c r="AJ68" s="57"/>
      <c r="AK68" s="57"/>
      <c r="AL68" s="712">
        <f>IF(AJ68=0,0,(AK68-AJ68)/AJ68*100)</f>
        <v>0</v>
      </c>
      <c r="AM68" s="817"/>
      <c r="AN68" s="817"/>
      <c r="AO68" s="712">
        <f>IF(AM68=0,0,(AN68-AM68)/AM68*100)</f>
        <v>0</v>
      </c>
      <c r="AP68" s="817"/>
      <c r="AQ68" s="817"/>
      <c r="AR68" s="712">
        <f>IF(AP68=0,0,(AQ68-AP68)/AP68*100)</f>
        <v>0</v>
      </c>
      <c r="AS68" s="817"/>
      <c r="AT68" s="817"/>
      <c r="AU68" s="712">
        <f>IF(AS68=0,0,(AT68-AS68)/AS68*100)</f>
        <v>0</v>
      </c>
      <c r="AV68" s="817"/>
      <c r="AW68" s="817"/>
      <c r="AX68" s="712">
        <f>IF(AV68=0,0,(AW68-AV68)/AV68*100)</f>
        <v>0</v>
      </c>
      <c r="AY68" s="817"/>
      <c r="AZ68" s="817"/>
      <c r="BA68" s="712">
        <f>IF(AY68=0,0,(AZ68-AY68)/AY68*100)</f>
        <v>0</v>
      </c>
      <c r="BB68" s="817"/>
      <c r="BC68" s="817"/>
      <c r="BD68" s="712">
        <f>IF(BB68=0,0,(BC68-BB68)/BB68*100)</f>
        <v>0</v>
      </c>
      <c r="BE68" s="817"/>
      <c r="BF68" s="817"/>
      <c r="BG68" s="712">
        <f>IF(BE68=0,0,(BF68-BE68)/BE68*100)</f>
        <v>0</v>
      </c>
      <c r="BH68" s="817"/>
      <c r="BI68" s="817"/>
      <c r="BJ68" s="712">
        <f>IF(BH68=0,0,(BI68-BH68)/BH68*100)</f>
        <v>0</v>
      </c>
      <c r="BK68" s="817"/>
      <c r="BL68" s="817"/>
      <c r="BM68" s="712">
        <f>IF(BK68=0,0,(BL68-BK68)/BK68*100)</f>
        <v>0</v>
      </c>
      <c r="BN68" s="817"/>
      <c r="BO68" s="817"/>
      <c r="BP68" s="712">
        <f>IF(BN68=0,0,(BO68-BN68)/BN68*100)</f>
        <v>0</v>
      </c>
      <c r="BQ68" s="817"/>
      <c r="BR68" s="817"/>
      <c r="BS68" s="712">
        <f>IF(BQ68=0,0,(BR68-BQ68)/BQ68*100)</f>
        <v>0</v>
      </c>
      <c r="BT68" s="817"/>
      <c r="BU68" s="817"/>
      <c r="BV68" s="712">
        <f>IF(BT68=0,0,(BU68-BT68)/BT68*100)</f>
        <v>0</v>
      </c>
      <c r="BW68" s="817"/>
      <c r="BX68" s="817"/>
      <c r="BY68" s="712">
        <f>IF(BW68=0,0,(BX68-BW68)/BW68*100)</f>
        <v>0</v>
      </c>
      <c r="BZ68" s="817"/>
      <c r="CA68" s="817"/>
      <c r="CB68" s="712">
        <f>IF(BZ68=0,0,(CA68-BZ68)/BZ68*100)</f>
        <v>0</v>
      </c>
      <c r="CC68" s="817"/>
      <c r="CD68" s="817"/>
      <c r="CE68" s="712">
        <f>IF(CC68=0,0,(CD68-CC68)/CC68*100)</f>
        <v>0</v>
      </c>
      <c r="CF68" s="817"/>
      <c r="CG68" s="817"/>
      <c r="CH68" s="712">
        <f>IF(CF68=0,0,(CG68-CF68)/CF68*100)</f>
        <v>0</v>
      </c>
      <c r="CI68" s="817"/>
      <c r="CJ68" s="817"/>
      <c r="CK68" s="712">
        <f>IF(CI68=0,0,(CJ68-CI68)/CI68*100)</f>
        <v>0</v>
      </c>
      <c r="CL68" s="817"/>
      <c r="CM68" s="817"/>
      <c r="CN68" s="712">
        <f>IF(CL68=0,0,(CM68-CL68)/CL68*100)</f>
        <v>0</v>
      </c>
      <c r="CO68" s="817"/>
      <c r="CP68" s="817"/>
      <c r="CQ68" s="712">
        <f>IF(CO68=0,0,(CP68-CO68)/CO68*100)</f>
        <v>0</v>
      </c>
      <c r="CR68" s="817"/>
      <c r="CS68" s="817"/>
      <c r="CT68" s="712">
        <f>IF(CR68=0,0,(CS68-CR68)/CR68*100)</f>
        <v>0</v>
      </c>
      <c r="CU68" s="817"/>
      <c r="CV68" s="817"/>
      <c r="CW68" s="712">
        <f>IF(CU68=0,0,(CV68-CU68)/CU68*100)</f>
        <v>0</v>
      </c>
      <c r="CX68" s="817"/>
      <c r="CY68" s="817"/>
      <c r="CZ68" s="712">
        <f>IF(CX68=0,0,(CY68-CX68)/CX68*100)</f>
        <v>0</v>
      </c>
      <c r="DA68" s="817"/>
      <c r="DB68" s="817"/>
      <c r="DC68" s="712">
        <f>IF(DA68=0,0,(DB68-DA68)/DA68*100)</f>
        <v>0</v>
      </c>
      <c r="DD68" s="817"/>
      <c r="DE68" s="817"/>
      <c r="DF68" s="712">
        <f>IF(DD68=0,0,(DE68-DD68)/DD68*100)</f>
        <v>0</v>
      </c>
      <c r="DG68" s="817"/>
      <c r="DH68" s="817"/>
      <c r="DI68" s="712">
        <f>IF(DG68=0,0,(DH68-DG68)/DG68*100)</f>
        <v>0</v>
      </c>
      <c r="DJ68" s="817"/>
      <c r="DK68" s="817"/>
      <c r="DL68" s="712">
        <f>IF(DJ68=0,0,(DK68-DJ68)/DJ68*100)</f>
        <v>0</v>
      </c>
      <c r="DM68" s="817"/>
      <c r="DN68" s="817"/>
      <c r="DO68" s="712">
        <f>IF(DM68=0,0,(DN68-DM68)/DM68*100)</f>
        <v>0</v>
      </c>
      <c r="DP68" s="817"/>
      <c r="DQ68" s="817"/>
      <c r="DR68" s="712">
        <f>IF(DP68=0,0,(DQ68-DP68)/DP68*100)</f>
        <v>0</v>
      </c>
      <c r="DS68" s="817"/>
      <c r="DT68" s="817"/>
      <c r="DU68" s="712">
        <f>IF(DS68=0,0,(DT68-DS68)/DS68*100)</f>
        <v>0</v>
      </c>
      <c r="DV68" s="817"/>
      <c r="DW68" s="817"/>
      <c r="DX68" s="712">
        <f>IF(DV68=0,0,(DW68-DV68)/DV68*100)</f>
        <v>0</v>
      </c>
      <c r="DY68" s="817"/>
      <c r="DZ68" s="817"/>
      <c r="EA68" s="712">
        <f>IF(DY68=0,0,(DZ68-DY68)/DY68*100)</f>
        <v>0</v>
      </c>
      <c r="EB68" s="817"/>
      <c r="EC68" s="817"/>
      <c r="ED68" s="712">
        <f>IF(EB68=0,0,(EC68-EB68)/EB68*100)</f>
        <v>0</v>
      </c>
      <c r="EE68" s="817"/>
      <c r="EF68" s="817"/>
      <c r="EG68" s="712">
        <f>IF(EE68=0,0,(EF68-EE68)/EE68*100)</f>
        <v>0</v>
      </c>
      <c r="EH68" s="817"/>
      <c r="EI68" s="817"/>
      <c r="EJ68" s="712">
        <f>IF(EH68=0,0,(EI68-EH68)/EH68*100)</f>
        <v>0</v>
      </c>
      <c r="EK68" s="817"/>
      <c r="EL68" s="817"/>
      <c r="EM68" s="712">
        <f>IF(EK68=0,0,(EL68-EK68)/EK68*100)</f>
        <v>0</v>
      </c>
      <c r="EN68" s="817"/>
      <c r="EO68" s="817"/>
      <c r="EP68" s="712">
        <f>IF(EN68=0,0,(EO68-EN68)/EN68*100)</f>
        <v>0</v>
      </c>
      <c r="EQ68" s="817"/>
      <c r="ER68" s="817"/>
      <c r="ES68" s="712">
        <f>IF(EQ68=0,0,(ER68-EQ68)/EQ68*100)</f>
        <v>0</v>
      </c>
      <c r="ET68" s="817"/>
      <c r="EU68" s="817"/>
      <c r="EV68" s="712">
        <f>IF(ET68=0,0,(EU68-ET68)/ET68*100)</f>
        <v>0</v>
      </c>
      <c r="EW68" s="817"/>
      <c r="EX68" s="817"/>
      <c r="EY68" s="712">
        <f>IF(EW68=0,0,(EX68-EW68)/EW68*100)</f>
        <v>0</v>
      </c>
      <c r="EZ68" s="817"/>
      <c r="FA68" s="817"/>
      <c r="FB68" s="712">
        <f>IF(EZ68=0,0,(FA68-EZ68)/EZ68*100)</f>
        <v>0</v>
      </c>
      <c r="FC68" s="817"/>
      <c r="FD68" s="817"/>
      <c r="FE68" s="712">
        <f>IF(FC68=0,0,(FD68-FC68)/FC68*100)</f>
        <v>0</v>
      </c>
      <c r="FF68" s="817"/>
      <c r="FG68" s="817"/>
      <c r="FH68" s="712">
        <f>IF(FF68=0,0,(FG68-FF68)/FF68*100)</f>
        <v>0</v>
      </c>
      <c r="FI68" s="817"/>
      <c r="FJ68" s="817"/>
      <c r="FK68" s="712">
        <f>IF(FI68=0,0,(FJ68-FI68)/FI68*100)</f>
        <v>0</v>
      </c>
      <c r="FL68" s="817"/>
      <c r="FM68" s="817"/>
      <c r="FN68" s="712">
        <f>IF(FL68=0,0,(FM68-FL68)/FL68*100)</f>
        <v>0</v>
      </c>
      <c r="FO68" s="817"/>
      <c r="FP68" s="817"/>
      <c r="FQ68" s="712">
        <f>IF(FO68=0,0,(FP68-FO68)/FO68*100)</f>
        <v>0</v>
      </c>
      <c r="FR68" s="817"/>
      <c r="FS68" s="817"/>
      <c r="FT68" s="712">
        <f>IF(FR68=0,0,(FS68-FR68)/FR68*100)</f>
        <v>0</v>
      </c>
      <c r="FU68" s="817"/>
      <c r="FV68" s="817"/>
      <c r="FW68" s="712">
        <f>IF(FU68=0,0,(FV68-FU68)/FU68*100)</f>
        <v>0</v>
      </c>
      <c r="FZ68" s="689" t="s">
        <v>1712</v>
      </c>
    </row>
    <row r="69" spans="1:186" ht="14.65" hidden="1" customHeight="1">
      <c r="A69" s="59"/>
      <c r="B69" s="611" t="b" cm="1">
        <f t="array" ref="B69">B68</f>
        <v>0</v>
      </c>
      <c r="C69" s="59"/>
      <c r="D69" s="59"/>
      <c r="E69" s="460">
        <v>15</v>
      </c>
      <c r="F69" s="3" cm="1">
        <f t="array" aca="1" ref="F69" ca="1">OFFSET(E69,-1,1)</f>
        <v>0</v>
      </c>
      <c r="G69" s="59"/>
      <c r="H69" s="59" t="s">
        <v>1689</v>
      </c>
      <c r="I69" s="59" t="s">
        <v>1664</v>
      </c>
      <c r="J69" s="59"/>
      <c r="K69" s="59"/>
      <c r="L69" s="59"/>
      <c r="M69" s="59"/>
      <c r="N69" s="59"/>
      <c r="O69" s="59"/>
      <c r="P69" s="59"/>
      <c r="Q69" s="59"/>
      <c r="R69" s="59"/>
      <c r="S69" s="59"/>
      <c r="T69" s="351" t="b" cm="1">
        <f t="array" aca="1" ref="T69" ca="1">T68</f>
        <v>0</v>
      </c>
      <c r="U69" s="59"/>
      <c r="V69" s="59"/>
      <c r="W69" s="59"/>
      <c r="X69" s="1046"/>
      <c r="Y69" s="59"/>
      <c r="Z69" s="1007"/>
      <c r="AA69" s="59"/>
      <c r="AB69" s="105" t="s">
        <v>1690</v>
      </c>
      <c r="AC69" s="12" t="s">
        <v>1691</v>
      </c>
      <c r="AD69" s="817"/>
      <c r="AE69" s="817"/>
      <c r="AF69" s="712">
        <f>IF(AD69=0,0,(AE69-AD69)/AD69*100)</f>
        <v>0</v>
      </c>
      <c r="AG69" s="57"/>
      <c r="AH69" s="57"/>
      <c r="AI69" s="712">
        <f>IF(AG69=0,0,(AH69-AG69)/AG69*100)</f>
        <v>0</v>
      </c>
      <c r="AJ69" s="57"/>
      <c r="AK69" s="57"/>
      <c r="AL69" s="712">
        <f>IF(AJ69=0,0,(AK69-AJ69)/AJ69*100)</f>
        <v>0</v>
      </c>
      <c r="AM69" s="817"/>
      <c r="AN69" s="817"/>
      <c r="AO69" s="712">
        <f>IF(AM69=0,0,(AN69-AM69)/AM69*100)</f>
        <v>0</v>
      </c>
      <c r="AP69" s="817"/>
      <c r="AQ69" s="817"/>
      <c r="AR69" s="712">
        <f>IF(AP69=0,0,(AQ69-AP69)/AP69*100)</f>
        <v>0</v>
      </c>
      <c r="AS69" s="817"/>
      <c r="AT69" s="817"/>
      <c r="AU69" s="712">
        <f>IF(AS69=0,0,(AT69-AS69)/AS69*100)</f>
        <v>0</v>
      </c>
      <c r="AV69" s="817"/>
      <c r="AW69" s="817"/>
      <c r="AX69" s="712">
        <f>IF(AV69=0,0,(AW69-AV69)/AV69*100)</f>
        <v>0</v>
      </c>
      <c r="AY69" s="817"/>
      <c r="AZ69" s="817"/>
      <c r="BA69" s="712">
        <f>IF(AY69=0,0,(AZ69-AY69)/AY69*100)</f>
        <v>0</v>
      </c>
      <c r="BB69" s="817"/>
      <c r="BC69" s="817"/>
      <c r="BD69" s="712">
        <f>IF(BB69=0,0,(BC69-BB69)/BB69*100)</f>
        <v>0</v>
      </c>
      <c r="BE69" s="817"/>
      <c r="BF69" s="817"/>
      <c r="BG69" s="712">
        <f>IF(BE69=0,0,(BF69-BE69)/BE69*100)</f>
        <v>0</v>
      </c>
      <c r="BH69" s="817"/>
      <c r="BI69" s="817"/>
      <c r="BJ69" s="712">
        <f>IF(BH69=0,0,(BI69-BH69)/BH69*100)</f>
        <v>0</v>
      </c>
      <c r="BK69" s="817"/>
      <c r="BL69" s="817"/>
      <c r="BM69" s="712">
        <f>IF(BK69=0,0,(BL69-BK69)/BK69*100)</f>
        <v>0</v>
      </c>
      <c r="BN69" s="817"/>
      <c r="BO69" s="817"/>
      <c r="BP69" s="712">
        <f>IF(BN69=0,0,(BO69-BN69)/BN69*100)</f>
        <v>0</v>
      </c>
      <c r="BQ69" s="817"/>
      <c r="BR69" s="817"/>
      <c r="BS69" s="712">
        <f>IF(BQ69=0,0,(BR69-BQ69)/BQ69*100)</f>
        <v>0</v>
      </c>
      <c r="BT69" s="817"/>
      <c r="BU69" s="817"/>
      <c r="BV69" s="712">
        <f>IF(BT69=0,0,(BU69-BT69)/BT69*100)</f>
        <v>0</v>
      </c>
      <c r="BW69" s="817"/>
      <c r="BX69" s="817"/>
      <c r="BY69" s="712">
        <f>IF(BW69=0,0,(BX69-BW69)/BW69*100)</f>
        <v>0</v>
      </c>
      <c r="BZ69" s="817"/>
      <c r="CA69" s="817"/>
      <c r="CB69" s="712">
        <f>IF(BZ69=0,0,(CA69-BZ69)/BZ69*100)</f>
        <v>0</v>
      </c>
      <c r="CC69" s="817"/>
      <c r="CD69" s="817"/>
      <c r="CE69" s="712">
        <f>IF(CC69=0,0,(CD69-CC69)/CC69*100)</f>
        <v>0</v>
      </c>
      <c r="CF69" s="817"/>
      <c r="CG69" s="817"/>
      <c r="CH69" s="712">
        <f>IF(CF69=0,0,(CG69-CF69)/CF69*100)</f>
        <v>0</v>
      </c>
      <c r="CI69" s="817"/>
      <c r="CJ69" s="817"/>
      <c r="CK69" s="712">
        <f>IF(CI69=0,0,(CJ69-CI69)/CI69*100)</f>
        <v>0</v>
      </c>
      <c r="CL69" s="817"/>
      <c r="CM69" s="817"/>
      <c r="CN69" s="712">
        <f>IF(CL69=0,0,(CM69-CL69)/CL69*100)</f>
        <v>0</v>
      </c>
      <c r="CO69" s="817"/>
      <c r="CP69" s="817"/>
      <c r="CQ69" s="712">
        <f>IF(CO69=0,0,(CP69-CO69)/CO69*100)</f>
        <v>0</v>
      </c>
      <c r="CR69" s="817"/>
      <c r="CS69" s="817"/>
      <c r="CT69" s="712">
        <f>IF(CR69=0,0,(CS69-CR69)/CR69*100)</f>
        <v>0</v>
      </c>
      <c r="CU69" s="817"/>
      <c r="CV69" s="817"/>
      <c r="CW69" s="712">
        <f>IF(CU69=0,0,(CV69-CU69)/CU69*100)</f>
        <v>0</v>
      </c>
      <c r="CX69" s="817"/>
      <c r="CY69" s="817"/>
      <c r="CZ69" s="712">
        <f>IF(CX69=0,0,(CY69-CX69)/CX69*100)</f>
        <v>0</v>
      </c>
      <c r="DA69" s="817"/>
      <c r="DB69" s="817"/>
      <c r="DC69" s="712">
        <f>IF(DA69=0,0,(DB69-DA69)/DA69*100)</f>
        <v>0</v>
      </c>
      <c r="DD69" s="817"/>
      <c r="DE69" s="817"/>
      <c r="DF69" s="712">
        <f>IF(DD69=0,0,(DE69-DD69)/DD69*100)</f>
        <v>0</v>
      </c>
      <c r="DG69" s="817"/>
      <c r="DH69" s="817"/>
      <c r="DI69" s="712">
        <f>IF(DG69=0,0,(DH69-DG69)/DG69*100)</f>
        <v>0</v>
      </c>
      <c r="DJ69" s="817"/>
      <c r="DK69" s="817"/>
      <c r="DL69" s="712">
        <f>IF(DJ69=0,0,(DK69-DJ69)/DJ69*100)</f>
        <v>0</v>
      </c>
      <c r="DM69" s="817"/>
      <c r="DN69" s="817"/>
      <c r="DO69" s="712">
        <f>IF(DM69=0,0,(DN69-DM69)/DM69*100)</f>
        <v>0</v>
      </c>
      <c r="DP69" s="817"/>
      <c r="DQ69" s="817"/>
      <c r="DR69" s="712">
        <f>IF(DP69=0,0,(DQ69-DP69)/DP69*100)</f>
        <v>0</v>
      </c>
      <c r="DS69" s="817"/>
      <c r="DT69" s="817"/>
      <c r="DU69" s="712">
        <f>IF(DS69=0,0,(DT69-DS69)/DS69*100)</f>
        <v>0</v>
      </c>
      <c r="DV69" s="817"/>
      <c r="DW69" s="817"/>
      <c r="DX69" s="712">
        <f>IF(DV69=0,0,(DW69-DV69)/DV69*100)</f>
        <v>0</v>
      </c>
      <c r="DY69" s="817"/>
      <c r="DZ69" s="817"/>
      <c r="EA69" s="712">
        <f>IF(DY69=0,0,(DZ69-DY69)/DY69*100)</f>
        <v>0</v>
      </c>
      <c r="EB69" s="817"/>
      <c r="EC69" s="817"/>
      <c r="ED69" s="712">
        <f>IF(EB69=0,0,(EC69-EB69)/EB69*100)</f>
        <v>0</v>
      </c>
      <c r="EE69" s="817"/>
      <c r="EF69" s="817"/>
      <c r="EG69" s="712">
        <f>IF(EE69=0,0,(EF69-EE69)/EE69*100)</f>
        <v>0</v>
      </c>
      <c r="EH69" s="817"/>
      <c r="EI69" s="817"/>
      <c r="EJ69" s="712">
        <f>IF(EH69=0,0,(EI69-EH69)/EH69*100)</f>
        <v>0</v>
      </c>
      <c r="EK69" s="817"/>
      <c r="EL69" s="817"/>
      <c r="EM69" s="712">
        <f>IF(EK69=0,0,(EL69-EK69)/EK69*100)</f>
        <v>0</v>
      </c>
      <c r="EN69" s="817"/>
      <c r="EO69" s="817"/>
      <c r="EP69" s="712">
        <f>IF(EN69=0,0,(EO69-EN69)/EN69*100)</f>
        <v>0</v>
      </c>
      <c r="EQ69" s="817"/>
      <c r="ER69" s="817"/>
      <c r="ES69" s="712">
        <f>IF(EQ69=0,0,(ER69-EQ69)/EQ69*100)</f>
        <v>0</v>
      </c>
      <c r="ET69" s="817"/>
      <c r="EU69" s="817"/>
      <c r="EV69" s="712">
        <f>IF(ET69=0,0,(EU69-ET69)/ET69*100)</f>
        <v>0</v>
      </c>
      <c r="EW69" s="817"/>
      <c r="EX69" s="817"/>
      <c r="EY69" s="712">
        <f>IF(EW69=0,0,(EX69-EW69)/EW69*100)</f>
        <v>0</v>
      </c>
      <c r="EZ69" s="817"/>
      <c r="FA69" s="817"/>
      <c r="FB69" s="712">
        <f>IF(EZ69=0,0,(FA69-EZ69)/EZ69*100)</f>
        <v>0</v>
      </c>
      <c r="FC69" s="817"/>
      <c r="FD69" s="817"/>
      <c r="FE69" s="712">
        <f>IF(FC69=0,0,(FD69-FC69)/FC69*100)</f>
        <v>0</v>
      </c>
      <c r="FF69" s="817"/>
      <c r="FG69" s="817"/>
      <c r="FH69" s="712">
        <f>IF(FF69=0,0,(FG69-FF69)/FF69*100)</f>
        <v>0</v>
      </c>
      <c r="FI69" s="817"/>
      <c r="FJ69" s="817"/>
      <c r="FK69" s="712">
        <f>IF(FI69=0,0,(FJ69-FI69)/FI69*100)</f>
        <v>0</v>
      </c>
      <c r="FL69" s="817"/>
      <c r="FM69" s="817"/>
      <c r="FN69" s="712">
        <f>IF(FL69=0,0,(FM69-FL69)/FL69*100)</f>
        <v>0</v>
      </c>
      <c r="FO69" s="817"/>
      <c r="FP69" s="817"/>
      <c r="FQ69" s="712">
        <f>IF(FO69=0,0,(FP69-FO69)/FO69*100)</f>
        <v>0</v>
      </c>
      <c r="FR69" s="817"/>
      <c r="FS69" s="817"/>
      <c r="FT69" s="712">
        <f>IF(FR69=0,0,(FS69-FR69)/FR69*100)</f>
        <v>0</v>
      </c>
      <c r="FU69" s="817"/>
      <c r="FV69" s="817"/>
      <c r="FW69" s="712">
        <f>IF(FU69=0,0,(FV69-FU69)/FU69*100)</f>
        <v>0</v>
      </c>
      <c r="FZ69" s="689" t="s">
        <v>1713</v>
      </c>
    </row>
    <row r="70" spans="1:186" ht="18.2" hidden="1" customHeight="1">
      <c r="A70" s="59"/>
      <c r="B70" s="611" t="b" cm="1">
        <f t="array" ref="B70">B69</f>
        <v>0</v>
      </c>
      <c r="C70" s="59"/>
      <c r="D70" s="59"/>
      <c r="E70" s="460">
        <v>18.75</v>
      </c>
      <c r="F70" s="3" cm="1">
        <f t="array" aca="1" ref="F70" ca="1">OFFSET(E70,-1,1)</f>
        <v>0</v>
      </c>
      <c r="G70" s="59"/>
      <c r="H70" s="59"/>
      <c r="I70" s="59"/>
      <c r="J70" s="59"/>
      <c r="K70" s="59"/>
      <c r="L70" s="59"/>
      <c r="M70" s="59"/>
      <c r="N70" s="59"/>
      <c r="O70" s="59"/>
      <c r="P70" s="59"/>
      <c r="Q70" s="59"/>
      <c r="R70" s="59"/>
      <c r="S70" s="59"/>
      <c r="T70" s="351" t="b">
        <f ca="1">AND(F70&gt;0,Y70&gt;0)</f>
        <v>0</v>
      </c>
      <c r="U70" s="59"/>
      <c r="V70" s="59"/>
      <c r="W70" s="59" t="s">
        <v>171</v>
      </c>
      <c r="X70" s="1046"/>
      <c r="Y70" s="1046">
        <v>0</v>
      </c>
      <c r="Z70" s="1007"/>
      <c r="AA70" s="995" t="s">
        <v>172</v>
      </c>
      <c r="AB70" s="897"/>
      <c r="AC70" s="582"/>
      <c r="AD70" s="719"/>
      <c r="AE70" s="720"/>
      <c r="AF70" s="720"/>
      <c r="AG70" s="719"/>
      <c r="AH70" s="720"/>
      <c r="AI70" s="720"/>
      <c r="AJ70" s="719"/>
      <c r="AK70" s="720"/>
      <c r="AL70" s="720"/>
      <c r="AM70" s="719"/>
      <c r="AN70" s="720"/>
      <c r="AO70" s="720"/>
      <c r="AP70" s="719"/>
      <c r="AQ70" s="720"/>
      <c r="AR70" s="720"/>
      <c r="AS70" s="719"/>
      <c r="AT70" s="720"/>
      <c r="AU70" s="720"/>
      <c r="AV70" s="719"/>
      <c r="AW70" s="720"/>
      <c r="AX70" s="720"/>
      <c r="AY70" s="719"/>
      <c r="AZ70" s="720"/>
      <c r="BA70" s="720"/>
      <c r="BB70" s="719"/>
      <c r="BC70" s="720"/>
      <c r="BD70" s="720"/>
      <c r="BE70" s="719"/>
      <c r="BF70" s="720"/>
      <c r="BG70" s="720"/>
      <c r="BH70" s="719"/>
      <c r="BI70" s="720"/>
      <c r="BJ70" s="720"/>
      <c r="BK70" s="719"/>
      <c r="BL70" s="720"/>
      <c r="BM70" s="720"/>
      <c r="BN70" s="719"/>
      <c r="BO70" s="720"/>
      <c r="BP70" s="720"/>
      <c r="BQ70" s="719"/>
      <c r="BR70" s="720"/>
      <c r="BS70" s="720"/>
      <c r="BT70" s="719"/>
      <c r="BU70" s="720"/>
      <c r="BV70" s="720"/>
      <c r="BW70" s="719"/>
      <c r="BX70" s="720"/>
      <c r="BY70" s="720"/>
      <c r="BZ70" s="719"/>
      <c r="CA70" s="720"/>
      <c r="CB70" s="720"/>
      <c r="CC70" s="719"/>
      <c r="CD70" s="720"/>
      <c r="CE70" s="720"/>
      <c r="CF70" s="719"/>
      <c r="CG70" s="720"/>
      <c r="CH70" s="720"/>
      <c r="CI70" s="719"/>
      <c r="CJ70" s="720"/>
      <c r="CK70" s="720"/>
      <c r="CL70" s="719"/>
      <c r="CM70" s="720"/>
      <c r="CN70" s="720"/>
      <c r="CO70" s="719"/>
      <c r="CP70" s="720"/>
      <c r="CQ70" s="720"/>
      <c r="CR70" s="719"/>
      <c r="CS70" s="720"/>
      <c r="CT70" s="720"/>
      <c r="CU70" s="719"/>
      <c r="CV70" s="720"/>
      <c r="CW70" s="720"/>
      <c r="CX70" s="719"/>
      <c r="CY70" s="720"/>
      <c r="CZ70" s="720"/>
      <c r="DA70" s="719"/>
      <c r="DB70" s="720"/>
      <c r="DC70" s="720"/>
      <c r="DD70" s="719"/>
      <c r="DE70" s="720"/>
      <c r="DF70" s="720"/>
      <c r="DG70" s="719"/>
      <c r="DH70" s="720"/>
      <c r="DI70" s="720"/>
      <c r="DJ70" s="719"/>
      <c r="DK70" s="720"/>
      <c r="DL70" s="720"/>
      <c r="DM70" s="719"/>
      <c r="DN70" s="720"/>
      <c r="DO70" s="720"/>
      <c r="DP70" s="719"/>
      <c r="DQ70" s="720"/>
      <c r="DR70" s="720"/>
      <c r="DS70" s="719"/>
      <c r="DT70" s="720"/>
      <c r="DU70" s="720"/>
      <c r="DV70" s="719"/>
      <c r="DW70" s="720"/>
      <c r="DX70" s="720"/>
      <c r="DY70" s="719"/>
      <c r="DZ70" s="720"/>
      <c r="EA70" s="720"/>
      <c r="EB70" s="719"/>
      <c r="EC70" s="720"/>
      <c r="ED70" s="720"/>
      <c r="EE70" s="719"/>
      <c r="EF70" s="720"/>
      <c r="EG70" s="720"/>
      <c r="EH70" s="719"/>
      <c r="EI70" s="720"/>
      <c r="EJ70" s="720"/>
      <c r="EK70" s="719"/>
      <c r="EL70" s="720"/>
      <c r="EM70" s="720"/>
      <c r="EN70" s="719"/>
      <c r="EO70" s="720"/>
      <c r="EP70" s="720"/>
      <c r="EQ70" s="719"/>
      <c r="ER70" s="720"/>
      <c r="ES70" s="720"/>
      <c r="ET70" s="719"/>
      <c r="EU70" s="720"/>
      <c r="EV70" s="720"/>
      <c r="EW70" s="719"/>
      <c r="EX70" s="720"/>
      <c r="EY70" s="720"/>
      <c r="EZ70" s="719"/>
      <c r="FA70" s="720"/>
      <c r="FB70" s="720"/>
      <c r="FC70" s="719"/>
      <c r="FD70" s="720"/>
      <c r="FE70" s="720"/>
      <c r="FF70" s="719"/>
      <c r="FG70" s="720"/>
      <c r="FH70" s="720"/>
      <c r="FI70" s="719"/>
      <c r="FJ70" s="720"/>
      <c r="FK70" s="720"/>
      <c r="FL70" s="719"/>
      <c r="FM70" s="720"/>
      <c r="FN70" s="720"/>
      <c r="FO70" s="719"/>
      <c r="FP70" s="720"/>
      <c r="FQ70" s="720"/>
      <c r="FR70" s="719"/>
      <c r="FS70" s="720"/>
      <c r="FT70" s="720"/>
      <c r="FU70" s="719"/>
      <c r="FV70" s="720"/>
      <c r="FW70" s="721"/>
      <c r="FZ70" s="689"/>
      <c r="GD70" s="459" t="b">
        <v>1</v>
      </c>
    </row>
    <row r="71" spans="1:186" ht="14.65" hidden="1" customHeight="1">
      <c r="A71" s="59"/>
      <c r="B71" s="611" t="b" cm="1">
        <f t="array" ref="B71">B70</f>
        <v>0</v>
      </c>
      <c r="C71" s="59"/>
      <c r="D71" s="59"/>
      <c r="E71" s="460">
        <v>15</v>
      </c>
      <c r="F71" s="3" cm="1">
        <f t="array" aca="1" ref="F71" ca="1">OFFSET(E71,-1,1)</f>
        <v>0</v>
      </c>
      <c r="G71" s="59"/>
      <c r="H71" s="59" t="s">
        <v>1604</v>
      </c>
      <c r="I71" s="59" cm="1">
        <f t="array" ref="I71">AB70</f>
        <v>0</v>
      </c>
      <c r="J71" s="59"/>
      <c r="K71" s="59"/>
      <c r="L71" s="59"/>
      <c r="M71" s="59"/>
      <c r="N71" s="59"/>
      <c r="O71" s="59"/>
      <c r="P71" s="59"/>
      <c r="Q71" s="59"/>
      <c r="R71" s="59"/>
      <c r="S71" s="59"/>
      <c r="T71" s="351" t="b" cm="1">
        <f t="array" aca="1" ref="T71" ca="1">T70</f>
        <v>0</v>
      </c>
      <c r="U71" s="59"/>
      <c r="V71" s="59"/>
      <c r="W71" s="59"/>
      <c r="X71" s="1046"/>
      <c r="Y71" s="1046"/>
      <c r="Z71" s="1007"/>
      <c r="AA71" s="995"/>
      <c r="AB71" s="105" t="s">
        <v>1680</v>
      </c>
      <c r="AC71" s="12" t="s">
        <v>1647</v>
      </c>
      <c r="AD71" s="817">
        <f>IF(AD73=0,0,(AD72*AD73+AD74*AD75*IF(god=2026,3,6))/AD73)</f>
        <v>0</v>
      </c>
      <c r="AE71" s="817">
        <f>IF(AE73=0,0,(AE72*AE73+AE74*AE75*IF(god=2026,3,6))/AE73)</f>
        <v>0</v>
      </c>
      <c r="AF71" s="712">
        <f>IF(AD71=0,0,(AE71-AD71)/AD71*100)</f>
        <v>0</v>
      </c>
      <c r="AG71" s="57">
        <f>IF(AG73=0,0,(AG72*AG73+AG74*AG75*IF(god=2025,3,6))/AG73)</f>
        <v>0</v>
      </c>
      <c r="AH71" s="57">
        <f>IF(AH73=0,0,(AH72*AH73+AH74*AH75*IF(god=2025,3,6))/AH73)</f>
        <v>0</v>
      </c>
      <c r="AI71" s="712">
        <f>IF(AG71=0,0,(AH71-AG71)/AG71*100)</f>
        <v>0</v>
      </c>
      <c r="AJ71" s="57">
        <f>IF(AJ73=0,0,(AJ72*AJ73+AJ74*AJ75*6)/AJ73)</f>
        <v>0</v>
      </c>
      <c r="AK71" s="57">
        <f>IF(AK73=0,0,(AK72*AK73+AK74*AK75*6)/AK73)</f>
        <v>0</v>
      </c>
      <c r="AL71" s="712">
        <f>IF(AJ71=0,0,(AK71-AJ71)/AJ71*100)</f>
        <v>0</v>
      </c>
      <c r="AM71" s="817">
        <f>IF(AM73=0,0,(AM72*AM73+AM74*AM75*6)/AM73)</f>
        <v>0</v>
      </c>
      <c r="AN71" s="817">
        <f>IF(AN73=0,0,(AN72*AN73+AN74*AN75*6)/AN73)</f>
        <v>0</v>
      </c>
      <c r="AO71" s="712">
        <f>IF(AM71=0,0,(AN71-AM71)/AM71*100)</f>
        <v>0</v>
      </c>
      <c r="AP71" s="817">
        <f>IF(AP73=0,0,(AP72*AP73+AP74*AP75*6)/AP73)</f>
        <v>0</v>
      </c>
      <c r="AQ71" s="817">
        <f>IF(AQ73=0,0,(AQ72*AQ73+AQ74*AQ75*6)/AQ73)</f>
        <v>0</v>
      </c>
      <c r="AR71" s="712">
        <f>IF(AP71=0,0,(AQ71-AP71)/AP71*100)</f>
        <v>0</v>
      </c>
      <c r="AS71" s="817">
        <f>IF(AS73=0,0,(AS72*AS73+AS74*AS75*6)/AS73)</f>
        <v>0</v>
      </c>
      <c r="AT71" s="817">
        <f>IF(AT73=0,0,(AT72*AT73+AT74*AT75*6)/AT73)</f>
        <v>0</v>
      </c>
      <c r="AU71" s="712">
        <f>IF(AS71=0,0,(AT71-AS71)/AS71*100)</f>
        <v>0</v>
      </c>
      <c r="AV71" s="817">
        <f>IF(AV73=0,0,(AV72*AV73+AV74*AV75*6)/AV73)</f>
        <v>0</v>
      </c>
      <c r="AW71" s="817">
        <f>IF(AW73=0,0,(AW72*AW73+AW74*AW75*6)/AW73)</f>
        <v>0</v>
      </c>
      <c r="AX71" s="712">
        <f>IF(AV71=0,0,(AW71-AV71)/AV71*100)</f>
        <v>0</v>
      </c>
      <c r="AY71" s="817">
        <f>IF(AY73=0,0,(AY72*AY73+AY74*AY75*6)/AY73)</f>
        <v>0</v>
      </c>
      <c r="AZ71" s="817">
        <f>IF(AZ73=0,0,(AZ72*AZ73+AZ74*AZ75*6)/AZ73)</f>
        <v>0</v>
      </c>
      <c r="BA71" s="712">
        <f>IF(AY71=0,0,(AZ71-AY71)/AY71*100)</f>
        <v>0</v>
      </c>
      <c r="BB71" s="817">
        <f>IF(BB73=0,0,(BB72*BB73+BB74*BB75*6)/BB73)</f>
        <v>0</v>
      </c>
      <c r="BC71" s="817">
        <f>IF(BC73=0,0,(BC72*BC73+BC74*BC75*6)/BC73)</f>
        <v>0</v>
      </c>
      <c r="BD71" s="712">
        <f>IF(BB71=0,0,(BC71-BB71)/BB71*100)</f>
        <v>0</v>
      </c>
      <c r="BE71" s="817">
        <f>IF(BE73=0,0,(BE72*BE73+BE74*BE75*6)/BE73)</f>
        <v>0</v>
      </c>
      <c r="BF71" s="817">
        <f>IF(BF73=0,0,(BF72*BF73+BF74*BF75*6)/BF73)</f>
        <v>0</v>
      </c>
      <c r="BG71" s="712">
        <f>IF(BE71=0,0,(BF71-BE71)/BE71*100)</f>
        <v>0</v>
      </c>
      <c r="BH71" s="817">
        <f>IF(BH73=0,0,(BH72*BH73+BH74*BH75*6)/BH73)</f>
        <v>0</v>
      </c>
      <c r="BI71" s="817">
        <f>IF(BI73=0,0,(BI72*BI73+BI74*BI75*6)/BI73)</f>
        <v>0</v>
      </c>
      <c r="BJ71" s="712">
        <f>IF(BH71=0,0,(BI71-BH71)/BH71*100)</f>
        <v>0</v>
      </c>
      <c r="BK71" s="817">
        <f>IF(BK73=0,0,(BK72*BK73+BK74*BK75*6)/BK73)</f>
        <v>0</v>
      </c>
      <c r="BL71" s="817">
        <f>IF(BL73=0,0,(BL72*BL73+BL74*BL75*6)/BL73)</f>
        <v>0</v>
      </c>
      <c r="BM71" s="712">
        <f>IF(BK71=0,0,(BL71-BK71)/BK71*100)</f>
        <v>0</v>
      </c>
      <c r="BN71" s="817">
        <f>IF(BN73=0,0,(BN72*BN73+BN74*BN75*6)/BN73)</f>
        <v>0</v>
      </c>
      <c r="BO71" s="817">
        <f>IF(BO73=0,0,(BO72*BO73+BO74*BO75*6)/BO73)</f>
        <v>0</v>
      </c>
      <c r="BP71" s="712">
        <f>IF(BN71=0,0,(BO71-BN71)/BN71*100)</f>
        <v>0</v>
      </c>
      <c r="BQ71" s="817">
        <f>IF(BQ73=0,0,(BQ72*BQ73+BQ74*BQ75*6)/BQ73)</f>
        <v>0</v>
      </c>
      <c r="BR71" s="817">
        <f>IF(BR73=0,0,(BR72*BR73+BR74*BR75*6)/BR73)</f>
        <v>0</v>
      </c>
      <c r="BS71" s="712">
        <f>IF(BQ71=0,0,(BR71-BQ71)/BQ71*100)</f>
        <v>0</v>
      </c>
      <c r="BT71" s="817">
        <f>IF(BT73=0,0,(BT72*BT73+BT74*BT75*6)/BT73)</f>
        <v>0</v>
      </c>
      <c r="BU71" s="817">
        <f>IF(BU73=0,0,(BU72*BU73+BU74*BU75*6)/BU73)</f>
        <v>0</v>
      </c>
      <c r="BV71" s="712">
        <f>IF(BT71=0,0,(BU71-BT71)/BT71*100)</f>
        <v>0</v>
      </c>
      <c r="BW71" s="817">
        <f>IF(BW73=0,0,(BW72*BW73+BW74*BW75*6)/BW73)</f>
        <v>0</v>
      </c>
      <c r="BX71" s="817">
        <f>IF(BX73=0,0,(BX72*BX73+BX74*BX75*6)/BX73)</f>
        <v>0</v>
      </c>
      <c r="BY71" s="712">
        <f>IF(BW71=0,0,(BX71-BW71)/BW71*100)</f>
        <v>0</v>
      </c>
      <c r="BZ71" s="817">
        <f>IF(BZ73=0,0,(BZ72*BZ73+BZ74*BZ75*6)/BZ73)</f>
        <v>0</v>
      </c>
      <c r="CA71" s="817">
        <f>IF(CA73=0,0,(CA72*CA73+CA74*CA75*6)/CA73)</f>
        <v>0</v>
      </c>
      <c r="CB71" s="712">
        <f>IF(BZ71=0,0,(CA71-BZ71)/BZ71*100)</f>
        <v>0</v>
      </c>
      <c r="CC71" s="817">
        <f>IF(CC73=0,0,(CC72*CC73+CC74*CC75*6)/CC73)</f>
        <v>0</v>
      </c>
      <c r="CD71" s="817">
        <f>IF(CD73=0,0,(CD72*CD73+CD74*CD75*6)/CD73)</f>
        <v>0</v>
      </c>
      <c r="CE71" s="712">
        <f>IF(CC71=0,0,(CD71-CC71)/CC71*100)</f>
        <v>0</v>
      </c>
      <c r="CF71" s="817">
        <f>IF(CF73=0,0,(CF72*CF73+CF74*CF75*6)/CF73)</f>
        <v>0</v>
      </c>
      <c r="CG71" s="817">
        <f>IF(CG73=0,0,(CG72*CG73+CG74*CG75*6)/CG73)</f>
        <v>0</v>
      </c>
      <c r="CH71" s="712">
        <f>IF(CF71=0,0,(CG71-CF71)/CF71*100)</f>
        <v>0</v>
      </c>
      <c r="CI71" s="817">
        <f>IF(CI73=0,0,(CI72*CI73+CI74*CI75*6)/CI73)</f>
        <v>0</v>
      </c>
      <c r="CJ71" s="817">
        <f>IF(CJ73=0,0,(CJ72*CJ73+CJ74*CJ75*6)/CJ73)</f>
        <v>0</v>
      </c>
      <c r="CK71" s="712">
        <f>IF(CI71=0,0,(CJ71-CI71)/CI71*100)</f>
        <v>0</v>
      </c>
      <c r="CL71" s="817">
        <f>IF(CL73=0,0,(CL72*CL73+CL74*CL75*6)/CL73)</f>
        <v>0</v>
      </c>
      <c r="CM71" s="817">
        <f>IF(CM73=0,0,(CM72*CM73+CM74*CM75*6)/CM73)</f>
        <v>0</v>
      </c>
      <c r="CN71" s="712">
        <f>IF(CL71=0,0,(CM71-CL71)/CL71*100)</f>
        <v>0</v>
      </c>
      <c r="CO71" s="817">
        <f>IF(CO73=0,0,(CO72*CO73+CO74*CO75*6)/CO73)</f>
        <v>0</v>
      </c>
      <c r="CP71" s="817">
        <f>IF(CP73=0,0,(CP72*CP73+CP74*CP75*6)/CP73)</f>
        <v>0</v>
      </c>
      <c r="CQ71" s="712">
        <f>IF(CO71=0,0,(CP71-CO71)/CO71*100)</f>
        <v>0</v>
      </c>
      <c r="CR71" s="817">
        <f>IF(CR73=0,0,(CR72*CR73+CR74*CR75*6)/CR73)</f>
        <v>0</v>
      </c>
      <c r="CS71" s="817">
        <f>IF(CS73=0,0,(CS72*CS73+CS74*CS75*6)/CS73)</f>
        <v>0</v>
      </c>
      <c r="CT71" s="712">
        <f>IF(CR71=0,0,(CS71-CR71)/CR71*100)</f>
        <v>0</v>
      </c>
      <c r="CU71" s="817">
        <f>IF(CU73=0,0,(CU72*CU73+CU74*CU75*6)/CU73)</f>
        <v>0</v>
      </c>
      <c r="CV71" s="817">
        <f>IF(CV73=0,0,(CV72*CV73+CV74*CV75*6)/CV73)</f>
        <v>0</v>
      </c>
      <c r="CW71" s="712">
        <f>IF(CU71=0,0,(CV71-CU71)/CU71*100)</f>
        <v>0</v>
      </c>
      <c r="CX71" s="817">
        <f>IF(CX73=0,0,(CX72*CX73+CX74*CX75*6)/CX73)</f>
        <v>0</v>
      </c>
      <c r="CY71" s="817">
        <f>IF(CY73=0,0,(CY72*CY73+CY74*CY75*6)/CY73)</f>
        <v>0</v>
      </c>
      <c r="CZ71" s="712">
        <f>IF(CX71=0,0,(CY71-CX71)/CX71*100)</f>
        <v>0</v>
      </c>
      <c r="DA71" s="817">
        <f>IF(DA73=0,0,(DA72*DA73+DA74*DA75*6)/DA73)</f>
        <v>0</v>
      </c>
      <c r="DB71" s="817">
        <f>IF(DB73=0,0,(DB72*DB73+DB74*DB75*6)/DB73)</f>
        <v>0</v>
      </c>
      <c r="DC71" s="712">
        <f>IF(DA71=0,0,(DB71-DA71)/DA71*100)</f>
        <v>0</v>
      </c>
      <c r="DD71" s="817">
        <f>IF(DD73=0,0,(DD72*DD73+DD74*DD75*6)/DD73)</f>
        <v>0</v>
      </c>
      <c r="DE71" s="817">
        <f>IF(DE73=0,0,(DE72*DE73+DE74*DE75*6)/DE73)</f>
        <v>0</v>
      </c>
      <c r="DF71" s="712">
        <f>IF(DD71=0,0,(DE71-DD71)/DD71*100)</f>
        <v>0</v>
      </c>
      <c r="DG71" s="817">
        <f>IF(DG73=0,0,(DG72*DG73+DG74*DG75*6)/DG73)</f>
        <v>0</v>
      </c>
      <c r="DH71" s="817">
        <f>IF(DH73=0,0,(DH72*DH73+DH74*DH75*6)/DH73)</f>
        <v>0</v>
      </c>
      <c r="DI71" s="712">
        <f>IF(DG71=0,0,(DH71-DG71)/DG71*100)</f>
        <v>0</v>
      </c>
      <c r="DJ71" s="817">
        <f>IF(DJ73=0,0,(DJ72*DJ73+DJ74*DJ75*6)/DJ73)</f>
        <v>0</v>
      </c>
      <c r="DK71" s="817">
        <f>IF(DK73=0,0,(DK72*DK73+DK74*DK75*6)/DK73)</f>
        <v>0</v>
      </c>
      <c r="DL71" s="712">
        <f>IF(DJ71=0,0,(DK71-DJ71)/DJ71*100)</f>
        <v>0</v>
      </c>
      <c r="DM71" s="817">
        <f>IF(DM73=0,0,(DM72*DM73+DM74*DM75*6)/DM73)</f>
        <v>0</v>
      </c>
      <c r="DN71" s="817">
        <f>IF(DN73=0,0,(DN72*DN73+DN74*DN75*6)/DN73)</f>
        <v>0</v>
      </c>
      <c r="DO71" s="712">
        <f>IF(DM71=0,0,(DN71-DM71)/DM71*100)</f>
        <v>0</v>
      </c>
      <c r="DP71" s="817">
        <f>IF(DP73=0,0,(DP72*DP73+DP74*DP75*6)/DP73)</f>
        <v>0</v>
      </c>
      <c r="DQ71" s="817">
        <f>IF(DQ73=0,0,(DQ72*DQ73+DQ74*DQ75*6)/DQ73)</f>
        <v>0</v>
      </c>
      <c r="DR71" s="712">
        <f>IF(DP71=0,0,(DQ71-DP71)/DP71*100)</f>
        <v>0</v>
      </c>
      <c r="DS71" s="817">
        <f>IF(DS73=0,0,(DS72*DS73+DS74*DS75*6)/DS73)</f>
        <v>0</v>
      </c>
      <c r="DT71" s="817">
        <f>IF(DT73=0,0,(DT72*DT73+DT74*DT75*6)/DT73)</f>
        <v>0</v>
      </c>
      <c r="DU71" s="712">
        <f>IF(DS71=0,0,(DT71-DS71)/DS71*100)</f>
        <v>0</v>
      </c>
      <c r="DV71" s="817">
        <f>IF(DV73=0,0,(DV72*DV73+DV74*DV75*6)/DV73)</f>
        <v>0</v>
      </c>
      <c r="DW71" s="817">
        <f>IF(DW73=0,0,(DW72*DW73+DW74*DW75*6)/DW73)</f>
        <v>0</v>
      </c>
      <c r="DX71" s="712">
        <f>IF(DV71=0,0,(DW71-DV71)/DV71*100)</f>
        <v>0</v>
      </c>
      <c r="DY71" s="817">
        <f>IF(DY73=0,0,(DY72*DY73+DY74*DY75*6)/DY73)</f>
        <v>0</v>
      </c>
      <c r="DZ71" s="817">
        <f>IF(DZ73=0,0,(DZ72*DZ73+DZ74*DZ75*6)/DZ73)</f>
        <v>0</v>
      </c>
      <c r="EA71" s="712">
        <f>IF(DY71=0,0,(DZ71-DY71)/DY71*100)</f>
        <v>0</v>
      </c>
      <c r="EB71" s="817">
        <f>IF(EB73=0,0,(EB72*EB73+EB74*EB75*6)/EB73)</f>
        <v>0</v>
      </c>
      <c r="EC71" s="817">
        <f>IF(EC73=0,0,(EC72*EC73+EC74*EC75*6)/EC73)</f>
        <v>0</v>
      </c>
      <c r="ED71" s="712">
        <f>IF(EB71=0,0,(EC71-EB71)/EB71*100)</f>
        <v>0</v>
      </c>
      <c r="EE71" s="817">
        <f>IF(EE73=0,0,(EE72*EE73+EE74*EE75*6)/EE73)</f>
        <v>0</v>
      </c>
      <c r="EF71" s="817">
        <f>IF(EF73=0,0,(EF72*EF73+EF74*EF75*6)/EF73)</f>
        <v>0</v>
      </c>
      <c r="EG71" s="712">
        <f>IF(EE71=0,0,(EF71-EE71)/EE71*100)</f>
        <v>0</v>
      </c>
      <c r="EH71" s="817">
        <f>IF(EH73=0,0,(EH72*EH73+EH74*EH75*6)/EH73)</f>
        <v>0</v>
      </c>
      <c r="EI71" s="817">
        <f>IF(EI73=0,0,(EI72*EI73+EI74*EI75*6)/EI73)</f>
        <v>0</v>
      </c>
      <c r="EJ71" s="712">
        <f>IF(EH71=0,0,(EI71-EH71)/EH71*100)</f>
        <v>0</v>
      </c>
      <c r="EK71" s="817">
        <f>IF(EK73=0,0,(EK72*EK73+EK74*EK75*6)/EK73)</f>
        <v>0</v>
      </c>
      <c r="EL71" s="817">
        <f>IF(EL73=0,0,(EL72*EL73+EL74*EL75*6)/EL73)</f>
        <v>0</v>
      </c>
      <c r="EM71" s="712">
        <f>IF(EK71=0,0,(EL71-EK71)/EK71*100)</f>
        <v>0</v>
      </c>
      <c r="EN71" s="817">
        <f>IF(EN73=0,0,(EN72*EN73+EN74*EN75*6)/EN73)</f>
        <v>0</v>
      </c>
      <c r="EO71" s="817">
        <f>IF(EO73=0,0,(EO72*EO73+EO74*EO75*6)/EO73)</f>
        <v>0</v>
      </c>
      <c r="EP71" s="712">
        <f>IF(EN71=0,0,(EO71-EN71)/EN71*100)</f>
        <v>0</v>
      </c>
      <c r="EQ71" s="817">
        <f>IF(EQ73=0,0,(EQ72*EQ73+EQ74*EQ75*6)/EQ73)</f>
        <v>0</v>
      </c>
      <c r="ER71" s="817">
        <f>IF(ER73=0,0,(ER72*ER73+ER74*ER75*6)/ER73)</f>
        <v>0</v>
      </c>
      <c r="ES71" s="712">
        <f>IF(EQ71=0,0,(ER71-EQ71)/EQ71*100)</f>
        <v>0</v>
      </c>
      <c r="ET71" s="817">
        <f>IF(ET73=0,0,(ET72*ET73+ET74*ET75*6)/ET73)</f>
        <v>0</v>
      </c>
      <c r="EU71" s="817">
        <f>IF(EU73=0,0,(EU72*EU73+EU74*EU75*6)/EU73)</f>
        <v>0</v>
      </c>
      <c r="EV71" s="712">
        <f>IF(ET71=0,0,(EU71-ET71)/ET71*100)</f>
        <v>0</v>
      </c>
      <c r="EW71" s="817">
        <f>IF(EW73=0,0,(EW72*EW73+EW74*EW75*6)/EW73)</f>
        <v>0</v>
      </c>
      <c r="EX71" s="817">
        <f>IF(EX73=0,0,(EX72*EX73+EX74*EX75*6)/EX73)</f>
        <v>0</v>
      </c>
      <c r="EY71" s="712">
        <f>IF(EW71=0,0,(EX71-EW71)/EW71*100)</f>
        <v>0</v>
      </c>
      <c r="EZ71" s="817">
        <f>IF(EZ73=0,0,(EZ72*EZ73+EZ74*EZ75*6)/EZ73)</f>
        <v>0</v>
      </c>
      <c r="FA71" s="817">
        <f>IF(FA73=0,0,(FA72*FA73+FA74*FA75*6)/FA73)</f>
        <v>0</v>
      </c>
      <c r="FB71" s="712">
        <f>IF(EZ71=0,0,(FA71-EZ71)/EZ71*100)</f>
        <v>0</v>
      </c>
      <c r="FC71" s="817">
        <f>IF(FC73=0,0,(FC72*FC73+FC74*FC75*6)/FC73)</f>
        <v>0</v>
      </c>
      <c r="FD71" s="817">
        <f>IF(FD73=0,0,(FD72*FD73+FD74*FD75*6)/FD73)</f>
        <v>0</v>
      </c>
      <c r="FE71" s="712">
        <f>IF(FC71=0,0,(FD71-FC71)/FC71*100)</f>
        <v>0</v>
      </c>
      <c r="FF71" s="817">
        <f>IF(FF73=0,0,(FF72*FF73+FF74*FF75*6)/FF73)</f>
        <v>0</v>
      </c>
      <c r="FG71" s="817">
        <f>IF(FG73=0,0,(FG72*FG73+FG74*FG75*6)/FG73)</f>
        <v>0</v>
      </c>
      <c r="FH71" s="712">
        <f>IF(FF71=0,0,(FG71-FF71)/FF71*100)</f>
        <v>0</v>
      </c>
      <c r="FI71" s="817">
        <f>IF(FI73=0,0,(FI72*FI73+FI74*FI75*6)/FI73)</f>
        <v>0</v>
      </c>
      <c r="FJ71" s="817">
        <f>IF(FJ73=0,0,(FJ72*FJ73+FJ74*FJ75*6)/FJ73)</f>
        <v>0</v>
      </c>
      <c r="FK71" s="712">
        <f>IF(FI71=0,0,(FJ71-FI71)/FI71*100)</f>
        <v>0</v>
      </c>
      <c r="FL71" s="817">
        <f>IF(FL73=0,0,(FL72*FL73+FL74*FL75*6)/FL73)</f>
        <v>0</v>
      </c>
      <c r="FM71" s="817">
        <f>IF(FM73=0,0,(FM72*FM73+FM74*FM75*6)/FM73)</f>
        <v>0</v>
      </c>
      <c r="FN71" s="712">
        <f>IF(FL71=0,0,(FM71-FL71)/FL71*100)</f>
        <v>0</v>
      </c>
      <c r="FO71" s="817">
        <f>IF(FO73=0,0,(FO72*FO73+FO74*FO75*6)/FO73)</f>
        <v>0</v>
      </c>
      <c r="FP71" s="817">
        <f>IF(FP73=0,0,(FP72*FP73+FP74*FP75*6)/FP73)</f>
        <v>0</v>
      </c>
      <c r="FQ71" s="712">
        <f>IF(FO71=0,0,(FP71-FO71)/FO71*100)</f>
        <v>0</v>
      </c>
      <c r="FR71" s="817">
        <f>IF(FR73=0,0,(FR72*FR73+FR74*FR75*6)/FR73)</f>
        <v>0</v>
      </c>
      <c r="FS71" s="817">
        <f>IF(FS73=0,0,(FS72*FS73+FS74*FS75*6)/FS73)</f>
        <v>0</v>
      </c>
      <c r="FT71" s="712">
        <f>IF(FR71=0,0,(FS71-FR71)/FR71*100)</f>
        <v>0</v>
      </c>
      <c r="FU71" s="817">
        <f>IF(FU73=0,0,(FU72*FU73+FU74*FU75*6)/FU73)</f>
        <v>0</v>
      </c>
      <c r="FV71" s="817">
        <f>IF(FV73=0,0,(FV72*FV73+FV74*FV75*6)/FV73)</f>
        <v>0</v>
      </c>
      <c r="FW71" s="712">
        <f>IF(FU71=0,0,(FV71-FU71)/FU71*100)</f>
        <v>0</v>
      </c>
      <c r="FZ71" s="689" t="s">
        <v>1714</v>
      </c>
      <c r="GA71" s="669" t="s">
        <v>899</v>
      </c>
      <c r="GB71" s="691" cm="1">
        <f t="array" ref="GB71">AB70</f>
        <v>0</v>
      </c>
    </row>
    <row r="72" spans="1:186" ht="14.65" hidden="1" customHeight="1">
      <c r="A72" s="59"/>
      <c r="B72" s="611" t="b" cm="1">
        <f t="array" ref="B72">B71</f>
        <v>0</v>
      </c>
      <c r="C72" s="59"/>
      <c r="D72" s="59"/>
      <c r="E72" s="460">
        <v>15</v>
      </c>
      <c r="F72" s="3" cm="1">
        <f t="array" aca="1" ref="F72" ca="1">OFFSET(E72,-1,1)</f>
        <v>0</v>
      </c>
      <c r="G72" s="59"/>
      <c r="H72" s="59" t="s">
        <v>1608</v>
      </c>
      <c r="I72" s="59" cm="1">
        <f t="array" ref="I72">I71</f>
        <v>0</v>
      </c>
      <c r="J72" s="59"/>
      <c r="K72" s="59"/>
      <c r="L72" s="59"/>
      <c r="M72" s="59"/>
      <c r="N72" s="59"/>
      <c r="O72" s="59"/>
      <c r="P72" s="59"/>
      <c r="Q72" s="59"/>
      <c r="R72" s="59"/>
      <c r="S72" s="59"/>
      <c r="T72" s="351" t="b" cm="1">
        <f t="array" aca="1" ref="T72" ca="1">T71</f>
        <v>0</v>
      </c>
      <c r="U72" s="59"/>
      <c r="V72" s="59"/>
      <c r="W72" s="59"/>
      <c r="X72" s="1046"/>
      <c r="Y72" s="1046"/>
      <c r="Z72" s="1007"/>
      <c r="AA72" s="995"/>
      <c r="AB72" s="105"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1647</v>
      </c>
      <c r="AD72" s="817"/>
      <c r="AE72" s="817"/>
      <c r="AF72" s="712">
        <f>IF(AD72=0,0,(AE72-AD72)/AD72*100)</f>
        <v>0</v>
      </c>
      <c r="AG72" s="57"/>
      <c r="AH72" s="57"/>
      <c r="AI72" s="712">
        <f>IF(AG72=0,0,(AH72-AG72)/AG72*100)</f>
        <v>0</v>
      </c>
      <c r="AJ72" s="57"/>
      <c r="AK72" s="57"/>
      <c r="AL72" s="712">
        <f>IF(AJ72=0,0,(AK72-AJ72)/AJ72*100)</f>
        <v>0</v>
      </c>
      <c r="AM72" s="817"/>
      <c r="AN72" s="817"/>
      <c r="AO72" s="712">
        <f>IF(AM72=0,0,(AN72-AM72)/AM72*100)</f>
        <v>0</v>
      </c>
      <c r="AP72" s="817"/>
      <c r="AQ72" s="817"/>
      <c r="AR72" s="712">
        <f>IF(AP72=0,0,(AQ72-AP72)/AP72*100)</f>
        <v>0</v>
      </c>
      <c r="AS72" s="817"/>
      <c r="AT72" s="817"/>
      <c r="AU72" s="712">
        <f>IF(AS72=0,0,(AT72-AS72)/AS72*100)</f>
        <v>0</v>
      </c>
      <c r="AV72" s="817"/>
      <c r="AW72" s="817"/>
      <c r="AX72" s="712">
        <f>IF(AV72=0,0,(AW72-AV72)/AV72*100)</f>
        <v>0</v>
      </c>
      <c r="AY72" s="817"/>
      <c r="AZ72" s="817"/>
      <c r="BA72" s="712">
        <f>IF(AY72=0,0,(AZ72-AY72)/AY72*100)</f>
        <v>0</v>
      </c>
      <c r="BB72" s="817"/>
      <c r="BC72" s="817"/>
      <c r="BD72" s="712">
        <f>IF(BB72=0,0,(BC72-BB72)/BB72*100)</f>
        <v>0</v>
      </c>
      <c r="BE72" s="817"/>
      <c r="BF72" s="817"/>
      <c r="BG72" s="712">
        <f>IF(BE72=0,0,(BF72-BE72)/BE72*100)</f>
        <v>0</v>
      </c>
      <c r="BH72" s="817"/>
      <c r="BI72" s="817"/>
      <c r="BJ72" s="712">
        <f>IF(BH72=0,0,(BI72-BH72)/BH72*100)</f>
        <v>0</v>
      </c>
      <c r="BK72" s="817"/>
      <c r="BL72" s="817"/>
      <c r="BM72" s="712">
        <f>IF(BK72=0,0,(BL72-BK72)/BK72*100)</f>
        <v>0</v>
      </c>
      <c r="BN72" s="817"/>
      <c r="BO72" s="817"/>
      <c r="BP72" s="712">
        <f>IF(BN72=0,0,(BO72-BN72)/BN72*100)</f>
        <v>0</v>
      </c>
      <c r="BQ72" s="817"/>
      <c r="BR72" s="817"/>
      <c r="BS72" s="712">
        <f>IF(BQ72=0,0,(BR72-BQ72)/BQ72*100)</f>
        <v>0</v>
      </c>
      <c r="BT72" s="817"/>
      <c r="BU72" s="817"/>
      <c r="BV72" s="712">
        <f>IF(BT72=0,0,(BU72-BT72)/BT72*100)</f>
        <v>0</v>
      </c>
      <c r="BW72" s="817"/>
      <c r="BX72" s="817"/>
      <c r="BY72" s="712">
        <f>IF(BW72=0,0,(BX72-BW72)/BW72*100)</f>
        <v>0</v>
      </c>
      <c r="BZ72" s="817"/>
      <c r="CA72" s="817"/>
      <c r="CB72" s="712">
        <f>IF(BZ72=0,0,(CA72-BZ72)/BZ72*100)</f>
        <v>0</v>
      </c>
      <c r="CC72" s="817"/>
      <c r="CD72" s="817"/>
      <c r="CE72" s="712">
        <f>IF(CC72=0,0,(CD72-CC72)/CC72*100)</f>
        <v>0</v>
      </c>
      <c r="CF72" s="817"/>
      <c r="CG72" s="817"/>
      <c r="CH72" s="712">
        <f>IF(CF72=0,0,(CG72-CF72)/CF72*100)</f>
        <v>0</v>
      </c>
      <c r="CI72" s="817"/>
      <c r="CJ72" s="817"/>
      <c r="CK72" s="712">
        <f>IF(CI72=0,0,(CJ72-CI72)/CI72*100)</f>
        <v>0</v>
      </c>
      <c r="CL72" s="817"/>
      <c r="CM72" s="817"/>
      <c r="CN72" s="712">
        <f>IF(CL72=0,0,(CM72-CL72)/CL72*100)</f>
        <v>0</v>
      </c>
      <c r="CO72" s="817"/>
      <c r="CP72" s="817"/>
      <c r="CQ72" s="712">
        <f>IF(CO72=0,0,(CP72-CO72)/CO72*100)</f>
        <v>0</v>
      </c>
      <c r="CR72" s="817"/>
      <c r="CS72" s="817"/>
      <c r="CT72" s="712">
        <f>IF(CR72=0,0,(CS72-CR72)/CR72*100)</f>
        <v>0</v>
      </c>
      <c r="CU72" s="817"/>
      <c r="CV72" s="817"/>
      <c r="CW72" s="712">
        <f>IF(CU72=0,0,(CV72-CU72)/CU72*100)</f>
        <v>0</v>
      </c>
      <c r="CX72" s="817"/>
      <c r="CY72" s="817"/>
      <c r="CZ72" s="712">
        <f>IF(CX72=0,0,(CY72-CX72)/CX72*100)</f>
        <v>0</v>
      </c>
      <c r="DA72" s="817"/>
      <c r="DB72" s="817"/>
      <c r="DC72" s="712">
        <f>IF(DA72=0,0,(DB72-DA72)/DA72*100)</f>
        <v>0</v>
      </c>
      <c r="DD72" s="817"/>
      <c r="DE72" s="817"/>
      <c r="DF72" s="712">
        <f>IF(DD72=0,0,(DE72-DD72)/DD72*100)</f>
        <v>0</v>
      </c>
      <c r="DG72" s="817"/>
      <c r="DH72" s="817"/>
      <c r="DI72" s="712">
        <f>IF(DG72=0,0,(DH72-DG72)/DG72*100)</f>
        <v>0</v>
      </c>
      <c r="DJ72" s="817"/>
      <c r="DK72" s="817"/>
      <c r="DL72" s="712">
        <f>IF(DJ72=0,0,(DK72-DJ72)/DJ72*100)</f>
        <v>0</v>
      </c>
      <c r="DM72" s="817"/>
      <c r="DN72" s="817"/>
      <c r="DO72" s="712">
        <f>IF(DM72=0,0,(DN72-DM72)/DM72*100)</f>
        <v>0</v>
      </c>
      <c r="DP72" s="817"/>
      <c r="DQ72" s="817"/>
      <c r="DR72" s="712">
        <f>IF(DP72=0,0,(DQ72-DP72)/DP72*100)</f>
        <v>0</v>
      </c>
      <c r="DS72" s="817"/>
      <c r="DT72" s="817"/>
      <c r="DU72" s="712">
        <f>IF(DS72=0,0,(DT72-DS72)/DS72*100)</f>
        <v>0</v>
      </c>
      <c r="DV72" s="817"/>
      <c r="DW72" s="817"/>
      <c r="DX72" s="712">
        <f>IF(DV72=0,0,(DW72-DV72)/DV72*100)</f>
        <v>0</v>
      </c>
      <c r="DY72" s="817"/>
      <c r="DZ72" s="817"/>
      <c r="EA72" s="712">
        <f>IF(DY72=0,0,(DZ72-DY72)/DY72*100)</f>
        <v>0</v>
      </c>
      <c r="EB72" s="817"/>
      <c r="EC72" s="817"/>
      <c r="ED72" s="712">
        <f>IF(EB72=0,0,(EC72-EB72)/EB72*100)</f>
        <v>0</v>
      </c>
      <c r="EE72" s="817"/>
      <c r="EF72" s="817"/>
      <c r="EG72" s="712">
        <f>IF(EE72=0,0,(EF72-EE72)/EE72*100)</f>
        <v>0</v>
      </c>
      <c r="EH72" s="817"/>
      <c r="EI72" s="817"/>
      <c r="EJ72" s="712">
        <f>IF(EH72=0,0,(EI72-EH72)/EH72*100)</f>
        <v>0</v>
      </c>
      <c r="EK72" s="817"/>
      <c r="EL72" s="817"/>
      <c r="EM72" s="712">
        <f>IF(EK72=0,0,(EL72-EK72)/EK72*100)</f>
        <v>0</v>
      </c>
      <c r="EN72" s="817"/>
      <c r="EO72" s="817"/>
      <c r="EP72" s="712">
        <f>IF(EN72=0,0,(EO72-EN72)/EN72*100)</f>
        <v>0</v>
      </c>
      <c r="EQ72" s="817"/>
      <c r="ER72" s="817"/>
      <c r="ES72" s="712">
        <f>IF(EQ72=0,0,(ER72-EQ72)/EQ72*100)</f>
        <v>0</v>
      </c>
      <c r="ET72" s="817"/>
      <c r="EU72" s="817"/>
      <c r="EV72" s="712">
        <f>IF(ET72=0,0,(EU72-ET72)/ET72*100)</f>
        <v>0</v>
      </c>
      <c r="EW72" s="817"/>
      <c r="EX72" s="817"/>
      <c r="EY72" s="712">
        <f>IF(EW72=0,0,(EX72-EW72)/EW72*100)</f>
        <v>0</v>
      </c>
      <c r="EZ72" s="817"/>
      <c r="FA72" s="817"/>
      <c r="FB72" s="712">
        <f>IF(EZ72=0,0,(FA72-EZ72)/EZ72*100)</f>
        <v>0</v>
      </c>
      <c r="FC72" s="817"/>
      <c r="FD72" s="817"/>
      <c r="FE72" s="712">
        <f>IF(FC72=0,0,(FD72-FC72)/FC72*100)</f>
        <v>0</v>
      </c>
      <c r="FF72" s="817"/>
      <c r="FG72" s="817"/>
      <c r="FH72" s="712">
        <f>IF(FF72=0,0,(FG72-FF72)/FF72*100)</f>
        <v>0</v>
      </c>
      <c r="FI72" s="817"/>
      <c r="FJ72" s="817"/>
      <c r="FK72" s="712">
        <f>IF(FI72=0,0,(FJ72-FI72)/FI72*100)</f>
        <v>0</v>
      </c>
      <c r="FL72" s="817"/>
      <c r="FM72" s="817"/>
      <c r="FN72" s="712">
        <f>IF(FL72=0,0,(FM72-FL72)/FL72*100)</f>
        <v>0</v>
      </c>
      <c r="FO72" s="817"/>
      <c r="FP72" s="817"/>
      <c r="FQ72" s="712">
        <f>IF(FO72=0,0,(FP72-FO72)/FO72*100)</f>
        <v>0</v>
      </c>
      <c r="FR72" s="817"/>
      <c r="FS72" s="817"/>
      <c r="FT72" s="712">
        <f>IF(FR72=0,0,(FS72-FR72)/FR72*100)</f>
        <v>0</v>
      </c>
      <c r="FU72" s="817"/>
      <c r="FV72" s="817"/>
      <c r="FW72" s="712">
        <f>IF(FU72=0,0,(FV72-FU72)/FU72*100)</f>
        <v>0</v>
      </c>
      <c r="FZ72" s="689" t="s">
        <v>1715</v>
      </c>
      <c r="GA72" s="669" t="s">
        <v>899</v>
      </c>
      <c r="GB72" s="669" cm="1">
        <f t="array" ref="GB72">GB71</f>
        <v>0</v>
      </c>
    </row>
    <row r="73" spans="1:186" ht="14.65" hidden="1" customHeight="1">
      <c r="A73" s="59"/>
      <c r="B73" s="611" t="b" cm="1">
        <f t="array" ref="B73">B72</f>
        <v>0</v>
      </c>
      <c r="C73" s="59"/>
      <c r="D73" s="59"/>
      <c r="E73" s="460">
        <v>15</v>
      </c>
      <c r="F73" s="3" cm="1">
        <f t="array" aca="1" ref="F73" ca="1">OFFSET(E73,-1,1)</f>
        <v>0</v>
      </c>
      <c r="G73" s="59"/>
      <c r="H73" s="59" t="s">
        <v>1684</v>
      </c>
      <c r="I73" s="59" cm="1">
        <f t="array" ref="I73">I72</f>
        <v>0</v>
      </c>
      <c r="J73" s="59"/>
      <c r="K73" s="59"/>
      <c r="L73" s="59"/>
      <c r="M73" s="59"/>
      <c r="N73" s="59"/>
      <c r="O73" s="59"/>
      <c r="P73" s="59"/>
      <c r="Q73" s="59"/>
      <c r="R73" s="59"/>
      <c r="S73" s="59"/>
      <c r="T73" s="351" t="b" cm="1">
        <f t="array" aca="1" ref="T73" ca="1">T72</f>
        <v>0</v>
      </c>
      <c r="U73" s="59"/>
      <c r="V73" s="59"/>
      <c r="W73" s="59"/>
      <c r="X73" s="1046"/>
      <c r="Y73" s="1046"/>
      <c r="Z73" s="1007"/>
      <c r="AA73" s="995"/>
      <c r="AB73" s="105" t="str">
        <f>"объём "&amp;IF(Q29="Водоснабжение","потребления холодной воды","водоотведения")</f>
        <v>объём водоотведения</v>
      </c>
      <c r="AC73" s="12" t="s">
        <v>585</v>
      </c>
      <c r="AD73" s="833"/>
      <c r="AE73" s="833"/>
      <c r="AF73" s="713">
        <f>IF(AD73=0,0,(AE73-AD73)/AD73*100)</f>
        <v>0</v>
      </c>
      <c r="AG73" s="190"/>
      <c r="AH73" s="190"/>
      <c r="AI73" s="713">
        <f>IF(AG73=0,0,(AH73-AG73)/AG73*100)</f>
        <v>0</v>
      </c>
      <c r="AJ73" s="190"/>
      <c r="AK73" s="190"/>
      <c r="AL73" s="713">
        <f>IF(AJ73=0,0,(AK73-AJ73)/AJ73*100)</f>
        <v>0</v>
      </c>
      <c r="AM73" s="833"/>
      <c r="AN73" s="833"/>
      <c r="AO73" s="713">
        <f>IF(AM73=0,0,(AN73-AM73)/AM73*100)</f>
        <v>0</v>
      </c>
      <c r="AP73" s="833"/>
      <c r="AQ73" s="833"/>
      <c r="AR73" s="713">
        <f>IF(AP73=0,0,(AQ73-AP73)/AP73*100)</f>
        <v>0</v>
      </c>
      <c r="AS73" s="833"/>
      <c r="AT73" s="833"/>
      <c r="AU73" s="713">
        <f>IF(AS73=0,0,(AT73-AS73)/AS73*100)</f>
        <v>0</v>
      </c>
      <c r="AV73" s="833"/>
      <c r="AW73" s="833"/>
      <c r="AX73" s="713">
        <f>IF(AV73=0,0,(AW73-AV73)/AV73*100)</f>
        <v>0</v>
      </c>
      <c r="AY73" s="833"/>
      <c r="AZ73" s="833"/>
      <c r="BA73" s="713">
        <f>IF(AY73=0,0,(AZ73-AY73)/AY73*100)</f>
        <v>0</v>
      </c>
      <c r="BB73" s="833"/>
      <c r="BC73" s="833"/>
      <c r="BD73" s="713">
        <f>IF(BB73=0,0,(BC73-BB73)/BB73*100)</f>
        <v>0</v>
      </c>
      <c r="BE73" s="833"/>
      <c r="BF73" s="833"/>
      <c r="BG73" s="713">
        <f>IF(BE73=0,0,(BF73-BE73)/BE73*100)</f>
        <v>0</v>
      </c>
      <c r="BH73" s="833"/>
      <c r="BI73" s="833"/>
      <c r="BJ73" s="713">
        <f>IF(BH73=0,0,(BI73-BH73)/BH73*100)</f>
        <v>0</v>
      </c>
      <c r="BK73" s="833"/>
      <c r="BL73" s="833"/>
      <c r="BM73" s="713">
        <f>IF(BK73=0,0,(BL73-BK73)/BK73*100)</f>
        <v>0</v>
      </c>
      <c r="BN73" s="833"/>
      <c r="BO73" s="833"/>
      <c r="BP73" s="713">
        <f>IF(BN73=0,0,(BO73-BN73)/BN73*100)</f>
        <v>0</v>
      </c>
      <c r="BQ73" s="833"/>
      <c r="BR73" s="833"/>
      <c r="BS73" s="713">
        <f>IF(BQ73=0,0,(BR73-BQ73)/BQ73*100)</f>
        <v>0</v>
      </c>
      <c r="BT73" s="833"/>
      <c r="BU73" s="833"/>
      <c r="BV73" s="713">
        <f>IF(BT73=0,0,(BU73-BT73)/BT73*100)</f>
        <v>0</v>
      </c>
      <c r="BW73" s="833"/>
      <c r="BX73" s="833"/>
      <c r="BY73" s="713">
        <f>IF(BW73=0,0,(BX73-BW73)/BW73*100)</f>
        <v>0</v>
      </c>
      <c r="BZ73" s="833"/>
      <c r="CA73" s="833"/>
      <c r="CB73" s="713">
        <f>IF(BZ73=0,0,(CA73-BZ73)/BZ73*100)</f>
        <v>0</v>
      </c>
      <c r="CC73" s="833"/>
      <c r="CD73" s="833"/>
      <c r="CE73" s="713">
        <f>IF(CC73=0,0,(CD73-CC73)/CC73*100)</f>
        <v>0</v>
      </c>
      <c r="CF73" s="833"/>
      <c r="CG73" s="833"/>
      <c r="CH73" s="713">
        <f>IF(CF73=0,0,(CG73-CF73)/CF73*100)</f>
        <v>0</v>
      </c>
      <c r="CI73" s="833"/>
      <c r="CJ73" s="833"/>
      <c r="CK73" s="713">
        <f>IF(CI73=0,0,(CJ73-CI73)/CI73*100)</f>
        <v>0</v>
      </c>
      <c r="CL73" s="833"/>
      <c r="CM73" s="833"/>
      <c r="CN73" s="713">
        <f>IF(CL73=0,0,(CM73-CL73)/CL73*100)</f>
        <v>0</v>
      </c>
      <c r="CO73" s="833"/>
      <c r="CP73" s="833"/>
      <c r="CQ73" s="713">
        <f>IF(CO73=0,0,(CP73-CO73)/CO73*100)</f>
        <v>0</v>
      </c>
      <c r="CR73" s="833"/>
      <c r="CS73" s="833"/>
      <c r="CT73" s="713">
        <f>IF(CR73=0,0,(CS73-CR73)/CR73*100)</f>
        <v>0</v>
      </c>
      <c r="CU73" s="833"/>
      <c r="CV73" s="833"/>
      <c r="CW73" s="713">
        <f>IF(CU73=0,0,(CV73-CU73)/CU73*100)</f>
        <v>0</v>
      </c>
      <c r="CX73" s="833"/>
      <c r="CY73" s="833"/>
      <c r="CZ73" s="713">
        <f>IF(CX73=0,0,(CY73-CX73)/CX73*100)</f>
        <v>0</v>
      </c>
      <c r="DA73" s="833"/>
      <c r="DB73" s="833"/>
      <c r="DC73" s="713">
        <f>IF(DA73=0,0,(DB73-DA73)/DA73*100)</f>
        <v>0</v>
      </c>
      <c r="DD73" s="833"/>
      <c r="DE73" s="833"/>
      <c r="DF73" s="713">
        <f>IF(DD73=0,0,(DE73-DD73)/DD73*100)</f>
        <v>0</v>
      </c>
      <c r="DG73" s="833"/>
      <c r="DH73" s="833"/>
      <c r="DI73" s="713">
        <f>IF(DG73=0,0,(DH73-DG73)/DG73*100)</f>
        <v>0</v>
      </c>
      <c r="DJ73" s="833"/>
      <c r="DK73" s="833"/>
      <c r="DL73" s="713">
        <f>IF(DJ73=0,0,(DK73-DJ73)/DJ73*100)</f>
        <v>0</v>
      </c>
      <c r="DM73" s="833"/>
      <c r="DN73" s="833"/>
      <c r="DO73" s="713">
        <f>IF(DM73=0,0,(DN73-DM73)/DM73*100)</f>
        <v>0</v>
      </c>
      <c r="DP73" s="833"/>
      <c r="DQ73" s="833"/>
      <c r="DR73" s="713">
        <f>IF(DP73=0,0,(DQ73-DP73)/DP73*100)</f>
        <v>0</v>
      </c>
      <c r="DS73" s="833"/>
      <c r="DT73" s="833"/>
      <c r="DU73" s="713">
        <f>IF(DS73=0,0,(DT73-DS73)/DS73*100)</f>
        <v>0</v>
      </c>
      <c r="DV73" s="833"/>
      <c r="DW73" s="833"/>
      <c r="DX73" s="713">
        <f>IF(DV73=0,0,(DW73-DV73)/DV73*100)</f>
        <v>0</v>
      </c>
      <c r="DY73" s="833"/>
      <c r="DZ73" s="833"/>
      <c r="EA73" s="713">
        <f>IF(DY73=0,0,(DZ73-DY73)/DY73*100)</f>
        <v>0</v>
      </c>
      <c r="EB73" s="833"/>
      <c r="EC73" s="833"/>
      <c r="ED73" s="713">
        <f>IF(EB73=0,0,(EC73-EB73)/EB73*100)</f>
        <v>0</v>
      </c>
      <c r="EE73" s="833"/>
      <c r="EF73" s="833"/>
      <c r="EG73" s="713">
        <f>IF(EE73=0,0,(EF73-EE73)/EE73*100)</f>
        <v>0</v>
      </c>
      <c r="EH73" s="833"/>
      <c r="EI73" s="833"/>
      <c r="EJ73" s="713">
        <f>IF(EH73=0,0,(EI73-EH73)/EH73*100)</f>
        <v>0</v>
      </c>
      <c r="EK73" s="833"/>
      <c r="EL73" s="833"/>
      <c r="EM73" s="713">
        <f>IF(EK73=0,0,(EL73-EK73)/EK73*100)</f>
        <v>0</v>
      </c>
      <c r="EN73" s="833"/>
      <c r="EO73" s="833"/>
      <c r="EP73" s="713">
        <f>IF(EN73=0,0,(EO73-EN73)/EN73*100)</f>
        <v>0</v>
      </c>
      <c r="EQ73" s="833"/>
      <c r="ER73" s="833"/>
      <c r="ES73" s="713">
        <f>IF(EQ73=0,0,(ER73-EQ73)/EQ73*100)</f>
        <v>0</v>
      </c>
      <c r="ET73" s="833"/>
      <c r="EU73" s="833"/>
      <c r="EV73" s="713">
        <f>IF(ET73=0,0,(EU73-ET73)/ET73*100)</f>
        <v>0</v>
      </c>
      <c r="EW73" s="833"/>
      <c r="EX73" s="833"/>
      <c r="EY73" s="713">
        <f>IF(EW73=0,0,(EX73-EW73)/EW73*100)</f>
        <v>0</v>
      </c>
      <c r="EZ73" s="833"/>
      <c r="FA73" s="833"/>
      <c r="FB73" s="713">
        <f>IF(EZ73=0,0,(FA73-EZ73)/EZ73*100)</f>
        <v>0</v>
      </c>
      <c r="FC73" s="833"/>
      <c r="FD73" s="833"/>
      <c r="FE73" s="713">
        <f>IF(FC73=0,0,(FD73-FC73)/FC73*100)</f>
        <v>0</v>
      </c>
      <c r="FF73" s="833"/>
      <c r="FG73" s="833"/>
      <c r="FH73" s="713">
        <f>IF(FF73=0,0,(FG73-FF73)/FF73*100)</f>
        <v>0</v>
      </c>
      <c r="FI73" s="833"/>
      <c r="FJ73" s="833"/>
      <c r="FK73" s="713">
        <f>IF(FI73=0,0,(FJ73-FI73)/FI73*100)</f>
        <v>0</v>
      </c>
      <c r="FL73" s="833"/>
      <c r="FM73" s="833"/>
      <c r="FN73" s="713">
        <f>IF(FL73=0,0,(FM73-FL73)/FL73*100)</f>
        <v>0</v>
      </c>
      <c r="FO73" s="833"/>
      <c r="FP73" s="833"/>
      <c r="FQ73" s="713">
        <f>IF(FO73=0,0,(FP73-FO73)/FO73*100)</f>
        <v>0</v>
      </c>
      <c r="FR73" s="833"/>
      <c r="FS73" s="833"/>
      <c r="FT73" s="713">
        <f>IF(FR73=0,0,(FS73-FR73)/FR73*100)</f>
        <v>0</v>
      </c>
      <c r="FU73" s="833"/>
      <c r="FV73" s="833"/>
      <c r="FW73" s="713">
        <f>IF(FU73=0,0,(FV73-FU73)/FU73*100)</f>
        <v>0</v>
      </c>
      <c r="FZ73" s="689" t="s">
        <v>1716</v>
      </c>
      <c r="GA73" s="669" t="s">
        <v>899</v>
      </c>
      <c r="GB73" s="669" cm="1">
        <f t="array" ref="GB73">GB72</f>
        <v>0</v>
      </c>
    </row>
    <row r="74" spans="1:186" ht="21.95" hidden="1" customHeight="1">
      <c r="A74" s="59"/>
      <c r="B74" s="611" t="b" cm="1">
        <f t="array" ref="B74">B73</f>
        <v>0</v>
      </c>
      <c r="C74" s="59"/>
      <c r="D74" s="59"/>
      <c r="E74" s="460">
        <v>22.5</v>
      </c>
      <c r="F74" s="3" cm="1">
        <f t="array" aca="1" ref="F74" ca="1">OFFSET(E74,-1,1)</f>
        <v>0</v>
      </c>
      <c r="G74" s="59"/>
      <c r="H74" s="59" t="s">
        <v>1686</v>
      </c>
      <c r="I74" s="59" cm="1">
        <f t="array" ref="I74">I73</f>
        <v>0</v>
      </c>
      <c r="J74" s="59"/>
      <c r="K74" s="59"/>
      <c r="L74" s="59"/>
      <c r="M74" s="59"/>
      <c r="N74" s="59"/>
      <c r="O74" s="59"/>
      <c r="P74" s="59"/>
      <c r="Q74" s="59"/>
      <c r="R74" s="59"/>
      <c r="S74" s="59"/>
      <c r="T74" s="351" t="b" cm="1">
        <f t="array" aca="1" ref="T74" ca="1">T73</f>
        <v>0</v>
      </c>
      <c r="U74" s="59"/>
      <c r="V74" s="59"/>
      <c r="W74" s="59"/>
      <c r="X74" s="1046"/>
      <c r="Y74" s="1046"/>
      <c r="Z74" s="1007"/>
      <c r="AA74" s="995"/>
      <c r="AB74"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1687</v>
      </c>
      <c r="AD74" s="817"/>
      <c r="AE74" s="817"/>
      <c r="AF74" s="712">
        <f>IF(AD74=0,0,(AE74-AD74)/AD74*100)</f>
        <v>0</v>
      </c>
      <c r="AG74" s="57"/>
      <c r="AH74" s="57"/>
      <c r="AI74" s="712">
        <f>IF(AG74=0,0,(AH74-AG74)/AG74*100)</f>
        <v>0</v>
      </c>
      <c r="AJ74" s="57"/>
      <c r="AK74" s="57"/>
      <c r="AL74" s="712">
        <f>IF(AJ74=0,0,(AK74-AJ74)/AJ74*100)</f>
        <v>0</v>
      </c>
      <c r="AM74" s="817"/>
      <c r="AN74" s="817"/>
      <c r="AO74" s="712">
        <f>IF(AM74=0,0,(AN74-AM74)/AM74*100)</f>
        <v>0</v>
      </c>
      <c r="AP74" s="817"/>
      <c r="AQ74" s="817"/>
      <c r="AR74" s="712">
        <f>IF(AP74=0,0,(AQ74-AP74)/AP74*100)</f>
        <v>0</v>
      </c>
      <c r="AS74" s="817"/>
      <c r="AT74" s="817"/>
      <c r="AU74" s="712">
        <f>IF(AS74=0,0,(AT74-AS74)/AS74*100)</f>
        <v>0</v>
      </c>
      <c r="AV74" s="817"/>
      <c r="AW74" s="817"/>
      <c r="AX74" s="712">
        <f>IF(AV74=0,0,(AW74-AV74)/AV74*100)</f>
        <v>0</v>
      </c>
      <c r="AY74" s="817"/>
      <c r="AZ74" s="817"/>
      <c r="BA74" s="712">
        <f>IF(AY74=0,0,(AZ74-AY74)/AY74*100)</f>
        <v>0</v>
      </c>
      <c r="BB74" s="817"/>
      <c r="BC74" s="817"/>
      <c r="BD74" s="712">
        <f>IF(BB74=0,0,(BC74-BB74)/BB74*100)</f>
        <v>0</v>
      </c>
      <c r="BE74" s="817"/>
      <c r="BF74" s="817"/>
      <c r="BG74" s="712">
        <f>IF(BE74=0,0,(BF74-BE74)/BE74*100)</f>
        <v>0</v>
      </c>
      <c r="BH74" s="817"/>
      <c r="BI74" s="817"/>
      <c r="BJ74" s="712">
        <f>IF(BH74=0,0,(BI74-BH74)/BH74*100)</f>
        <v>0</v>
      </c>
      <c r="BK74" s="817"/>
      <c r="BL74" s="817"/>
      <c r="BM74" s="712">
        <f>IF(BK74=0,0,(BL74-BK74)/BK74*100)</f>
        <v>0</v>
      </c>
      <c r="BN74" s="817"/>
      <c r="BO74" s="817"/>
      <c r="BP74" s="712">
        <f>IF(BN74=0,0,(BO74-BN74)/BN74*100)</f>
        <v>0</v>
      </c>
      <c r="BQ74" s="817"/>
      <c r="BR74" s="817"/>
      <c r="BS74" s="712">
        <f>IF(BQ74=0,0,(BR74-BQ74)/BQ74*100)</f>
        <v>0</v>
      </c>
      <c r="BT74" s="817"/>
      <c r="BU74" s="817"/>
      <c r="BV74" s="712">
        <f>IF(BT74=0,0,(BU74-BT74)/BT74*100)</f>
        <v>0</v>
      </c>
      <c r="BW74" s="817"/>
      <c r="BX74" s="817"/>
      <c r="BY74" s="712">
        <f>IF(BW74=0,0,(BX74-BW74)/BW74*100)</f>
        <v>0</v>
      </c>
      <c r="BZ74" s="817"/>
      <c r="CA74" s="817"/>
      <c r="CB74" s="712">
        <f>IF(BZ74=0,0,(CA74-BZ74)/BZ74*100)</f>
        <v>0</v>
      </c>
      <c r="CC74" s="817"/>
      <c r="CD74" s="817"/>
      <c r="CE74" s="712">
        <f>IF(CC74=0,0,(CD74-CC74)/CC74*100)</f>
        <v>0</v>
      </c>
      <c r="CF74" s="817"/>
      <c r="CG74" s="817"/>
      <c r="CH74" s="712">
        <f>IF(CF74=0,0,(CG74-CF74)/CF74*100)</f>
        <v>0</v>
      </c>
      <c r="CI74" s="817"/>
      <c r="CJ74" s="817"/>
      <c r="CK74" s="712">
        <f>IF(CI74=0,0,(CJ74-CI74)/CI74*100)</f>
        <v>0</v>
      </c>
      <c r="CL74" s="817"/>
      <c r="CM74" s="817"/>
      <c r="CN74" s="712">
        <f>IF(CL74=0,0,(CM74-CL74)/CL74*100)</f>
        <v>0</v>
      </c>
      <c r="CO74" s="817"/>
      <c r="CP74" s="817"/>
      <c r="CQ74" s="712">
        <f>IF(CO74=0,0,(CP74-CO74)/CO74*100)</f>
        <v>0</v>
      </c>
      <c r="CR74" s="817"/>
      <c r="CS74" s="817"/>
      <c r="CT74" s="712">
        <f>IF(CR74=0,0,(CS74-CR74)/CR74*100)</f>
        <v>0</v>
      </c>
      <c r="CU74" s="817"/>
      <c r="CV74" s="817"/>
      <c r="CW74" s="712">
        <f>IF(CU74=0,0,(CV74-CU74)/CU74*100)</f>
        <v>0</v>
      </c>
      <c r="CX74" s="817"/>
      <c r="CY74" s="817"/>
      <c r="CZ74" s="712">
        <f>IF(CX74=0,0,(CY74-CX74)/CX74*100)</f>
        <v>0</v>
      </c>
      <c r="DA74" s="817"/>
      <c r="DB74" s="817"/>
      <c r="DC74" s="712">
        <f>IF(DA74=0,0,(DB74-DA74)/DA74*100)</f>
        <v>0</v>
      </c>
      <c r="DD74" s="817"/>
      <c r="DE74" s="817"/>
      <c r="DF74" s="712">
        <f>IF(DD74=0,0,(DE74-DD74)/DD74*100)</f>
        <v>0</v>
      </c>
      <c r="DG74" s="817"/>
      <c r="DH74" s="817"/>
      <c r="DI74" s="712">
        <f>IF(DG74=0,0,(DH74-DG74)/DG74*100)</f>
        <v>0</v>
      </c>
      <c r="DJ74" s="817"/>
      <c r="DK74" s="817"/>
      <c r="DL74" s="712">
        <f>IF(DJ74=0,0,(DK74-DJ74)/DJ74*100)</f>
        <v>0</v>
      </c>
      <c r="DM74" s="817"/>
      <c r="DN74" s="817"/>
      <c r="DO74" s="712">
        <f>IF(DM74=0,0,(DN74-DM74)/DM74*100)</f>
        <v>0</v>
      </c>
      <c r="DP74" s="817"/>
      <c r="DQ74" s="817"/>
      <c r="DR74" s="712">
        <f>IF(DP74=0,0,(DQ74-DP74)/DP74*100)</f>
        <v>0</v>
      </c>
      <c r="DS74" s="817"/>
      <c r="DT74" s="817"/>
      <c r="DU74" s="712">
        <f>IF(DS74=0,0,(DT74-DS74)/DS74*100)</f>
        <v>0</v>
      </c>
      <c r="DV74" s="817"/>
      <c r="DW74" s="817"/>
      <c r="DX74" s="712">
        <f>IF(DV74=0,0,(DW74-DV74)/DV74*100)</f>
        <v>0</v>
      </c>
      <c r="DY74" s="817"/>
      <c r="DZ74" s="817"/>
      <c r="EA74" s="712">
        <f>IF(DY74=0,0,(DZ74-DY74)/DY74*100)</f>
        <v>0</v>
      </c>
      <c r="EB74" s="817"/>
      <c r="EC74" s="817"/>
      <c r="ED74" s="712">
        <f>IF(EB74=0,0,(EC74-EB74)/EB74*100)</f>
        <v>0</v>
      </c>
      <c r="EE74" s="817"/>
      <c r="EF74" s="817"/>
      <c r="EG74" s="712">
        <f>IF(EE74=0,0,(EF74-EE74)/EE74*100)</f>
        <v>0</v>
      </c>
      <c r="EH74" s="817"/>
      <c r="EI74" s="817"/>
      <c r="EJ74" s="712">
        <f>IF(EH74=0,0,(EI74-EH74)/EH74*100)</f>
        <v>0</v>
      </c>
      <c r="EK74" s="817"/>
      <c r="EL74" s="817"/>
      <c r="EM74" s="712">
        <f>IF(EK74=0,0,(EL74-EK74)/EK74*100)</f>
        <v>0</v>
      </c>
      <c r="EN74" s="817"/>
      <c r="EO74" s="817"/>
      <c r="EP74" s="712">
        <f>IF(EN74=0,0,(EO74-EN74)/EN74*100)</f>
        <v>0</v>
      </c>
      <c r="EQ74" s="817"/>
      <c r="ER74" s="817"/>
      <c r="ES74" s="712">
        <f>IF(EQ74=0,0,(ER74-EQ74)/EQ74*100)</f>
        <v>0</v>
      </c>
      <c r="ET74" s="817"/>
      <c r="EU74" s="817"/>
      <c r="EV74" s="712">
        <f>IF(ET74=0,0,(EU74-ET74)/ET74*100)</f>
        <v>0</v>
      </c>
      <c r="EW74" s="817"/>
      <c r="EX74" s="817"/>
      <c r="EY74" s="712">
        <f>IF(EW74=0,0,(EX74-EW74)/EW74*100)</f>
        <v>0</v>
      </c>
      <c r="EZ74" s="817"/>
      <c r="FA74" s="817"/>
      <c r="FB74" s="712">
        <f>IF(EZ74=0,0,(FA74-EZ74)/EZ74*100)</f>
        <v>0</v>
      </c>
      <c r="FC74" s="817"/>
      <c r="FD74" s="817"/>
      <c r="FE74" s="712">
        <f>IF(FC74=0,0,(FD74-FC74)/FC74*100)</f>
        <v>0</v>
      </c>
      <c r="FF74" s="817"/>
      <c r="FG74" s="817"/>
      <c r="FH74" s="712">
        <f>IF(FF74=0,0,(FG74-FF74)/FF74*100)</f>
        <v>0</v>
      </c>
      <c r="FI74" s="817"/>
      <c r="FJ74" s="817"/>
      <c r="FK74" s="712">
        <f>IF(FI74=0,0,(FJ74-FI74)/FI74*100)</f>
        <v>0</v>
      </c>
      <c r="FL74" s="817"/>
      <c r="FM74" s="817"/>
      <c r="FN74" s="712">
        <f>IF(FL74=0,0,(FM74-FL74)/FL74*100)</f>
        <v>0</v>
      </c>
      <c r="FO74" s="817"/>
      <c r="FP74" s="817"/>
      <c r="FQ74" s="712">
        <f>IF(FO74=0,0,(FP74-FO74)/FO74*100)</f>
        <v>0</v>
      </c>
      <c r="FR74" s="817"/>
      <c r="FS74" s="817"/>
      <c r="FT74" s="712">
        <f>IF(FR74=0,0,(FS74-FR74)/FR74*100)</f>
        <v>0</v>
      </c>
      <c r="FU74" s="817"/>
      <c r="FV74" s="817"/>
      <c r="FW74" s="712">
        <f>IF(FU74=0,0,(FV74-FU74)/FU74*100)</f>
        <v>0</v>
      </c>
      <c r="FZ74" s="689" t="s">
        <v>1717</v>
      </c>
      <c r="GA74" s="669" t="s">
        <v>899</v>
      </c>
      <c r="GB74" s="669" cm="1">
        <f t="array" ref="GB74">GB73</f>
        <v>0</v>
      </c>
    </row>
    <row r="75" spans="1:186" ht="14.65" hidden="1" customHeight="1">
      <c r="A75" s="59"/>
      <c r="B75" s="611" t="b" cm="1">
        <f t="array" ref="B75">B74</f>
        <v>0</v>
      </c>
      <c r="C75" s="59"/>
      <c r="D75" s="59"/>
      <c r="E75" s="460">
        <v>15</v>
      </c>
      <c r="F75" s="3" cm="1">
        <f t="array" aca="1" ref="F75" ca="1">OFFSET(E75,-1,1)</f>
        <v>0</v>
      </c>
      <c r="G75" s="59"/>
      <c r="H75" s="59" t="s">
        <v>1689</v>
      </c>
      <c r="I75" s="59" cm="1">
        <f t="array" ref="I75">I74</f>
        <v>0</v>
      </c>
      <c r="J75" s="59"/>
      <c r="K75" s="59"/>
      <c r="L75" s="59"/>
      <c r="M75" s="59"/>
      <c r="N75" s="59"/>
      <c r="O75" s="59"/>
      <c r="P75" s="59"/>
      <c r="Q75" s="59"/>
      <c r="R75" s="59"/>
      <c r="S75" s="59"/>
      <c r="T75" s="351" t="b" cm="1">
        <f t="array" aca="1" ref="T75" ca="1">T74</f>
        <v>0</v>
      </c>
      <c r="U75" s="59"/>
      <c r="V75" s="59"/>
      <c r="W75" s="59"/>
      <c r="X75" s="1046"/>
      <c r="Y75" s="1046"/>
      <c r="Z75" s="1007"/>
      <c r="AA75" s="995"/>
      <c r="AB75" s="105" t="s">
        <v>1690</v>
      </c>
      <c r="AC75" s="12" t="s">
        <v>1691</v>
      </c>
      <c r="AD75" s="817"/>
      <c r="AE75" s="817"/>
      <c r="AF75" s="712">
        <f>IF(AD75=0,0,(AE75-AD75)/AD75*100)</f>
        <v>0</v>
      </c>
      <c r="AG75" s="57"/>
      <c r="AH75" s="57"/>
      <c r="AI75" s="712">
        <f>IF(AG75=0,0,(AH75-AG75)/AG75*100)</f>
        <v>0</v>
      </c>
      <c r="AJ75" s="57"/>
      <c r="AK75" s="57"/>
      <c r="AL75" s="712">
        <f>IF(AJ75=0,0,(AK75-AJ75)/AJ75*100)</f>
        <v>0</v>
      </c>
      <c r="AM75" s="817"/>
      <c r="AN75" s="817"/>
      <c r="AO75" s="712">
        <f>IF(AM75=0,0,(AN75-AM75)/AM75*100)</f>
        <v>0</v>
      </c>
      <c r="AP75" s="817"/>
      <c r="AQ75" s="817"/>
      <c r="AR75" s="712">
        <f>IF(AP75=0,0,(AQ75-AP75)/AP75*100)</f>
        <v>0</v>
      </c>
      <c r="AS75" s="817"/>
      <c r="AT75" s="817"/>
      <c r="AU75" s="712">
        <f>IF(AS75=0,0,(AT75-AS75)/AS75*100)</f>
        <v>0</v>
      </c>
      <c r="AV75" s="817"/>
      <c r="AW75" s="817"/>
      <c r="AX75" s="712">
        <f>IF(AV75=0,0,(AW75-AV75)/AV75*100)</f>
        <v>0</v>
      </c>
      <c r="AY75" s="817"/>
      <c r="AZ75" s="817"/>
      <c r="BA75" s="712">
        <f>IF(AY75=0,0,(AZ75-AY75)/AY75*100)</f>
        <v>0</v>
      </c>
      <c r="BB75" s="817"/>
      <c r="BC75" s="817"/>
      <c r="BD75" s="712">
        <f>IF(BB75=0,0,(BC75-BB75)/BB75*100)</f>
        <v>0</v>
      </c>
      <c r="BE75" s="817"/>
      <c r="BF75" s="817"/>
      <c r="BG75" s="712">
        <f>IF(BE75=0,0,(BF75-BE75)/BE75*100)</f>
        <v>0</v>
      </c>
      <c r="BH75" s="817"/>
      <c r="BI75" s="817"/>
      <c r="BJ75" s="712">
        <f>IF(BH75=0,0,(BI75-BH75)/BH75*100)</f>
        <v>0</v>
      </c>
      <c r="BK75" s="817"/>
      <c r="BL75" s="817"/>
      <c r="BM75" s="712">
        <f>IF(BK75=0,0,(BL75-BK75)/BK75*100)</f>
        <v>0</v>
      </c>
      <c r="BN75" s="817"/>
      <c r="BO75" s="817"/>
      <c r="BP75" s="712">
        <f>IF(BN75=0,0,(BO75-BN75)/BN75*100)</f>
        <v>0</v>
      </c>
      <c r="BQ75" s="817"/>
      <c r="BR75" s="817"/>
      <c r="BS75" s="712">
        <f>IF(BQ75=0,0,(BR75-BQ75)/BQ75*100)</f>
        <v>0</v>
      </c>
      <c r="BT75" s="817"/>
      <c r="BU75" s="817"/>
      <c r="BV75" s="712">
        <f>IF(BT75=0,0,(BU75-BT75)/BT75*100)</f>
        <v>0</v>
      </c>
      <c r="BW75" s="817"/>
      <c r="BX75" s="817"/>
      <c r="BY75" s="712">
        <f>IF(BW75=0,0,(BX75-BW75)/BW75*100)</f>
        <v>0</v>
      </c>
      <c r="BZ75" s="817"/>
      <c r="CA75" s="817"/>
      <c r="CB75" s="712">
        <f>IF(BZ75=0,0,(CA75-BZ75)/BZ75*100)</f>
        <v>0</v>
      </c>
      <c r="CC75" s="817"/>
      <c r="CD75" s="817"/>
      <c r="CE75" s="712">
        <f>IF(CC75=0,0,(CD75-CC75)/CC75*100)</f>
        <v>0</v>
      </c>
      <c r="CF75" s="817"/>
      <c r="CG75" s="817"/>
      <c r="CH75" s="712">
        <f>IF(CF75=0,0,(CG75-CF75)/CF75*100)</f>
        <v>0</v>
      </c>
      <c r="CI75" s="817"/>
      <c r="CJ75" s="817"/>
      <c r="CK75" s="712">
        <f>IF(CI75=0,0,(CJ75-CI75)/CI75*100)</f>
        <v>0</v>
      </c>
      <c r="CL75" s="817"/>
      <c r="CM75" s="817"/>
      <c r="CN75" s="712">
        <f>IF(CL75=0,0,(CM75-CL75)/CL75*100)</f>
        <v>0</v>
      </c>
      <c r="CO75" s="817"/>
      <c r="CP75" s="817"/>
      <c r="CQ75" s="712">
        <f>IF(CO75=0,0,(CP75-CO75)/CO75*100)</f>
        <v>0</v>
      </c>
      <c r="CR75" s="817"/>
      <c r="CS75" s="817"/>
      <c r="CT75" s="712">
        <f>IF(CR75=0,0,(CS75-CR75)/CR75*100)</f>
        <v>0</v>
      </c>
      <c r="CU75" s="817"/>
      <c r="CV75" s="817"/>
      <c r="CW75" s="712">
        <f>IF(CU75=0,0,(CV75-CU75)/CU75*100)</f>
        <v>0</v>
      </c>
      <c r="CX75" s="817"/>
      <c r="CY75" s="817"/>
      <c r="CZ75" s="712">
        <f>IF(CX75=0,0,(CY75-CX75)/CX75*100)</f>
        <v>0</v>
      </c>
      <c r="DA75" s="817"/>
      <c r="DB75" s="817"/>
      <c r="DC75" s="712">
        <f>IF(DA75=0,0,(DB75-DA75)/DA75*100)</f>
        <v>0</v>
      </c>
      <c r="DD75" s="817"/>
      <c r="DE75" s="817"/>
      <c r="DF75" s="712">
        <f>IF(DD75=0,0,(DE75-DD75)/DD75*100)</f>
        <v>0</v>
      </c>
      <c r="DG75" s="817"/>
      <c r="DH75" s="817"/>
      <c r="DI75" s="712">
        <f>IF(DG75=0,0,(DH75-DG75)/DG75*100)</f>
        <v>0</v>
      </c>
      <c r="DJ75" s="817"/>
      <c r="DK75" s="817"/>
      <c r="DL75" s="712">
        <f>IF(DJ75=0,0,(DK75-DJ75)/DJ75*100)</f>
        <v>0</v>
      </c>
      <c r="DM75" s="817"/>
      <c r="DN75" s="817"/>
      <c r="DO75" s="712">
        <f>IF(DM75=0,0,(DN75-DM75)/DM75*100)</f>
        <v>0</v>
      </c>
      <c r="DP75" s="817"/>
      <c r="DQ75" s="817"/>
      <c r="DR75" s="712">
        <f>IF(DP75=0,0,(DQ75-DP75)/DP75*100)</f>
        <v>0</v>
      </c>
      <c r="DS75" s="817"/>
      <c r="DT75" s="817"/>
      <c r="DU75" s="712">
        <f>IF(DS75=0,0,(DT75-DS75)/DS75*100)</f>
        <v>0</v>
      </c>
      <c r="DV75" s="817"/>
      <c r="DW75" s="817"/>
      <c r="DX75" s="712">
        <f>IF(DV75=0,0,(DW75-DV75)/DV75*100)</f>
        <v>0</v>
      </c>
      <c r="DY75" s="817"/>
      <c r="DZ75" s="817"/>
      <c r="EA75" s="712">
        <f>IF(DY75=0,0,(DZ75-DY75)/DY75*100)</f>
        <v>0</v>
      </c>
      <c r="EB75" s="817"/>
      <c r="EC75" s="817"/>
      <c r="ED75" s="712">
        <f>IF(EB75=0,0,(EC75-EB75)/EB75*100)</f>
        <v>0</v>
      </c>
      <c r="EE75" s="817"/>
      <c r="EF75" s="817"/>
      <c r="EG75" s="712">
        <f>IF(EE75=0,0,(EF75-EE75)/EE75*100)</f>
        <v>0</v>
      </c>
      <c r="EH75" s="817"/>
      <c r="EI75" s="817"/>
      <c r="EJ75" s="712">
        <f>IF(EH75=0,0,(EI75-EH75)/EH75*100)</f>
        <v>0</v>
      </c>
      <c r="EK75" s="817"/>
      <c r="EL75" s="817"/>
      <c r="EM75" s="712">
        <f>IF(EK75=0,0,(EL75-EK75)/EK75*100)</f>
        <v>0</v>
      </c>
      <c r="EN75" s="817"/>
      <c r="EO75" s="817"/>
      <c r="EP75" s="712">
        <f>IF(EN75=0,0,(EO75-EN75)/EN75*100)</f>
        <v>0</v>
      </c>
      <c r="EQ75" s="817"/>
      <c r="ER75" s="817"/>
      <c r="ES75" s="712">
        <f>IF(EQ75=0,0,(ER75-EQ75)/EQ75*100)</f>
        <v>0</v>
      </c>
      <c r="ET75" s="817"/>
      <c r="EU75" s="817"/>
      <c r="EV75" s="712">
        <f>IF(ET75=0,0,(EU75-ET75)/ET75*100)</f>
        <v>0</v>
      </c>
      <c r="EW75" s="817"/>
      <c r="EX75" s="817"/>
      <c r="EY75" s="712">
        <f>IF(EW75=0,0,(EX75-EW75)/EW75*100)</f>
        <v>0</v>
      </c>
      <c r="EZ75" s="817"/>
      <c r="FA75" s="817"/>
      <c r="FB75" s="712">
        <f>IF(EZ75=0,0,(FA75-EZ75)/EZ75*100)</f>
        <v>0</v>
      </c>
      <c r="FC75" s="817"/>
      <c r="FD75" s="817"/>
      <c r="FE75" s="712">
        <f>IF(FC75=0,0,(FD75-FC75)/FC75*100)</f>
        <v>0</v>
      </c>
      <c r="FF75" s="817"/>
      <c r="FG75" s="817"/>
      <c r="FH75" s="712">
        <f>IF(FF75=0,0,(FG75-FF75)/FF75*100)</f>
        <v>0</v>
      </c>
      <c r="FI75" s="817"/>
      <c r="FJ75" s="817"/>
      <c r="FK75" s="712">
        <f>IF(FI75=0,0,(FJ75-FI75)/FI75*100)</f>
        <v>0</v>
      </c>
      <c r="FL75" s="817"/>
      <c r="FM75" s="817"/>
      <c r="FN75" s="712">
        <f>IF(FL75=0,0,(FM75-FL75)/FL75*100)</f>
        <v>0</v>
      </c>
      <c r="FO75" s="817"/>
      <c r="FP75" s="817"/>
      <c r="FQ75" s="712">
        <f>IF(FO75=0,0,(FP75-FO75)/FO75*100)</f>
        <v>0</v>
      </c>
      <c r="FR75" s="817"/>
      <c r="FS75" s="817"/>
      <c r="FT75" s="712">
        <f>IF(FR75=0,0,(FS75-FR75)/FR75*100)</f>
        <v>0</v>
      </c>
      <c r="FU75" s="817"/>
      <c r="FV75" s="817"/>
      <c r="FW75" s="712">
        <f>IF(FU75=0,0,(FV75-FU75)/FU75*100)</f>
        <v>0</v>
      </c>
      <c r="FZ75" s="689" t="s">
        <v>1718</v>
      </c>
      <c r="GA75" s="669" t="s">
        <v>899</v>
      </c>
      <c r="GB75" s="669" cm="1">
        <f t="array" ref="GB75">GB74</f>
        <v>0</v>
      </c>
    </row>
    <row r="76" spans="1:186" ht="14.65" hidden="1" customHeight="1">
      <c r="A76" s="59"/>
      <c r="B76" s="611" t="b" cm="1">
        <f t="array" ref="B76">B75</f>
        <v>0</v>
      </c>
      <c r="C76" s="59"/>
      <c r="D76" s="59"/>
      <c r="E76" s="460">
        <v>15</v>
      </c>
      <c r="F76" s="3" cm="1">
        <f t="array" aca="1" ref="F76" ca="1">OFFSET(E76,-1,1)</f>
        <v>0</v>
      </c>
      <c r="G76" s="59"/>
      <c r="H76" s="59"/>
      <c r="I76" s="17" t="s">
        <v>1719</v>
      </c>
      <c r="J76" s="59"/>
      <c r="K76" s="59"/>
      <c r="L76" s="59"/>
      <c r="M76" s="59"/>
      <c r="N76" s="59"/>
      <c r="O76" s="59"/>
      <c r="P76" s="59"/>
      <c r="Q76" s="59"/>
      <c r="R76" s="59"/>
      <c r="S76" s="59"/>
      <c r="T76" s="351" t="b">
        <f ca="1">F76&gt;0</f>
        <v>0</v>
      </c>
      <c r="U76" s="59"/>
      <c r="W76" s="515" t="s">
        <v>1677</v>
      </c>
      <c r="X76" s="1046"/>
      <c r="Z76" s="1007"/>
      <c r="AB76" s="171" t="s">
        <v>175</v>
      </c>
      <c r="AC76" s="175"/>
      <c r="AD76" s="715"/>
      <c r="AE76" s="715"/>
      <c r="AF76" s="715"/>
      <c r="AG76" s="715"/>
      <c r="AH76" s="715"/>
      <c r="AI76" s="715"/>
      <c r="AJ76" s="715"/>
      <c r="AK76" s="715"/>
      <c r="AL76" s="715"/>
      <c r="AM76" s="715"/>
      <c r="AN76" s="715"/>
      <c r="AO76" s="715"/>
      <c r="AP76" s="715"/>
      <c r="AQ76" s="715"/>
      <c r="AR76" s="715"/>
      <c r="AS76" s="715"/>
      <c r="AT76" s="715"/>
      <c r="AU76" s="715"/>
      <c r="AV76" s="715"/>
      <c r="AW76" s="715"/>
      <c r="AX76" s="715"/>
      <c r="AY76" s="715"/>
      <c r="AZ76" s="715"/>
      <c r="BA76" s="715"/>
      <c r="BB76" s="715"/>
      <c r="BC76" s="715"/>
      <c r="BD76" s="715"/>
      <c r="BE76" s="715"/>
      <c r="BF76" s="715"/>
      <c r="BG76" s="715"/>
      <c r="BH76" s="715"/>
      <c r="BI76" s="715"/>
      <c r="BJ76" s="715"/>
      <c r="BK76" s="715"/>
      <c r="BL76" s="715"/>
      <c r="BM76" s="715"/>
      <c r="BN76" s="715"/>
      <c r="BO76" s="715"/>
      <c r="BP76" s="715"/>
      <c r="BQ76" s="715"/>
      <c r="BR76" s="715"/>
      <c r="BS76" s="715"/>
      <c r="BT76" s="715"/>
      <c r="BU76" s="715"/>
      <c r="BV76" s="715"/>
      <c r="BW76" s="715"/>
      <c r="BX76" s="715"/>
      <c r="BY76" s="715"/>
      <c r="BZ76" s="715"/>
      <c r="CA76" s="715"/>
      <c r="CB76" s="715"/>
      <c r="CC76" s="715"/>
      <c r="CD76" s="715"/>
      <c r="CE76" s="715"/>
      <c r="CF76" s="715"/>
      <c r="CG76" s="715"/>
      <c r="CH76" s="715"/>
      <c r="CI76" s="715"/>
      <c r="CJ76" s="715"/>
      <c r="CK76" s="715"/>
      <c r="CL76" s="715"/>
      <c r="CM76" s="715"/>
      <c r="CN76" s="715"/>
      <c r="CO76" s="715"/>
      <c r="CP76" s="715"/>
      <c r="CQ76" s="715"/>
      <c r="CR76" s="715"/>
      <c r="CS76" s="715"/>
      <c r="CT76" s="715"/>
      <c r="CU76" s="715"/>
      <c r="CV76" s="715"/>
      <c r="CW76" s="715"/>
      <c r="CX76" s="715"/>
      <c r="CY76" s="715"/>
      <c r="CZ76" s="715"/>
      <c r="DA76" s="715"/>
      <c r="DB76" s="715"/>
      <c r="DC76" s="715"/>
      <c r="DD76" s="715"/>
      <c r="DE76" s="715"/>
      <c r="DF76" s="715"/>
      <c r="DG76" s="715"/>
      <c r="DH76" s="715"/>
      <c r="DI76" s="715"/>
      <c r="DJ76" s="715"/>
      <c r="DK76" s="715"/>
      <c r="DL76" s="715"/>
      <c r="DM76" s="715"/>
      <c r="DN76" s="715"/>
      <c r="DO76" s="715"/>
      <c r="DP76" s="715"/>
      <c r="DQ76" s="715"/>
      <c r="DR76" s="715"/>
      <c r="DS76" s="715"/>
      <c r="DT76" s="715"/>
      <c r="DU76" s="715"/>
      <c r="DV76" s="715"/>
      <c r="DW76" s="715"/>
      <c r="DX76" s="715"/>
      <c r="DY76" s="715"/>
      <c r="DZ76" s="715"/>
      <c r="EA76" s="715"/>
      <c r="EB76" s="715"/>
      <c r="EC76" s="715"/>
      <c r="ED76" s="715"/>
      <c r="EE76" s="715"/>
      <c r="EF76" s="715"/>
      <c r="EG76" s="715"/>
      <c r="EH76" s="715"/>
      <c r="EI76" s="715"/>
      <c r="EJ76" s="715"/>
      <c r="EK76" s="715"/>
      <c r="EL76" s="715"/>
      <c r="EM76" s="715"/>
      <c r="EN76" s="715"/>
      <c r="EO76" s="715"/>
      <c r="EP76" s="715"/>
      <c r="EQ76" s="715"/>
      <c r="ER76" s="715"/>
      <c r="ES76" s="715"/>
      <c r="ET76" s="715"/>
      <c r="EU76" s="715"/>
      <c r="EV76" s="715"/>
      <c r="EW76" s="715"/>
      <c r="EX76" s="715"/>
      <c r="EY76" s="715"/>
      <c r="EZ76" s="715"/>
      <c r="FA76" s="715"/>
      <c r="FB76" s="715"/>
      <c r="FC76" s="715"/>
      <c r="FD76" s="715"/>
      <c r="FE76" s="715"/>
      <c r="FF76" s="715"/>
      <c r="FG76" s="715"/>
      <c r="FH76" s="715"/>
      <c r="FI76" s="715"/>
      <c r="FJ76" s="715"/>
      <c r="FK76" s="715"/>
      <c r="FL76" s="715"/>
      <c r="FM76" s="715"/>
      <c r="FN76" s="715"/>
      <c r="FO76" s="715"/>
      <c r="FP76" s="715"/>
      <c r="FQ76" s="715"/>
      <c r="FR76" s="715"/>
      <c r="FS76" s="715"/>
      <c r="FT76" s="715"/>
      <c r="FU76" s="715"/>
      <c r="FV76" s="715"/>
      <c r="FW76" s="716"/>
      <c r="FZ76" s="689" t="s">
        <v>124</v>
      </c>
      <c r="GC76" s="459" t="s">
        <v>899</v>
      </c>
    </row>
    <row r="77" spans="1:186" ht="11.25" hidden="1" customHeight="1">
      <c r="A77" s="314"/>
      <c r="B77" s="611"/>
      <c r="C77" s="314"/>
      <c r="D77" s="314"/>
      <c r="E77" s="478">
        <v>0</v>
      </c>
      <c r="F77" s="764" cm="1">
        <f t="array" aca="1" ref="F77" ca="1">OFFSET(E77,-1,1)</f>
        <v>0</v>
      </c>
      <c r="G77" s="314"/>
      <c r="H77" s="314"/>
      <c r="I77" s="314"/>
      <c r="J77" s="314"/>
      <c r="K77" s="314"/>
      <c r="L77" s="314"/>
      <c r="M77" s="314"/>
      <c r="N77" s="314"/>
      <c r="O77" s="314"/>
      <c r="P77" s="314"/>
      <c r="Q77" s="314"/>
      <c r="R77" s="314"/>
      <c r="S77" s="314"/>
      <c r="T77" s="351" t="b">
        <v>0</v>
      </c>
      <c r="U77" s="314"/>
      <c r="V77" s="314"/>
      <c r="W77" s="314"/>
      <c r="X77" s="1046"/>
      <c r="Y77" s="314"/>
      <c r="Z77" s="1007"/>
      <c r="AA77" s="314"/>
      <c r="AB77"/>
      <c r="AC77" s="314"/>
      <c r="AD77" s="314"/>
      <c r="AE77" s="314"/>
      <c r="AF77" s="314"/>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89" t="s">
        <v>124</v>
      </c>
      <c r="GA77" s="659"/>
      <c r="GB77" s="653"/>
      <c r="GC77" s="452"/>
      <c r="GD77" s="452"/>
    </row>
    <row r="78" spans="1:186" s="203" customFormat="1" ht="23.85" hidden="1" customHeight="1">
      <c r="A78" s="592"/>
      <c r="B78" s="611" t="b" cm="1">
        <f t="array" ref="B78">S29</f>
        <v>0</v>
      </c>
      <c r="C78" s="592"/>
      <c r="D78" s="592"/>
      <c r="E78" s="460">
        <v>24.5</v>
      </c>
      <c r="F78" s="3" cm="1">
        <f t="array" aca="1" ref="F78" ca="1">OFFSET(E78,-1,1)</f>
        <v>0</v>
      </c>
      <c r="G78" s="25" t="s">
        <v>1644</v>
      </c>
      <c r="H78" s="59" t="s">
        <v>507</v>
      </c>
      <c r="I78" s="59" t="s">
        <v>1720</v>
      </c>
      <c r="J78" s="592"/>
      <c r="K78" s="592"/>
      <c r="L78" s="592"/>
      <c r="M78" s="592"/>
      <c r="N78" s="592"/>
      <c r="O78" s="592"/>
      <c r="P78" s="592"/>
      <c r="Q78" s="592"/>
      <c r="R78" s="592"/>
      <c r="S78" s="59"/>
      <c r="T78" s="351" t="b" cm="1">
        <f t="array" aca="1" ref="T78" ca="1">T76</f>
        <v>0</v>
      </c>
      <c r="U78" s="592"/>
      <c r="V78" s="592"/>
      <c r="W78" s="592"/>
      <c r="X78" s="1046"/>
      <c r="Y78" s="592"/>
      <c r="Z78" s="1007"/>
      <c r="AA78" s="592"/>
      <c r="AB78" s="132" t="s">
        <v>1721</v>
      </c>
      <c r="AC78" s="147" t="s">
        <v>1647</v>
      </c>
      <c r="AD78" s="899">
        <f ca="1">IF(AND(method_reg="Метод индексации",god&lt;&gt;first_year),SUMIFS(INDEX('Калькуляция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(МИ)'!$AJ$25:$BC$315,,MATCH(AD$8,'Калькуляция (МИ)'!$AJ$8:$BC$8,0)),'Калькуляция (МИ)'!$F$25:$F$315,$F78,'Калькуляция (МИ)'!$G$25:$G$315,$G78))))</f>
        <v>0</v>
      </c>
      <c r="AE78" s="899">
        <f ca="1">IF(AND(method_reg="Метод индексации",god&lt;&gt;first_year),SUMIFS(INDEX('Калькуляция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(МИ)'!$AJ$25:$BC$315,,MATCH(AE$8,'Калькуляция (МИ)'!$AJ$8:$BC$8,0)),'Калькуляция (МИ)'!$F$25:$F$315,$F78,'Калькуляция (МИ)'!$G$25:$G$315,$G78))))</f>
        <v>0</v>
      </c>
      <c r="AF78" s="207">
        <f ca="1">IF(AD78=0,0,(AE78-AD78)/AD78*100)</f>
        <v>0</v>
      </c>
      <c r="AG78" s="209">
        <f ca="1">IF(AND(method_reg="Метод индексации",god&lt;&gt;first_year),SUMIFS(INDEX('Калькуляция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(МИ)'!$AJ$25:$BC$315,,MATCH(AG$8,'Калькуляция (МИ)'!$AJ$8:$BC$8,0)),'Калькуляция (МИ)'!$F$25:$F$315,$F78,'Калькуляция (МИ)'!$G$25:$G$315,$G78))))</f>
        <v>0</v>
      </c>
      <c r="AH78" s="209">
        <f ca="1">IF(AND(method_reg="Метод индексации",god&lt;&gt;first_year),SUMIFS(INDEX('Калькуляция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(МИ)'!$AJ$25:$BC$315,,MATCH(AH$8,'Калькуляция (МИ)'!$AJ$8:$BC$8,0)),'Калькуляция (МИ)'!$F$25:$F$315,$F78,'Калькуляция (МИ)'!$G$25:$G$315,$G78))))</f>
        <v>0</v>
      </c>
      <c r="AI78" s="207">
        <f ca="1">IF(AG78=0,0,(AH78-AG78)/AG78*100)</f>
        <v>0</v>
      </c>
      <c r="AJ78" s="209">
        <f ca="1">IF(AND(method_reg="Метод индексации",god&lt;&gt;first_year),SUMIFS(INDEX('Калькуляция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(МИ)'!$AJ$25:$BC$315,,MATCH(AJ$8,'Калькуляция (МИ)'!$AJ$8:$BC$8,0)),'Калькуляция (МИ)'!$F$25:$F$315,$F78,'Калькуляция (МИ)'!$G$25:$G$315,$G78))))</f>
        <v>0</v>
      </c>
      <c r="AK78" s="209">
        <f ca="1">IF(AND(method_reg="Метод индексации",god&lt;&gt;first_year),SUMIFS(INDEX('Калькуляция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(МИ)'!$AJ$25:$BC$315,,MATCH(AK$8,'Калькуляция (МИ)'!$AJ$8:$BC$8,0)),'Калькуляция (МИ)'!$F$25:$F$315,$F78,'Калькуляция (МИ)'!$G$25:$G$315,$G78))))</f>
        <v>0</v>
      </c>
      <c r="AL78" s="207">
        <f ca="1">IF(AJ78=0,0,(AK78-AJ78)/AJ78*100)</f>
        <v>0</v>
      </c>
      <c r="AM78" s="899">
        <f ca="1">IF(AND(method_reg="Метод индексации",god&lt;&gt;first_year),SUMIFS(INDEX('Калькуляция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(МИ)'!$AJ$25:$BC$315,,MATCH(AM$8,'Калькуляция (МИ)'!$AJ$8:$BC$8,0)),'Калькуляция (МИ)'!$F$25:$F$315,$F78,'Калькуляция (МИ)'!$G$25:$G$315,$G78))))</f>
        <v>0</v>
      </c>
      <c r="AN78" s="899">
        <f ca="1">IF(AND(method_reg="Метод индексации",god&lt;&gt;first_year),SUMIFS(INDEX('Калькуляция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(МИ)'!$AJ$25:$BC$315,,MATCH(AN$8,'Калькуляция (МИ)'!$AJ$8:$BC$8,0)),'Калькуляция (МИ)'!$F$25:$F$315,$F78,'Калькуляция (МИ)'!$G$25:$G$315,$G78))))</f>
        <v>0</v>
      </c>
      <c r="AO78" s="207">
        <f ca="1">IF(AM78=0,0,(AN78-AM78)/AM78*100)</f>
        <v>0</v>
      </c>
      <c r="AP78" s="899">
        <f ca="1">IF(AND(method_reg="Метод индексации",god&lt;&gt;first_year),SUMIFS(INDEX('Калькуляция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(МИ)'!$AJ$25:$BC$315,,MATCH(AP$8,'Калькуляция (МИ)'!$AJ$8:$BC$8,0)),'Калькуляция (МИ)'!$F$25:$F$315,$F78,'Калькуляция (МИ)'!$G$25:$G$315,$G78))))</f>
        <v>0</v>
      </c>
      <c r="AQ78" s="899">
        <f ca="1">IF(AND(method_reg="Метод индексации",god&lt;&gt;first_year),SUMIFS(INDEX('Калькуляция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(МИ)'!$AJ$25:$BC$315,,MATCH(AQ$8,'Калькуляция (МИ)'!$AJ$8:$BC$8,0)),'Калькуляция (МИ)'!$F$25:$F$315,$F78,'Калькуляция (МИ)'!$G$25:$G$315,$G78))))</f>
        <v>0</v>
      </c>
      <c r="AR78" s="207">
        <f ca="1">IF(AP78=0,0,(AQ78-AP78)/AP78*100)</f>
        <v>0</v>
      </c>
      <c r="AS78" s="899">
        <f ca="1">IF(AND(method_reg="Метод индексации",god&lt;&gt;first_year),SUMIFS(INDEX('Калькуляция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(МИ)'!$AJ$25:$BC$315,,MATCH(AS$8,'Калькуляция (МИ)'!$AJ$8:$BC$8,0)),'Калькуляция (МИ)'!$F$25:$F$315,$F78,'Калькуляция (МИ)'!$G$25:$G$315,$G78))))</f>
        <v>0</v>
      </c>
      <c r="AT78" s="899">
        <f ca="1">IF(AND(method_reg="Метод индексации",god&lt;&gt;first_year),SUMIFS(INDEX('Калькуляция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(МИ)'!$AJ$25:$BC$315,,MATCH(AT$8,'Калькуляция (МИ)'!$AJ$8:$BC$8,0)),'Калькуляция (МИ)'!$F$25:$F$315,$F78,'Калькуляция (МИ)'!$G$25:$G$315,$G78))))</f>
        <v>0</v>
      </c>
      <c r="AU78" s="207">
        <f ca="1">IF(AS78=0,0,(AT78-AS78)/AS78*100)</f>
        <v>0</v>
      </c>
      <c r="AV78" s="899">
        <f ca="1">IF(AND(method_reg="Метод индексации",god&lt;&gt;first_year),SUMIFS(INDEX('Калькуляция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(МИ)'!$AJ$25:$BC$315,,MATCH(AV$8,'Калькуляция (МИ)'!$AJ$8:$BC$8,0)),'Калькуляция (МИ)'!$F$25:$F$315,$F78,'Калькуляция (МИ)'!$G$25:$G$315,$G78))))</f>
        <v>0</v>
      </c>
      <c r="AW78" s="899">
        <f ca="1">IF(AND(method_reg="Метод индексации",god&lt;&gt;first_year),SUMIFS(INDEX('Калькуляция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(МИ)'!$AJ$25:$BC$315,,MATCH(AW$8,'Калькуляция (МИ)'!$AJ$8:$BC$8,0)),'Калькуляция (МИ)'!$F$25:$F$315,$F78,'Калькуляция (МИ)'!$G$25:$G$315,$G78))))</f>
        <v>0</v>
      </c>
      <c r="AX78" s="207">
        <f ca="1">IF(AV78=0,0,(AW78-AV78)/AV78*100)</f>
        <v>0</v>
      </c>
      <c r="AY78" s="899">
        <f ca="1">IF(AND(method_reg="Метод индексации",god&lt;&gt;first_year),SUMIFS(INDEX('Калькуляция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(МИ)'!$AJ$25:$BC$315,,MATCH(AY$8,'Калькуляция (МИ)'!$AJ$8:$BC$8,0)),'Калькуляция (МИ)'!$F$25:$F$315,$F78,'Калькуляция (МИ)'!$G$25:$G$315,$G78))))</f>
        <v>0</v>
      </c>
      <c r="AZ78" s="899">
        <f ca="1">IF(AND(method_reg="Метод индексации",god&lt;&gt;first_year),SUMIFS(INDEX('Калькуляция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(МИ)'!$AJ$25:$BC$315,,MATCH(AZ$8,'Калькуляция (МИ)'!$AJ$8:$BC$8,0)),'Калькуляция (МИ)'!$F$25:$F$315,$F78,'Калькуляция (МИ)'!$G$25:$G$315,$G78))))</f>
        <v>0</v>
      </c>
      <c r="BA78" s="207">
        <f ca="1">IF(AY78=0,0,(AZ78-AY78)/AY78*100)</f>
        <v>0</v>
      </c>
      <c r="BB78" s="899">
        <f ca="1">IF(AND(method_reg="Метод индексации",god&lt;&gt;first_year),SUMIFS(INDEX('Калькуляция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(МИ)'!$AJ$25:$BC$315,,MATCH(BB$8,'Калькуляция (МИ)'!$AJ$8:$BC$8,0)),'Калькуляция (МИ)'!$F$25:$F$315,$F78,'Калькуляция (МИ)'!$G$25:$G$315,$G78))))</f>
        <v>0</v>
      </c>
      <c r="BC78" s="899">
        <f ca="1">IF(AND(method_reg="Метод индексации",god&lt;&gt;first_year),SUMIFS(INDEX('Калькуляция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(МИ)'!$AJ$25:$BC$315,,MATCH(BC$8,'Калькуляция (МИ)'!$AJ$8:$BC$8,0)),'Калькуляция (МИ)'!$F$25:$F$315,$F78,'Калькуляция (МИ)'!$G$25:$G$315,$G78))))</f>
        <v>0</v>
      </c>
      <c r="BD78" s="207">
        <f ca="1">IF(BB78=0,0,(BC78-BB78)/BB78*100)</f>
        <v>0</v>
      </c>
      <c r="BE78" s="899">
        <f ca="1">IF(AND(method_reg="Метод индексации",god&lt;&gt;first_year),SUMIFS(INDEX('Калькуляция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(МИ)'!$AJ$25:$BC$315,,MATCH(BE$8,'Калькуляция (МИ)'!$AJ$8:$BC$8,0)),'Калькуляция (МИ)'!$F$25:$F$315,$F78,'Калькуляция (МИ)'!$G$25:$G$315,$G78))))</f>
        <v>0</v>
      </c>
      <c r="BF78" s="899">
        <f ca="1">IF(AND(method_reg="Метод индексации",god&lt;&gt;first_year),SUMIFS(INDEX('Калькуляция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(МИ)'!$AJ$25:$BC$315,,MATCH(BF$8,'Калькуляция (МИ)'!$AJ$8:$BC$8,0)),'Калькуляция (МИ)'!$F$25:$F$315,$F78,'Калькуляция (МИ)'!$G$25:$G$315,$G78))))</f>
        <v>0</v>
      </c>
      <c r="BG78" s="207">
        <f ca="1">IF(BE78=0,0,(BF78-BE78)/BE78*100)</f>
        <v>0</v>
      </c>
      <c r="BH78" s="899"/>
      <c r="BI78" s="899"/>
      <c r="BJ78" s="207">
        <f>IF(BH78=0,0,(BI78-BH78)/BH78*100)</f>
        <v>0</v>
      </c>
      <c r="BK78" s="899"/>
      <c r="BL78" s="899"/>
      <c r="BM78" s="207">
        <f>IF(BK78=0,0,(BL78-BK78)/BK78*100)</f>
        <v>0</v>
      </c>
      <c r="BN78" s="899"/>
      <c r="BO78" s="899"/>
      <c r="BP78" s="207">
        <f>IF(BN78=0,0,(BO78-BN78)/BN78*100)</f>
        <v>0</v>
      </c>
      <c r="BQ78" s="899"/>
      <c r="BR78" s="899"/>
      <c r="BS78" s="207">
        <f>IF(BQ78=0,0,(BR78-BQ78)/BQ78*100)</f>
        <v>0</v>
      </c>
      <c r="BT78" s="899"/>
      <c r="BU78" s="899"/>
      <c r="BV78" s="207">
        <f>IF(BT78=0,0,(BU78-BT78)/BT78*100)</f>
        <v>0</v>
      </c>
      <c r="BW78" s="899"/>
      <c r="BX78" s="899"/>
      <c r="BY78" s="207">
        <f>IF(BW78=0,0,(BX78-BW78)/BW78*100)</f>
        <v>0</v>
      </c>
      <c r="BZ78" s="899"/>
      <c r="CA78" s="899"/>
      <c r="CB78" s="207">
        <f>IF(BZ78=0,0,(CA78-BZ78)/BZ78*100)</f>
        <v>0</v>
      </c>
      <c r="CC78" s="899"/>
      <c r="CD78" s="899"/>
      <c r="CE78" s="207">
        <f>IF(CC78=0,0,(CD78-CC78)/CC78*100)</f>
        <v>0</v>
      </c>
      <c r="CF78" s="899"/>
      <c r="CG78" s="899"/>
      <c r="CH78" s="207">
        <f>IF(CF78=0,0,(CG78-CF78)/CF78*100)</f>
        <v>0</v>
      </c>
      <c r="CI78" s="899"/>
      <c r="CJ78" s="899"/>
      <c r="CK78" s="207">
        <f>IF(CI78=0,0,(CJ78-CI78)/CI78*100)</f>
        <v>0</v>
      </c>
      <c r="CL78" s="899"/>
      <c r="CM78" s="899"/>
      <c r="CN78" s="207">
        <f>IF(CL78=0,0,(CM78-CL78)/CL78*100)</f>
        <v>0</v>
      </c>
      <c r="CO78" s="899"/>
      <c r="CP78" s="899"/>
      <c r="CQ78" s="207">
        <f>IF(CO78=0,0,(CP78-CO78)/CO78*100)</f>
        <v>0</v>
      </c>
      <c r="CR78" s="899"/>
      <c r="CS78" s="899"/>
      <c r="CT78" s="207">
        <f>IF(CR78=0,0,(CS78-CR78)/CR78*100)</f>
        <v>0</v>
      </c>
      <c r="CU78" s="899"/>
      <c r="CV78" s="899"/>
      <c r="CW78" s="207">
        <f>IF(CU78=0,0,(CV78-CU78)/CU78*100)</f>
        <v>0</v>
      </c>
      <c r="CX78" s="899"/>
      <c r="CY78" s="899"/>
      <c r="CZ78" s="207">
        <f>IF(CX78=0,0,(CY78-CX78)/CX78*100)</f>
        <v>0</v>
      </c>
      <c r="DA78" s="899"/>
      <c r="DB78" s="899"/>
      <c r="DC78" s="207">
        <f>IF(DA78=0,0,(DB78-DA78)/DA78*100)</f>
        <v>0</v>
      </c>
      <c r="DD78" s="899"/>
      <c r="DE78" s="899"/>
      <c r="DF78" s="207">
        <f>IF(DD78=0,0,(DE78-DD78)/DD78*100)</f>
        <v>0</v>
      </c>
      <c r="DG78" s="899"/>
      <c r="DH78" s="899"/>
      <c r="DI78" s="207">
        <f>IF(DG78=0,0,(DH78-DG78)/DG78*100)</f>
        <v>0</v>
      </c>
      <c r="DJ78" s="899"/>
      <c r="DK78" s="899"/>
      <c r="DL78" s="207">
        <f>IF(DJ78=0,0,(DK78-DJ78)/DJ78*100)</f>
        <v>0</v>
      </c>
      <c r="DM78" s="899"/>
      <c r="DN78" s="899"/>
      <c r="DO78" s="207">
        <f>IF(DM78=0,0,(DN78-DM78)/DM78*100)</f>
        <v>0</v>
      </c>
      <c r="DP78" s="899"/>
      <c r="DQ78" s="899"/>
      <c r="DR78" s="207">
        <f>IF(DP78=0,0,(DQ78-DP78)/DP78*100)</f>
        <v>0</v>
      </c>
      <c r="DS78" s="899"/>
      <c r="DT78" s="899"/>
      <c r="DU78" s="207">
        <f>IF(DS78=0,0,(DT78-DS78)/DS78*100)</f>
        <v>0</v>
      </c>
      <c r="DV78" s="899"/>
      <c r="DW78" s="899"/>
      <c r="DX78" s="207">
        <f>IF(DV78=0,0,(DW78-DV78)/DV78*100)</f>
        <v>0</v>
      </c>
      <c r="DY78" s="899"/>
      <c r="DZ78" s="899"/>
      <c r="EA78" s="207">
        <f>IF(DY78=0,0,(DZ78-DY78)/DY78*100)</f>
        <v>0</v>
      </c>
      <c r="EB78" s="899"/>
      <c r="EC78" s="899"/>
      <c r="ED78" s="207">
        <f>IF(EB78=0,0,(EC78-EB78)/EB78*100)</f>
        <v>0</v>
      </c>
      <c r="EE78" s="899"/>
      <c r="EF78" s="899"/>
      <c r="EG78" s="207">
        <f>IF(EE78=0,0,(EF78-EE78)/EE78*100)</f>
        <v>0</v>
      </c>
      <c r="EH78" s="899"/>
      <c r="EI78" s="899"/>
      <c r="EJ78" s="207">
        <f>IF(EH78=0,0,(EI78-EH78)/EH78*100)</f>
        <v>0</v>
      </c>
      <c r="EK78" s="899"/>
      <c r="EL78" s="899"/>
      <c r="EM78" s="207">
        <f>IF(EK78=0,0,(EL78-EK78)/EK78*100)</f>
        <v>0</v>
      </c>
      <c r="EN78" s="899"/>
      <c r="EO78" s="899"/>
      <c r="EP78" s="207">
        <f>IF(EN78=0,0,(EO78-EN78)/EN78*100)</f>
        <v>0</v>
      </c>
      <c r="EQ78" s="899"/>
      <c r="ER78" s="899"/>
      <c r="ES78" s="207">
        <f>IF(EQ78=0,0,(ER78-EQ78)/EQ78*100)</f>
        <v>0</v>
      </c>
      <c r="ET78" s="899"/>
      <c r="EU78" s="899"/>
      <c r="EV78" s="207">
        <f>IF(ET78=0,0,(EU78-ET78)/ET78*100)</f>
        <v>0</v>
      </c>
      <c r="EW78" s="899"/>
      <c r="EX78" s="899"/>
      <c r="EY78" s="207">
        <f>IF(EW78=0,0,(EX78-EW78)/EW78*100)</f>
        <v>0</v>
      </c>
      <c r="EZ78" s="899"/>
      <c r="FA78" s="899"/>
      <c r="FB78" s="207">
        <f>IF(EZ78=0,0,(FA78-EZ78)/EZ78*100)</f>
        <v>0</v>
      </c>
      <c r="FC78" s="899"/>
      <c r="FD78" s="899"/>
      <c r="FE78" s="207">
        <f>IF(FC78=0,0,(FD78-FC78)/FC78*100)</f>
        <v>0</v>
      </c>
      <c r="FF78" s="899"/>
      <c r="FG78" s="899"/>
      <c r="FH78" s="207">
        <f>IF(FF78=0,0,(FG78-FF78)/FF78*100)</f>
        <v>0</v>
      </c>
      <c r="FI78" s="899"/>
      <c r="FJ78" s="899"/>
      <c r="FK78" s="207">
        <f>IF(FI78=0,0,(FJ78-FI78)/FI78*100)</f>
        <v>0</v>
      </c>
      <c r="FL78" s="899"/>
      <c r="FM78" s="899"/>
      <c r="FN78" s="207">
        <f>IF(FL78=0,0,(FM78-FL78)/FL78*100)</f>
        <v>0</v>
      </c>
      <c r="FO78" s="899"/>
      <c r="FP78" s="899"/>
      <c r="FQ78" s="207">
        <f>IF(FO78=0,0,(FP78-FO78)/FO78*100)</f>
        <v>0</v>
      </c>
      <c r="FR78" s="899"/>
      <c r="FS78" s="899"/>
      <c r="FT78" s="207">
        <f>IF(FR78=0,0,(FS78-FR78)/FR78*100)</f>
        <v>0</v>
      </c>
      <c r="FU78" s="899"/>
      <c r="FV78" s="899"/>
      <c r="FW78" s="207">
        <f>IF(FU78=0,0,(FV78-FU78)/FU78*100)</f>
        <v>0</v>
      </c>
      <c r="FZ78" s="689" t="s">
        <v>1722</v>
      </c>
      <c r="GA78" s="689"/>
      <c r="GB78" s="689"/>
      <c r="GC78" s="690"/>
      <c r="GD78" s="690"/>
    </row>
    <row r="79" spans="1:186" s="203" customFormat="1" ht="23.85" hidden="1" customHeight="1">
      <c r="A79" s="592"/>
      <c r="B79" s="611" t="b" cm="1">
        <f t="array" ref="B79">B78</f>
        <v>0</v>
      </c>
      <c r="C79" s="592"/>
      <c r="D79" s="592"/>
      <c r="E79" s="460">
        <v>24.5</v>
      </c>
      <c r="F79" s="3" cm="1">
        <f t="array" aca="1" ref="F79" ca="1">OFFSET(E79,-1,1)</f>
        <v>0</v>
      </c>
      <c r="G79" s="25" t="s">
        <v>1649</v>
      </c>
      <c r="H79" s="59" t="s">
        <v>507</v>
      </c>
      <c r="I79" s="59" t="s">
        <v>1723</v>
      </c>
      <c r="J79" s="592"/>
      <c r="K79" s="592"/>
      <c r="L79" s="592"/>
      <c r="M79" s="592"/>
      <c r="N79" s="592"/>
      <c r="O79" s="592"/>
      <c r="P79" s="592"/>
      <c r="Q79" s="592"/>
      <c r="R79" s="592"/>
      <c r="S79" s="59"/>
      <c r="T79" s="351" t="b" cm="1">
        <f t="array" aca="1" ref="T79" ca="1">T78</f>
        <v>0</v>
      </c>
      <c r="U79" s="592"/>
      <c r="V79" s="592"/>
      <c r="W79" s="592"/>
      <c r="X79" s="1046"/>
      <c r="Y79" s="592"/>
      <c r="Z79" s="1007"/>
      <c r="AA79" s="592"/>
      <c r="AB79" s="132" t="s">
        <v>1724</v>
      </c>
      <c r="AC79" s="147" t="s">
        <v>1647</v>
      </c>
      <c r="AD79" s="899">
        <f ca="1">IF(AND(method_reg="Метод индексации",god&lt;&gt;first_year),SUMIFS(INDEX('Калькуляция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(МИ)'!$AJ$25:$BC$315,,MATCH(AD$8,'Калькуляция (МИ)'!$AJ$8:$BC$8,0)),'Калькуляция (МИ)'!$F$25:$F$315,$F79,'Калькуляция (МИ)'!$G$25:$G$315,$G79))))</f>
        <v>0</v>
      </c>
      <c r="AE79" s="899">
        <f ca="1">IF(AND(method_reg="Метод индексации",god&lt;&gt;first_year),SUMIFS(INDEX('Калькуляция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(МИ)'!$AJ$25:$BC$315,,MATCH(AE$8,'Калькуляция (МИ)'!$AJ$8:$BC$8,0)),'Калькуляция (МИ)'!$F$25:$F$315,$F79,'Калькуляция (МИ)'!$G$25:$G$315,$G79))))</f>
        <v>0</v>
      </c>
      <c r="AF79" s="207">
        <f ca="1">IF(AD79=0,0,(AE79-AD79)/AD79*100)</f>
        <v>0</v>
      </c>
      <c r="AG79" s="209">
        <f ca="1">IF(AND(method_reg="Метод индексации",god&lt;&gt;first_year),SUMIFS(INDEX('Калькуляция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(МИ)'!$AJ$25:$BC$315,,MATCH(AG$8,'Калькуляция (МИ)'!$AJ$8:$BC$8,0)),'Калькуляция (МИ)'!$F$25:$F$315,$F79,'Калькуляция (МИ)'!$G$25:$G$315,$G79))))</f>
        <v>0</v>
      </c>
      <c r="AH79" s="209">
        <f ca="1">IF(AND(method_reg="Метод индексации",god&lt;&gt;first_year),SUMIFS(INDEX('Калькуляция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(МИ)'!$AJ$25:$BC$315,,MATCH(AH$8,'Калькуляция (МИ)'!$AJ$8:$BC$8,0)),'Калькуляция (МИ)'!$F$25:$F$315,$F79,'Калькуляция (МИ)'!$G$25:$G$315,$G79))))</f>
        <v>0</v>
      </c>
      <c r="AI79" s="207">
        <f ca="1">IF(AG79=0,0,(AH79-AG79)/AG79*100)</f>
        <v>0</v>
      </c>
      <c r="AJ79" s="209">
        <f ca="1">IF(AND(method_reg="Метод индексации",god&lt;&gt;first_year),SUMIFS(INDEX('Калькуляция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(МИ)'!$AJ$25:$BC$315,,MATCH(AJ$8,'Калькуляция (МИ)'!$AJ$8:$BC$8,0)),'Калькуляция (МИ)'!$F$25:$F$315,$F79,'Калькуляция (МИ)'!$G$25:$G$315,$G79))))</f>
        <v>0</v>
      </c>
      <c r="AK79" s="209">
        <f ca="1">IF(AND(method_reg="Метод индексации",god&lt;&gt;first_year),SUMIFS(INDEX('Калькуляция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(МИ)'!$AJ$25:$BC$315,,MATCH(AK$8,'Калькуляция (МИ)'!$AJ$8:$BC$8,0)),'Калькуляция (МИ)'!$F$25:$F$315,$F79,'Калькуляция (МИ)'!$G$25:$G$315,$G79))))</f>
        <v>0</v>
      </c>
      <c r="AL79" s="207">
        <f ca="1">IF(AJ79=0,0,(AK79-AJ79)/AJ79*100)</f>
        <v>0</v>
      </c>
      <c r="AM79" s="899">
        <f ca="1">IF(AND(method_reg="Метод индексации",god&lt;&gt;first_year),SUMIFS(INDEX('Калькуляция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(МИ)'!$AJ$25:$BC$315,,MATCH(AM$8,'Калькуляция (МИ)'!$AJ$8:$BC$8,0)),'Калькуляция (МИ)'!$F$25:$F$315,$F79,'Калькуляция (МИ)'!$G$25:$G$315,$G79))))</f>
        <v>0</v>
      </c>
      <c r="AN79" s="899">
        <f ca="1">IF(AND(method_reg="Метод индексации",god&lt;&gt;first_year),SUMIFS(INDEX('Калькуляция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(МИ)'!$AJ$25:$BC$315,,MATCH(AN$8,'Калькуляция (МИ)'!$AJ$8:$BC$8,0)),'Калькуляция (МИ)'!$F$25:$F$315,$F79,'Калькуляция (МИ)'!$G$25:$G$315,$G79))))</f>
        <v>0</v>
      </c>
      <c r="AO79" s="207">
        <f ca="1">IF(AM79=0,0,(AN79-AM79)/AM79*100)</f>
        <v>0</v>
      </c>
      <c r="AP79" s="899">
        <f ca="1">IF(AND(method_reg="Метод индексации",god&lt;&gt;first_year),SUMIFS(INDEX('Калькуляция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(МИ)'!$AJ$25:$BC$315,,MATCH(AP$8,'Калькуляция (МИ)'!$AJ$8:$BC$8,0)),'Калькуляция (МИ)'!$F$25:$F$315,$F79,'Калькуляция (МИ)'!$G$25:$G$315,$G79))))</f>
        <v>0</v>
      </c>
      <c r="AQ79" s="899">
        <f ca="1">IF(AND(method_reg="Метод индексации",god&lt;&gt;first_year),SUMIFS(INDEX('Калькуляция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(МИ)'!$AJ$25:$BC$315,,MATCH(AQ$8,'Калькуляция (МИ)'!$AJ$8:$BC$8,0)),'Калькуляция (МИ)'!$F$25:$F$315,$F79,'Калькуляция (МИ)'!$G$25:$G$315,$G79))))</f>
        <v>0</v>
      </c>
      <c r="AR79" s="207">
        <f ca="1">IF(AP79=0,0,(AQ79-AP79)/AP79*100)</f>
        <v>0</v>
      </c>
      <c r="AS79" s="899">
        <f ca="1">IF(AND(method_reg="Метод индексации",god&lt;&gt;first_year),SUMIFS(INDEX('Калькуляция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(МИ)'!$AJ$25:$BC$315,,MATCH(AS$8,'Калькуляция (МИ)'!$AJ$8:$BC$8,0)),'Калькуляция (МИ)'!$F$25:$F$315,$F79,'Калькуляция (МИ)'!$G$25:$G$315,$G79))))</f>
        <v>0</v>
      </c>
      <c r="AT79" s="899">
        <f ca="1">IF(AND(method_reg="Метод индексации",god&lt;&gt;first_year),SUMIFS(INDEX('Калькуляция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(МИ)'!$AJ$25:$BC$315,,MATCH(AT$8,'Калькуляция (МИ)'!$AJ$8:$BC$8,0)),'Калькуляция (МИ)'!$F$25:$F$315,$F79,'Калькуляция (МИ)'!$G$25:$G$315,$G79))))</f>
        <v>0</v>
      </c>
      <c r="AU79" s="207">
        <f ca="1">IF(AS79=0,0,(AT79-AS79)/AS79*100)</f>
        <v>0</v>
      </c>
      <c r="AV79" s="899">
        <f ca="1">IF(AND(method_reg="Метод индексации",god&lt;&gt;first_year),SUMIFS(INDEX('Калькуляция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(МИ)'!$AJ$25:$BC$315,,MATCH(AV$8,'Калькуляция (МИ)'!$AJ$8:$BC$8,0)),'Калькуляция (МИ)'!$F$25:$F$315,$F79,'Калькуляция (МИ)'!$G$25:$G$315,$G79))))</f>
        <v>0</v>
      </c>
      <c r="AW79" s="899">
        <f ca="1">IF(AND(method_reg="Метод индексации",god&lt;&gt;first_year),SUMIFS(INDEX('Калькуляция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(МИ)'!$AJ$25:$BC$315,,MATCH(AW$8,'Калькуляция (МИ)'!$AJ$8:$BC$8,0)),'Калькуляция (МИ)'!$F$25:$F$315,$F79,'Калькуляция (МИ)'!$G$25:$G$315,$G79))))</f>
        <v>0</v>
      </c>
      <c r="AX79" s="207">
        <f ca="1">IF(AV79=0,0,(AW79-AV79)/AV79*100)</f>
        <v>0</v>
      </c>
      <c r="AY79" s="899">
        <f ca="1">IF(AND(method_reg="Метод индексации",god&lt;&gt;first_year),SUMIFS(INDEX('Калькуляция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(МИ)'!$AJ$25:$BC$315,,MATCH(AY$8,'Калькуляция (МИ)'!$AJ$8:$BC$8,0)),'Калькуляция (МИ)'!$F$25:$F$315,$F79,'Калькуляция (МИ)'!$G$25:$G$315,$G79))))</f>
        <v>0</v>
      </c>
      <c r="AZ79" s="899">
        <f ca="1">IF(AND(method_reg="Метод индексации",god&lt;&gt;first_year),SUMIFS(INDEX('Калькуляция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(МИ)'!$AJ$25:$BC$315,,MATCH(AZ$8,'Калькуляция (МИ)'!$AJ$8:$BC$8,0)),'Калькуляция (МИ)'!$F$25:$F$315,$F79,'Калькуляция (МИ)'!$G$25:$G$315,$G79))))</f>
        <v>0</v>
      </c>
      <c r="BA79" s="207">
        <f ca="1">IF(AY79=0,0,(AZ79-AY79)/AY79*100)</f>
        <v>0</v>
      </c>
      <c r="BB79" s="899">
        <f ca="1">IF(AND(method_reg="Метод индексации",god&lt;&gt;first_year),SUMIFS(INDEX('Калькуляция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(МИ)'!$AJ$25:$BC$315,,MATCH(BB$8,'Калькуляция (МИ)'!$AJ$8:$BC$8,0)),'Калькуляция (МИ)'!$F$25:$F$315,$F79,'Калькуляция (МИ)'!$G$25:$G$315,$G79))))</f>
        <v>0</v>
      </c>
      <c r="BC79" s="899">
        <f ca="1">IF(AND(method_reg="Метод индексации",god&lt;&gt;first_year),SUMIFS(INDEX('Калькуляция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(МИ)'!$AJ$25:$BC$315,,MATCH(BC$8,'Калькуляция (МИ)'!$AJ$8:$BC$8,0)),'Калькуляция (МИ)'!$F$25:$F$315,$F79,'Калькуляция (МИ)'!$G$25:$G$315,$G79))))</f>
        <v>0</v>
      </c>
      <c r="BD79" s="207">
        <f ca="1">IF(BB79=0,0,(BC79-BB79)/BB79*100)</f>
        <v>0</v>
      </c>
      <c r="BE79" s="899">
        <f ca="1">IF(AND(method_reg="Метод индексации",god&lt;&gt;first_year),SUMIFS(INDEX('Калькуляция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(МИ)'!$AJ$25:$BC$315,,MATCH(BE$8,'Калькуляция (МИ)'!$AJ$8:$BC$8,0)),'Калькуляция (МИ)'!$F$25:$F$315,$F79,'Калькуляция (МИ)'!$G$25:$G$315,$G79))))</f>
        <v>0</v>
      </c>
      <c r="BF79" s="899">
        <f ca="1">IF(AND(method_reg="Метод индексации",god&lt;&gt;first_year),SUMIFS(INDEX('Калькуляция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(МИ)'!$AJ$25:$BC$315,,MATCH(BF$8,'Калькуляция (МИ)'!$AJ$8:$BC$8,0)),'Калькуляция (МИ)'!$F$25:$F$315,$F79,'Калькуляция (МИ)'!$G$25:$G$315,$G79))))</f>
        <v>0</v>
      </c>
      <c r="BG79" s="207">
        <f ca="1">IF(BE79=0,0,(BF79-BE79)/BE79*100)</f>
        <v>0</v>
      </c>
      <c r="BH79" s="899"/>
      <c r="BI79" s="899"/>
      <c r="BJ79" s="207">
        <f>IF(BH79=0,0,(BI79-BH79)/BH79*100)</f>
        <v>0</v>
      </c>
      <c r="BK79" s="899"/>
      <c r="BL79" s="899"/>
      <c r="BM79" s="207">
        <f>IF(BK79=0,0,(BL79-BK79)/BK79*100)</f>
        <v>0</v>
      </c>
      <c r="BN79" s="899"/>
      <c r="BO79" s="899"/>
      <c r="BP79" s="207">
        <f>IF(BN79=0,0,(BO79-BN79)/BN79*100)</f>
        <v>0</v>
      </c>
      <c r="BQ79" s="899"/>
      <c r="BR79" s="899"/>
      <c r="BS79" s="207">
        <f>IF(BQ79=0,0,(BR79-BQ79)/BQ79*100)</f>
        <v>0</v>
      </c>
      <c r="BT79" s="899"/>
      <c r="BU79" s="899"/>
      <c r="BV79" s="207">
        <f>IF(BT79=0,0,(BU79-BT79)/BT79*100)</f>
        <v>0</v>
      </c>
      <c r="BW79" s="899"/>
      <c r="BX79" s="899"/>
      <c r="BY79" s="207">
        <f>IF(BW79=0,0,(BX79-BW79)/BW79*100)</f>
        <v>0</v>
      </c>
      <c r="BZ79" s="899"/>
      <c r="CA79" s="899"/>
      <c r="CB79" s="207">
        <f>IF(BZ79=0,0,(CA79-BZ79)/BZ79*100)</f>
        <v>0</v>
      </c>
      <c r="CC79" s="899"/>
      <c r="CD79" s="899"/>
      <c r="CE79" s="207">
        <f>IF(CC79=0,0,(CD79-CC79)/CC79*100)</f>
        <v>0</v>
      </c>
      <c r="CF79" s="899"/>
      <c r="CG79" s="899"/>
      <c r="CH79" s="207">
        <f>IF(CF79=0,0,(CG79-CF79)/CF79*100)</f>
        <v>0</v>
      </c>
      <c r="CI79" s="899"/>
      <c r="CJ79" s="899"/>
      <c r="CK79" s="207">
        <f>IF(CI79=0,0,(CJ79-CI79)/CI79*100)</f>
        <v>0</v>
      </c>
      <c r="CL79" s="899"/>
      <c r="CM79" s="899"/>
      <c r="CN79" s="207">
        <f>IF(CL79=0,0,(CM79-CL79)/CL79*100)</f>
        <v>0</v>
      </c>
      <c r="CO79" s="899"/>
      <c r="CP79" s="899"/>
      <c r="CQ79" s="207">
        <f>IF(CO79=0,0,(CP79-CO79)/CO79*100)</f>
        <v>0</v>
      </c>
      <c r="CR79" s="899"/>
      <c r="CS79" s="899"/>
      <c r="CT79" s="207">
        <f>IF(CR79=0,0,(CS79-CR79)/CR79*100)</f>
        <v>0</v>
      </c>
      <c r="CU79" s="899"/>
      <c r="CV79" s="899"/>
      <c r="CW79" s="207">
        <f>IF(CU79=0,0,(CV79-CU79)/CU79*100)</f>
        <v>0</v>
      </c>
      <c r="CX79" s="899"/>
      <c r="CY79" s="899"/>
      <c r="CZ79" s="207">
        <f>IF(CX79=0,0,(CY79-CX79)/CX79*100)</f>
        <v>0</v>
      </c>
      <c r="DA79" s="899"/>
      <c r="DB79" s="899"/>
      <c r="DC79" s="207">
        <f>IF(DA79=0,0,(DB79-DA79)/DA79*100)</f>
        <v>0</v>
      </c>
      <c r="DD79" s="899"/>
      <c r="DE79" s="899"/>
      <c r="DF79" s="207">
        <f>IF(DD79=0,0,(DE79-DD79)/DD79*100)</f>
        <v>0</v>
      </c>
      <c r="DG79" s="899"/>
      <c r="DH79" s="899"/>
      <c r="DI79" s="207">
        <f>IF(DG79=0,0,(DH79-DG79)/DG79*100)</f>
        <v>0</v>
      </c>
      <c r="DJ79" s="899"/>
      <c r="DK79" s="899"/>
      <c r="DL79" s="207">
        <f>IF(DJ79=0,0,(DK79-DJ79)/DJ79*100)</f>
        <v>0</v>
      </c>
      <c r="DM79" s="899"/>
      <c r="DN79" s="899"/>
      <c r="DO79" s="207">
        <f>IF(DM79=0,0,(DN79-DM79)/DM79*100)</f>
        <v>0</v>
      </c>
      <c r="DP79" s="899"/>
      <c r="DQ79" s="899"/>
      <c r="DR79" s="207">
        <f>IF(DP79=0,0,(DQ79-DP79)/DP79*100)</f>
        <v>0</v>
      </c>
      <c r="DS79" s="899"/>
      <c r="DT79" s="899"/>
      <c r="DU79" s="207">
        <f>IF(DS79=0,0,(DT79-DS79)/DS79*100)</f>
        <v>0</v>
      </c>
      <c r="DV79" s="899"/>
      <c r="DW79" s="899"/>
      <c r="DX79" s="207">
        <f>IF(DV79=0,0,(DW79-DV79)/DV79*100)</f>
        <v>0</v>
      </c>
      <c r="DY79" s="899"/>
      <c r="DZ79" s="899"/>
      <c r="EA79" s="207">
        <f>IF(DY79=0,0,(DZ79-DY79)/DY79*100)</f>
        <v>0</v>
      </c>
      <c r="EB79" s="899"/>
      <c r="EC79" s="899"/>
      <c r="ED79" s="207">
        <f>IF(EB79=0,0,(EC79-EB79)/EB79*100)</f>
        <v>0</v>
      </c>
      <c r="EE79" s="899"/>
      <c r="EF79" s="899"/>
      <c r="EG79" s="207">
        <f>IF(EE79=0,0,(EF79-EE79)/EE79*100)</f>
        <v>0</v>
      </c>
      <c r="EH79" s="899"/>
      <c r="EI79" s="899"/>
      <c r="EJ79" s="207">
        <f>IF(EH79=0,0,(EI79-EH79)/EH79*100)</f>
        <v>0</v>
      </c>
      <c r="EK79" s="899"/>
      <c r="EL79" s="899"/>
      <c r="EM79" s="207">
        <f>IF(EK79=0,0,(EL79-EK79)/EK79*100)</f>
        <v>0</v>
      </c>
      <c r="EN79" s="899"/>
      <c r="EO79" s="899"/>
      <c r="EP79" s="207">
        <f>IF(EN79=0,0,(EO79-EN79)/EN79*100)</f>
        <v>0</v>
      </c>
      <c r="EQ79" s="899"/>
      <c r="ER79" s="899"/>
      <c r="ES79" s="207">
        <f>IF(EQ79=0,0,(ER79-EQ79)/EQ79*100)</f>
        <v>0</v>
      </c>
      <c r="ET79" s="899"/>
      <c r="EU79" s="899"/>
      <c r="EV79" s="207">
        <f>IF(ET79=0,0,(EU79-ET79)/ET79*100)</f>
        <v>0</v>
      </c>
      <c r="EW79" s="899"/>
      <c r="EX79" s="899"/>
      <c r="EY79" s="207">
        <f>IF(EW79=0,0,(EX79-EW79)/EW79*100)</f>
        <v>0</v>
      </c>
      <c r="EZ79" s="899"/>
      <c r="FA79" s="899"/>
      <c r="FB79" s="207">
        <f>IF(EZ79=0,0,(FA79-EZ79)/EZ79*100)</f>
        <v>0</v>
      </c>
      <c r="FC79" s="899"/>
      <c r="FD79" s="899"/>
      <c r="FE79" s="207">
        <f>IF(FC79=0,0,(FD79-FC79)/FC79*100)</f>
        <v>0</v>
      </c>
      <c r="FF79" s="899"/>
      <c r="FG79" s="899"/>
      <c r="FH79" s="207">
        <f>IF(FF79=0,0,(FG79-FF79)/FF79*100)</f>
        <v>0</v>
      </c>
      <c r="FI79" s="899"/>
      <c r="FJ79" s="899"/>
      <c r="FK79" s="207">
        <f>IF(FI79=0,0,(FJ79-FI79)/FI79*100)</f>
        <v>0</v>
      </c>
      <c r="FL79" s="899"/>
      <c r="FM79" s="899"/>
      <c r="FN79" s="207">
        <f>IF(FL79=0,0,(FM79-FL79)/FL79*100)</f>
        <v>0</v>
      </c>
      <c r="FO79" s="899"/>
      <c r="FP79" s="899"/>
      <c r="FQ79" s="207">
        <f>IF(FO79=0,0,(FP79-FO79)/FO79*100)</f>
        <v>0</v>
      </c>
      <c r="FR79" s="899"/>
      <c r="FS79" s="899"/>
      <c r="FT79" s="207">
        <f>IF(FR79=0,0,(FS79-FR79)/FR79*100)</f>
        <v>0</v>
      </c>
      <c r="FU79" s="899"/>
      <c r="FV79" s="899"/>
      <c r="FW79" s="207">
        <f>IF(FU79=0,0,(FV79-FU79)/FU79*100)</f>
        <v>0</v>
      </c>
      <c r="FZ79" s="689" t="s">
        <v>1725</v>
      </c>
      <c r="GA79" s="689"/>
      <c r="GB79" s="689"/>
      <c r="GC79" s="690"/>
      <c r="GD79" s="690"/>
    </row>
    <row r="80" spans="1:186" ht="14.65" hidden="1" customHeight="1">
      <c r="A80" s="59"/>
      <c r="B80" s="611" t="b" cm="1">
        <f t="array" ref="B80">B79</f>
        <v>0</v>
      </c>
      <c r="C80" s="59"/>
      <c r="D80" s="59"/>
      <c r="E80" s="460">
        <v>15</v>
      </c>
      <c r="F80" s="3" cm="1">
        <f t="array" aca="1" ref="F80" ca="1">OFFSET(E80,-1,1)</f>
        <v>0</v>
      </c>
      <c r="G80" s="59"/>
      <c r="H80" s="59" t="s">
        <v>511</v>
      </c>
      <c r="I80" s="59"/>
      <c r="J80" s="59"/>
      <c r="K80" s="59"/>
      <c r="L80" s="59"/>
      <c r="M80" s="59"/>
      <c r="N80" s="59"/>
      <c r="O80" s="59"/>
      <c r="P80" s="59"/>
      <c r="Q80" s="59"/>
      <c r="R80" s="59"/>
      <c r="S80" s="59"/>
      <c r="T80" s="351" t="b" cm="1">
        <f t="array" aca="1" ref="T80" ca="1">T79</f>
        <v>0</v>
      </c>
      <c r="U80" s="59"/>
      <c r="V80" s="59"/>
      <c r="W80" s="59"/>
      <c r="X80" s="1046"/>
      <c r="Y80" s="59"/>
      <c r="Z80" s="1007"/>
      <c r="AA80" s="59"/>
      <c r="AB80" s="345" t="s">
        <v>1726</v>
      </c>
      <c r="AC80" s="9" t="s">
        <v>501</v>
      </c>
      <c r="AD80" s="618">
        <f ca="1">IF(AD78=0,0,AD79/AD78)*100</f>
        <v>0</v>
      </c>
      <c r="AE80" s="618">
        <f ca="1">IF(AE78=0,0,AE79/AE78)*100</f>
        <v>0</v>
      </c>
      <c r="AF80" s="722"/>
      <c r="AG80" s="618">
        <f ca="1">IF(AG78=0,0,AG79/AG78)*100</f>
        <v>0</v>
      </c>
      <c r="AH80" s="618">
        <f ca="1">IF(AH78=0,0,AH79/AH78)*100</f>
        <v>0</v>
      </c>
      <c r="AI80" s="722"/>
      <c r="AJ80" s="618">
        <f ca="1">IF(AJ78=0,0,AJ79/AJ78)*100</f>
        <v>0</v>
      </c>
      <c r="AK80" s="618">
        <f ca="1">IF(AK78=0,0,AK79/AK78)*100</f>
        <v>0</v>
      </c>
      <c r="AL80" s="722"/>
      <c r="AM80" s="618">
        <f ca="1">IF(AM78=0,0,AM79/AM78)*100</f>
        <v>0</v>
      </c>
      <c r="AN80" s="618">
        <f ca="1">IF(AN78=0,0,AN79/AN78)*100</f>
        <v>0</v>
      </c>
      <c r="AO80" s="722"/>
      <c r="AP80" s="618">
        <f ca="1">IF(AP78=0,0,AP79/AP78)*100</f>
        <v>0</v>
      </c>
      <c r="AQ80" s="618">
        <f ca="1">IF(AQ78=0,0,AQ79/AQ78)*100</f>
        <v>0</v>
      </c>
      <c r="AR80" s="722"/>
      <c r="AS80" s="618">
        <f ca="1">IF(AS78=0,0,AS79/AS78)*100</f>
        <v>0</v>
      </c>
      <c r="AT80" s="618">
        <f ca="1">IF(AT78=0,0,AT79/AT78)*100</f>
        <v>0</v>
      </c>
      <c r="AU80" s="722"/>
      <c r="AV80" s="618">
        <f ca="1">IF(AV78=0,0,AV79/AV78)*100</f>
        <v>0</v>
      </c>
      <c r="AW80" s="618">
        <f ca="1">IF(AW78=0,0,AW79/AW78)*100</f>
        <v>0</v>
      </c>
      <c r="AX80" s="722"/>
      <c r="AY80" s="618">
        <f ca="1">IF(AY78=0,0,AY79/AY78)*100</f>
        <v>0</v>
      </c>
      <c r="AZ80" s="618">
        <f ca="1">IF(AZ78=0,0,AZ79/AZ78)*100</f>
        <v>0</v>
      </c>
      <c r="BA80" s="722"/>
      <c r="BB80" s="618">
        <f ca="1">IF(BB78=0,0,BB79/BB78)*100</f>
        <v>0</v>
      </c>
      <c r="BC80" s="618">
        <f ca="1">IF(BC78=0,0,BC79/BC78)*100</f>
        <v>0</v>
      </c>
      <c r="BD80" s="722"/>
      <c r="BE80" s="618">
        <f ca="1">IF(BE78=0,0,BE79/BE78)*100</f>
        <v>0</v>
      </c>
      <c r="BF80" s="618">
        <f ca="1">IF(BF78=0,0,BF79/BF78)*100</f>
        <v>0</v>
      </c>
      <c r="BG80" s="722"/>
      <c r="BH80" s="618">
        <f>IF(BH78=0,0,BH79/BH78)*100</f>
        <v>0</v>
      </c>
      <c r="BI80" s="618">
        <f>IF(BI78=0,0,BI79/BI78)*100</f>
        <v>0</v>
      </c>
      <c r="BJ80" s="722"/>
      <c r="BK80" s="618">
        <f>IF(BK78=0,0,BK79/BK78)*100</f>
        <v>0</v>
      </c>
      <c r="BL80" s="618">
        <f>IF(BL78=0,0,BL79/BL78)*100</f>
        <v>0</v>
      </c>
      <c r="BM80" s="722"/>
      <c r="BN80" s="618">
        <f>IF(BN78=0,0,BN79/BN78)*100</f>
        <v>0</v>
      </c>
      <c r="BO80" s="618">
        <f>IF(BO78=0,0,BO79/BO78)*100</f>
        <v>0</v>
      </c>
      <c r="BP80" s="722"/>
      <c r="BQ80" s="618">
        <f>IF(BQ78=0,0,BQ79/BQ78)*100</f>
        <v>0</v>
      </c>
      <c r="BR80" s="618">
        <f>IF(BR78=0,0,BR79/BR78)*100</f>
        <v>0</v>
      </c>
      <c r="BS80" s="722"/>
      <c r="BT80" s="618">
        <f>IF(BT78=0,0,BT79/BT78)*100</f>
        <v>0</v>
      </c>
      <c r="BU80" s="618">
        <f>IF(BU78=0,0,BU79/BU78)*100</f>
        <v>0</v>
      </c>
      <c r="BV80" s="722"/>
      <c r="BW80" s="618">
        <f>IF(BW78=0,0,BW79/BW78)*100</f>
        <v>0</v>
      </c>
      <c r="BX80" s="618">
        <f>IF(BX78=0,0,BX79/BX78)*100</f>
        <v>0</v>
      </c>
      <c r="BY80" s="722"/>
      <c r="BZ80" s="618">
        <f>IF(BZ78=0,0,BZ79/BZ78)*100</f>
        <v>0</v>
      </c>
      <c r="CA80" s="618">
        <f>IF(CA78=0,0,CA79/CA78)*100</f>
        <v>0</v>
      </c>
      <c r="CB80" s="722"/>
      <c r="CC80" s="618">
        <f>IF(CC78=0,0,CC79/CC78)*100</f>
        <v>0</v>
      </c>
      <c r="CD80" s="618">
        <f>IF(CD78=0,0,CD79/CD78)*100</f>
        <v>0</v>
      </c>
      <c r="CE80" s="722"/>
      <c r="CF80" s="618">
        <f>IF(CF78=0,0,CF79/CF78)*100</f>
        <v>0</v>
      </c>
      <c r="CG80" s="618">
        <f>IF(CG78=0,0,CG79/CG78)*100</f>
        <v>0</v>
      </c>
      <c r="CH80" s="722"/>
      <c r="CI80" s="618">
        <f>IF(CI78=0,0,CI79/CI78)*100</f>
        <v>0</v>
      </c>
      <c r="CJ80" s="618">
        <f>IF(CJ78=0,0,CJ79/CJ78)*100</f>
        <v>0</v>
      </c>
      <c r="CK80" s="722"/>
      <c r="CL80" s="618">
        <f>IF(CL78=0,0,CL79/CL78)*100</f>
        <v>0</v>
      </c>
      <c r="CM80" s="618">
        <f>IF(CM78=0,0,CM79/CM78)*100</f>
        <v>0</v>
      </c>
      <c r="CN80" s="722"/>
      <c r="CO80" s="618">
        <f>IF(CO78=0,0,CO79/CO78)*100</f>
        <v>0</v>
      </c>
      <c r="CP80" s="618">
        <f>IF(CP78=0,0,CP79/CP78)*100</f>
        <v>0</v>
      </c>
      <c r="CQ80" s="722"/>
      <c r="CR80" s="618">
        <f>IF(CR78=0,0,CR79/CR78)*100</f>
        <v>0</v>
      </c>
      <c r="CS80" s="618">
        <f>IF(CS78=0,0,CS79/CS78)*100</f>
        <v>0</v>
      </c>
      <c r="CT80" s="722"/>
      <c r="CU80" s="618">
        <f>IF(CU78=0,0,CU79/CU78)*100</f>
        <v>0</v>
      </c>
      <c r="CV80" s="618">
        <f>IF(CV78=0,0,CV79/CV78)*100</f>
        <v>0</v>
      </c>
      <c r="CW80" s="722"/>
      <c r="CX80" s="618">
        <f>IF(CX78=0,0,CX79/CX78)*100</f>
        <v>0</v>
      </c>
      <c r="CY80" s="618">
        <f>IF(CY78=0,0,CY79/CY78)*100</f>
        <v>0</v>
      </c>
      <c r="CZ80" s="722"/>
      <c r="DA80" s="618">
        <f>IF(DA78=0,0,DA79/DA78)*100</f>
        <v>0</v>
      </c>
      <c r="DB80" s="618">
        <f>IF(DB78=0,0,DB79/DB78)*100</f>
        <v>0</v>
      </c>
      <c r="DC80" s="722"/>
      <c r="DD80" s="618">
        <f>IF(DD78=0,0,DD79/DD78)*100</f>
        <v>0</v>
      </c>
      <c r="DE80" s="618">
        <f>IF(DE78=0,0,DE79/DE78)*100</f>
        <v>0</v>
      </c>
      <c r="DF80" s="722"/>
      <c r="DG80" s="618">
        <f>IF(DG78=0,0,DG79/DG78)*100</f>
        <v>0</v>
      </c>
      <c r="DH80" s="618">
        <f>IF(DH78=0,0,DH79/DH78)*100</f>
        <v>0</v>
      </c>
      <c r="DI80" s="722"/>
      <c r="DJ80" s="618">
        <f>IF(DJ78=0,0,DJ79/DJ78)*100</f>
        <v>0</v>
      </c>
      <c r="DK80" s="618">
        <f>IF(DK78=0,0,DK79/DK78)*100</f>
        <v>0</v>
      </c>
      <c r="DL80" s="722"/>
      <c r="DM80" s="618">
        <f>IF(DM78=0,0,DM79/DM78)*100</f>
        <v>0</v>
      </c>
      <c r="DN80" s="618">
        <f>IF(DN78=0,0,DN79/DN78)*100</f>
        <v>0</v>
      </c>
      <c r="DO80" s="722"/>
      <c r="DP80" s="618">
        <f>IF(DP78=0,0,DP79/DP78)*100</f>
        <v>0</v>
      </c>
      <c r="DQ80" s="618">
        <f>IF(DQ78=0,0,DQ79/DQ78)*100</f>
        <v>0</v>
      </c>
      <c r="DR80" s="722"/>
      <c r="DS80" s="618">
        <f>IF(DS78=0,0,DS79/DS78)*100</f>
        <v>0</v>
      </c>
      <c r="DT80" s="618">
        <f>IF(DT78=0,0,DT79/DT78)*100</f>
        <v>0</v>
      </c>
      <c r="DU80" s="722"/>
      <c r="DV80" s="618">
        <f>IF(DV78=0,0,DV79/DV78)*100</f>
        <v>0</v>
      </c>
      <c r="DW80" s="618">
        <f>IF(DW78=0,0,DW79/DW78)*100</f>
        <v>0</v>
      </c>
      <c r="DX80" s="722"/>
      <c r="DY80" s="618">
        <f>IF(DY78=0,0,DY79/DY78)*100</f>
        <v>0</v>
      </c>
      <c r="DZ80" s="618">
        <f>IF(DZ78=0,0,DZ79/DZ78)*100</f>
        <v>0</v>
      </c>
      <c r="EA80" s="722"/>
      <c r="EB80" s="618">
        <f>IF(EB78=0,0,EB79/EB78)*100</f>
        <v>0</v>
      </c>
      <c r="EC80" s="618">
        <f>IF(EC78=0,0,EC79/EC78)*100</f>
        <v>0</v>
      </c>
      <c r="ED80" s="722"/>
      <c r="EE80" s="618">
        <f>IF(EE78=0,0,EE79/EE78)*100</f>
        <v>0</v>
      </c>
      <c r="EF80" s="618">
        <f>IF(EF78=0,0,EF79/EF78)*100</f>
        <v>0</v>
      </c>
      <c r="EG80" s="722"/>
      <c r="EH80" s="618">
        <f>IF(EH78=0,0,EH79/EH78)*100</f>
        <v>0</v>
      </c>
      <c r="EI80" s="618">
        <f>IF(EI78=0,0,EI79/EI78)*100</f>
        <v>0</v>
      </c>
      <c r="EJ80" s="722"/>
      <c r="EK80" s="618">
        <f>IF(EK78=0,0,EK79/EK78)*100</f>
        <v>0</v>
      </c>
      <c r="EL80" s="618">
        <f>IF(EL78=0,0,EL79/EL78)*100</f>
        <v>0</v>
      </c>
      <c r="EM80" s="722"/>
      <c r="EN80" s="618">
        <f>IF(EN78=0,0,EN79/EN78)*100</f>
        <v>0</v>
      </c>
      <c r="EO80" s="618">
        <f>IF(EO78=0,0,EO79/EO78)*100</f>
        <v>0</v>
      </c>
      <c r="EP80" s="722"/>
      <c r="EQ80" s="618">
        <f>IF(EQ78=0,0,EQ79/EQ78)*100</f>
        <v>0</v>
      </c>
      <c r="ER80" s="618">
        <f>IF(ER78=0,0,ER79/ER78)*100</f>
        <v>0</v>
      </c>
      <c r="ES80" s="722"/>
      <c r="ET80" s="618">
        <f>IF(ET78=0,0,ET79/ET78)*100</f>
        <v>0</v>
      </c>
      <c r="EU80" s="618">
        <f>IF(EU78=0,0,EU79/EU78)*100</f>
        <v>0</v>
      </c>
      <c r="EV80" s="722"/>
      <c r="EW80" s="618">
        <f>IF(EW78=0,0,EW79/EW78)*100</f>
        <v>0</v>
      </c>
      <c r="EX80" s="618">
        <f>IF(EX78=0,0,EX79/EX78)*100</f>
        <v>0</v>
      </c>
      <c r="EY80" s="722"/>
      <c r="EZ80" s="618">
        <f>IF(EZ78=0,0,EZ79/EZ78)*100</f>
        <v>0</v>
      </c>
      <c r="FA80" s="618">
        <f>IF(FA78=0,0,FA79/FA78)*100</f>
        <v>0</v>
      </c>
      <c r="FB80" s="722"/>
      <c r="FC80" s="618">
        <f>IF(FC78=0,0,FC79/FC78)*100</f>
        <v>0</v>
      </c>
      <c r="FD80" s="618">
        <f>IF(FD78=0,0,FD79/FD78)*100</f>
        <v>0</v>
      </c>
      <c r="FE80" s="722"/>
      <c r="FF80" s="618">
        <f>IF(FF78=0,0,FF79/FF78)*100</f>
        <v>0</v>
      </c>
      <c r="FG80" s="618">
        <f>IF(FG78=0,0,FG79/FG78)*100</f>
        <v>0</v>
      </c>
      <c r="FH80" s="722"/>
      <c r="FI80" s="618">
        <f>IF(FI78=0,0,FI79/FI78)*100</f>
        <v>0</v>
      </c>
      <c r="FJ80" s="618">
        <f>IF(FJ78=0,0,FJ79/FJ78)*100</f>
        <v>0</v>
      </c>
      <c r="FK80" s="722"/>
      <c r="FL80" s="618">
        <f>IF(FL78=0,0,FL79/FL78)*100</f>
        <v>0</v>
      </c>
      <c r="FM80" s="618">
        <f>IF(FM78=0,0,FM79/FM78)*100</f>
        <v>0</v>
      </c>
      <c r="FN80" s="722"/>
      <c r="FO80" s="618">
        <f>IF(FO78=0,0,FO79/FO78)*100</f>
        <v>0</v>
      </c>
      <c r="FP80" s="618">
        <f>IF(FP78=0,0,FP79/FP78)*100</f>
        <v>0</v>
      </c>
      <c r="FQ80" s="722"/>
      <c r="FR80" s="618">
        <f>IF(FR78=0,0,FR79/FR78)*100</f>
        <v>0</v>
      </c>
      <c r="FS80" s="618">
        <f>IF(FS78=0,0,FS79/FS78)*100</f>
        <v>0</v>
      </c>
      <c r="FT80" s="722"/>
      <c r="FU80" s="618">
        <f>IF(FU78=0,0,FU79/FU78)*100</f>
        <v>0</v>
      </c>
      <c r="FV80" s="618">
        <f>IF(FV78=0,0,FV79/FV78)*100</f>
        <v>0</v>
      </c>
      <c r="FW80" s="723"/>
      <c r="FX80" s="203"/>
      <c r="FZ80" s="689" t="s">
        <v>1727</v>
      </c>
    </row>
    <row r="81" spans="1:186" ht="14.65" hidden="1" customHeight="1">
      <c r="A81" s="59"/>
      <c r="B81" s="611" t="b" cm="1">
        <f t="array" ref="B81">B80</f>
        <v>0</v>
      </c>
      <c r="C81" s="59"/>
      <c r="D81" s="59"/>
      <c r="E81" s="460">
        <v>15</v>
      </c>
      <c r="F81" s="3" cm="1">
        <f t="array" aca="1" ref="F81" ca="1">OFFSET(E81,-1,1)</f>
        <v>0</v>
      </c>
      <c r="G81" s="25" t="s">
        <v>1656</v>
      </c>
      <c r="H81" s="59"/>
      <c r="I81" s="59"/>
      <c r="J81" s="59"/>
      <c r="K81" s="59"/>
      <c r="L81" s="59"/>
      <c r="M81" s="59"/>
      <c r="N81" s="59"/>
      <c r="O81" s="59"/>
      <c r="P81" s="59"/>
      <c r="Q81" s="59"/>
      <c r="R81" s="59"/>
      <c r="S81" s="59"/>
      <c r="T81" s="351" t="b" cm="1">
        <f t="array" aca="1" ref="T81" ca="1">T80</f>
        <v>0</v>
      </c>
      <c r="U81" s="59"/>
      <c r="V81" s="59"/>
      <c r="W81" s="59"/>
      <c r="X81" s="1046"/>
      <c r="Y81" s="59"/>
      <c r="Z81" s="1007"/>
      <c r="AA81" s="59"/>
      <c r="AB81" s="54" t="s">
        <v>1657</v>
      </c>
      <c r="AC81" s="12" t="s">
        <v>585</v>
      </c>
      <c r="AD81" s="833">
        <f ca="1">IF(AND(method_reg="Метод индексации",god&lt;&gt;first_year),SUMIFS(INDEX('Калькуляция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(МИ)'!$AJ$25:$BC$315,,MATCH(AD$8,'Калькуляция (МИ)'!$AJ$8:$BC$8,0)),'Калькуляция (МИ)'!$F$25:$F$315,$F81,'Калькуляция (МИ)'!$G$25:$G$315,$G81))))</f>
        <v>0</v>
      </c>
      <c r="AE81" s="833">
        <f ca="1">IF(AND(method_reg="Метод индексации",god&lt;&gt;first_year),SUMIFS(INDEX('Калькуляция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(МИ)'!$AJ$25:$BC$315,,MATCH(AE$8,'Калькуляция (МИ)'!$AJ$8:$BC$8,0)),'Калькуляция (МИ)'!$F$25:$F$315,$F81,'Калькуляция (МИ)'!$G$25:$G$315,$G81))))</f>
        <v>0</v>
      </c>
      <c r="AF81" s="713">
        <f ca="1">IF(AD81=0,0,(AE81-AD81)/AD81*100)</f>
        <v>0</v>
      </c>
      <c r="AG81" s="190">
        <f ca="1">IF(AND(method_reg="Метод индексации",god&lt;&gt;first_year),SUMIFS(INDEX('Калькуляция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(МИ)'!$AJ$25:$BC$315,,MATCH(AG$8,'Калькуляция (МИ)'!$AJ$8:$BC$8,0)),'Калькуляция (МИ)'!$F$25:$F$315,$F81,'Калькуляция (МИ)'!$G$25:$G$315,$G81))))</f>
        <v>0</v>
      </c>
      <c r="AH81" s="190">
        <f ca="1">IF(AND(method_reg="Метод индексации",god&lt;&gt;first_year),SUMIFS(INDEX('Калькуляция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(МИ)'!$AJ$25:$BC$315,,MATCH(AH$8,'Калькуляция (МИ)'!$AJ$8:$BC$8,0)),'Калькуляция (МИ)'!$F$25:$F$315,$F81,'Калькуляция (МИ)'!$G$25:$G$315,$G81))))</f>
        <v>0</v>
      </c>
      <c r="AI81" s="713">
        <f ca="1">IF(AG81=0,0,(AH81-AG81)/AG81*100)</f>
        <v>0</v>
      </c>
      <c r="AJ81" s="190">
        <f ca="1">IF(AND(method_reg="Метод индексации",god&lt;&gt;first_year),SUMIFS(INDEX('Калькуляция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(МИ)'!$AJ$25:$BC$315,,MATCH(AJ$8,'Калькуляция (МИ)'!$AJ$8:$BC$8,0)),'Калькуляция (МИ)'!$F$25:$F$315,$F81,'Калькуляция (МИ)'!$G$25:$G$315,$G81))))</f>
        <v>0</v>
      </c>
      <c r="AK81" s="190">
        <f ca="1">IF(AND(method_reg="Метод индексации",god&lt;&gt;first_year),SUMIFS(INDEX('Калькуляция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(МИ)'!$AJ$25:$BC$315,,MATCH(AK$8,'Калькуляция (МИ)'!$AJ$8:$BC$8,0)),'Калькуляция (МИ)'!$F$25:$F$315,$F81,'Калькуляция (МИ)'!$G$25:$G$315,$G81))))</f>
        <v>0</v>
      </c>
      <c r="AL81" s="713">
        <f ca="1">IF(AJ81=0,0,(AK81-AJ81)/AJ81*100)</f>
        <v>0</v>
      </c>
      <c r="AM81" s="833">
        <f ca="1">IF(AND(method_reg="Метод индексации",god&lt;&gt;first_year),SUMIFS(INDEX('Калькуляция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(МИ)'!$AJ$25:$BC$315,,MATCH(AM$8,'Калькуляция (МИ)'!$AJ$8:$BC$8,0)),'Калькуляция (МИ)'!$F$25:$F$315,$F81,'Калькуляция (МИ)'!$G$25:$G$315,$G81))))</f>
        <v>0</v>
      </c>
      <c r="AN81" s="833">
        <f ca="1">IF(AND(method_reg="Метод индексации",god&lt;&gt;first_year),SUMIFS(INDEX('Калькуляция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(МИ)'!$AJ$25:$BC$315,,MATCH(AN$8,'Калькуляция (МИ)'!$AJ$8:$BC$8,0)),'Калькуляция (МИ)'!$F$25:$F$315,$F81,'Калькуляция (МИ)'!$G$25:$G$315,$G81))))</f>
        <v>0</v>
      </c>
      <c r="AO81" s="713">
        <f ca="1">IF(AM81=0,0,(AN81-AM81)/AM81*100)</f>
        <v>0</v>
      </c>
      <c r="AP81" s="833">
        <f ca="1">IF(AND(method_reg="Метод индексации",god&lt;&gt;first_year),SUMIFS(INDEX('Калькуляция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(МИ)'!$AJ$25:$BC$315,,MATCH(AP$8,'Калькуляция (МИ)'!$AJ$8:$BC$8,0)),'Калькуляция (МИ)'!$F$25:$F$315,$F81,'Калькуляция (МИ)'!$G$25:$G$315,$G81))))</f>
        <v>0</v>
      </c>
      <c r="AQ81" s="833">
        <f ca="1">IF(AND(method_reg="Метод индексации",god&lt;&gt;first_year),SUMIFS(INDEX('Калькуляция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(МИ)'!$AJ$25:$BC$315,,MATCH(AQ$8,'Калькуляция (МИ)'!$AJ$8:$BC$8,0)),'Калькуляция (МИ)'!$F$25:$F$315,$F81,'Калькуляция (МИ)'!$G$25:$G$315,$G81))))</f>
        <v>0</v>
      </c>
      <c r="AR81" s="713">
        <f ca="1">IF(AP81=0,0,(AQ81-AP81)/AP81*100)</f>
        <v>0</v>
      </c>
      <c r="AS81" s="833">
        <f ca="1">IF(AND(method_reg="Метод индексации",god&lt;&gt;first_year),SUMIFS(INDEX('Калькуляция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(МИ)'!$AJ$25:$BC$315,,MATCH(AS$8,'Калькуляция (МИ)'!$AJ$8:$BC$8,0)),'Калькуляция (МИ)'!$F$25:$F$315,$F81,'Калькуляция (МИ)'!$G$25:$G$315,$G81))))</f>
        <v>0</v>
      </c>
      <c r="AT81" s="833">
        <f ca="1">IF(AND(method_reg="Метод индексации",god&lt;&gt;first_year),SUMIFS(INDEX('Калькуляция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(МИ)'!$AJ$25:$BC$315,,MATCH(AT$8,'Калькуляция (МИ)'!$AJ$8:$BC$8,0)),'Калькуляция (МИ)'!$F$25:$F$315,$F81,'Калькуляция (МИ)'!$G$25:$G$315,$G81))))</f>
        <v>0</v>
      </c>
      <c r="AU81" s="713">
        <f ca="1">IF(AS81=0,0,(AT81-AS81)/AS81*100)</f>
        <v>0</v>
      </c>
      <c r="AV81" s="833">
        <f ca="1">IF(AND(method_reg="Метод индексации",god&lt;&gt;first_year),SUMIFS(INDEX('Калькуляция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(МИ)'!$AJ$25:$BC$315,,MATCH(AV$8,'Калькуляция (МИ)'!$AJ$8:$BC$8,0)),'Калькуляция (МИ)'!$F$25:$F$315,$F81,'Калькуляция (МИ)'!$G$25:$G$315,$G81))))</f>
        <v>0</v>
      </c>
      <c r="AW81" s="833">
        <f ca="1">IF(AND(method_reg="Метод индексации",god&lt;&gt;first_year),SUMIFS(INDEX('Калькуляция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(МИ)'!$AJ$25:$BC$315,,MATCH(AW$8,'Калькуляция (МИ)'!$AJ$8:$BC$8,0)),'Калькуляция (МИ)'!$F$25:$F$315,$F81,'Калькуляция (МИ)'!$G$25:$G$315,$G81))))</f>
        <v>0</v>
      </c>
      <c r="AX81" s="713">
        <f ca="1">IF(AV81=0,0,(AW81-AV81)/AV81*100)</f>
        <v>0</v>
      </c>
      <c r="AY81" s="833">
        <f ca="1">IF(AND(method_reg="Метод индексации",god&lt;&gt;first_year),SUMIFS(INDEX('Калькуляция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(МИ)'!$AJ$25:$BC$315,,MATCH(AY$8,'Калькуляция (МИ)'!$AJ$8:$BC$8,0)),'Калькуляция (МИ)'!$F$25:$F$315,$F81,'Калькуляция (МИ)'!$G$25:$G$315,$G81))))</f>
        <v>0</v>
      </c>
      <c r="AZ81" s="833">
        <f ca="1">IF(AND(method_reg="Метод индексации",god&lt;&gt;first_year),SUMIFS(INDEX('Калькуляция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(МИ)'!$AJ$25:$BC$315,,MATCH(AZ$8,'Калькуляция (МИ)'!$AJ$8:$BC$8,0)),'Калькуляция (МИ)'!$F$25:$F$315,$F81,'Калькуляция (МИ)'!$G$25:$G$315,$G81))))</f>
        <v>0</v>
      </c>
      <c r="BA81" s="713">
        <f ca="1">IF(AY81=0,0,(AZ81-AY81)/AY81*100)</f>
        <v>0</v>
      </c>
      <c r="BB81" s="833">
        <f ca="1">IF(AND(method_reg="Метод индексации",god&lt;&gt;first_year),SUMIFS(INDEX('Калькуляция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(МИ)'!$AJ$25:$BC$315,,MATCH(BB$8,'Калькуляция (МИ)'!$AJ$8:$BC$8,0)),'Калькуляция (МИ)'!$F$25:$F$315,$F81,'Калькуляция (МИ)'!$G$25:$G$315,$G81))))</f>
        <v>0</v>
      </c>
      <c r="BC81" s="833">
        <f ca="1">IF(AND(method_reg="Метод индексации",god&lt;&gt;first_year),SUMIFS(INDEX('Калькуляция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(МИ)'!$AJ$25:$BC$315,,MATCH(BC$8,'Калькуляция (МИ)'!$AJ$8:$BC$8,0)),'Калькуляция (МИ)'!$F$25:$F$315,$F81,'Калькуляция (МИ)'!$G$25:$G$315,$G81))))</f>
        <v>0</v>
      </c>
      <c r="BD81" s="713">
        <f ca="1">IF(BB81=0,0,(BC81-BB81)/BB81*100)</f>
        <v>0</v>
      </c>
      <c r="BE81" s="833">
        <f ca="1">IF(AND(method_reg="Метод индексации",god&lt;&gt;first_year),SUMIFS(INDEX('Калькуляция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(МИ)'!$AJ$25:$BC$315,,MATCH(BE$8,'Калькуляция (МИ)'!$AJ$8:$BC$8,0)),'Калькуляция (МИ)'!$F$25:$F$315,$F81,'Калькуляция (МИ)'!$G$25:$G$315,$G81))))</f>
        <v>0</v>
      </c>
      <c r="BF81" s="833">
        <f ca="1">IF(AND(method_reg="Метод индексации",god&lt;&gt;first_year),SUMIFS(INDEX('Калькуляция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(МИ)'!$AJ$25:$BC$315,,MATCH(BF$8,'Калькуляция (МИ)'!$AJ$8:$BC$8,0)),'Калькуляция (МИ)'!$F$25:$F$315,$F81,'Калькуляция (МИ)'!$G$25:$G$315,$G81))))</f>
        <v>0</v>
      </c>
      <c r="BG81" s="713">
        <f ca="1">IF(BE81=0,0,(BF81-BE81)/BE81*100)</f>
        <v>0</v>
      </c>
      <c r="BH81" s="833"/>
      <c r="BI81" s="833"/>
      <c r="BJ81" s="713">
        <f>IF(BH81=0,0,(BI81-BH81)/BH81*100)</f>
        <v>0</v>
      </c>
      <c r="BK81" s="833"/>
      <c r="BL81" s="833"/>
      <c r="BM81" s="713">
        <f>IF(BK81=0,0,(BL81-BK81)/BK81*100)</f>
        <v>0</v>
      </c>
      <c r="BN81" s="833"/>
      <c r="BO81" s="833"/>
      <c r="BP81" s="713">
        <f>IF(BN81=0,0,(BO81-BN81)/BN81*100)</f>
        <v>0</v>
      </c>
      <c r="BQ81" s="833"/>
      <c r="BR81" s="833"/>
      <c r="BS81" s="713">
        <f>IF(BQ81=0,0,(BR81-BQ81)/BQ81*100)</f>
        <v>0</v>
      </c>
      <c r="BT81" s="833"/>
      <c r="BU81" s="833"/>
      <c r="BV81" s="713">
        <f>IF(BT81=0,0,(BU81-BT81)/BT81*100)</f>
        <v>0</v>
      </c>
      <c r="BW81" s="833"/>
      <c r="BX81" s="833"/>
      <c r="BY81" s="713">
        <f>IF(BW81=0,0,(BX81-BW81)/BW81*100)</f>
        <v>0</v>
      </c>
      <c r="BZ81" s="833"/>
      <c r="CA81" s="833"/>
      <c r="CB81" s="713">
        <f>IF(BZ81=0,0,(CA81-BZ81)/BZ81*100)</f>
        <v>0</v>
      </c>
      <c r="CC81" s="833"/>
      <c r="CD81" s="833"/>
      <c r="CE81" s="713">
        <f>IF(CC81=0,0,(CD81-CC81)/CC81*100)</f>
        <v>0</v>
      </c>
      <c r="CF81" s="833"/>
      <c r="CG81" s="833"/>
      <c r="CH81" s="713">
        <f>IF(CF81=0,0,(CG81-CF81)/CF81*100)</f>
        <v>0</v>
      </c>
      <c r="CI81" s="833"/>
      <c r="CJ81" s="833"/>
      <c r="CK81" s="713">
        <f>IF(CI81=0,0,(CJ81-CI81)/CI81*100)</f>
        <v>0</v>
      </c>
      <c r="CL81" s="833"/>
      <c r="CM81" s="833"/>
      <c r="CN81" s="713">
        <f>IF(CL81=0,0,(CM81-CL81)/CL81*100)</f>
        <v>0</v>
      </c>
      <c r="CO81" s="833"/>
      <c r="CP81" s="833"/>
      <c r="CQ81" s="713">
        <f>IF(CO81=0,0,(CP81-CO81)/CO81*100)</f>
        <v>0</v>
      </c>
      <c r="CR81" s="833"/>
      <c r="CS81" s="833"/>
      <c r="CT81" s="713">
        <f>IF(CR81=0,0,(CS81-CR81)/CR81*100)</f>
        <v>0</v>
      </c>
      <c r="CU81" s="833"/>
      <c r="CV81" s="833"/>
      <c r="CW81" s="713">
        <f>IF(CU81=0,0,(CV81-CU81)/CU81*100)</f>
        <v>0</v>
      </c>
      <c r="CX81" s="833"/>
      <c r="CY81" s="833"/>
      <c r="CZ81" s="713">
        <f>IF(CX81=0,0,(CY81-CX81)/CX81*100)</f>
        <v>0</v>
      </c>
      <c r="DA81" s="833"/>
      <c r="DB81" s="833"/>
      <c r="DC81" s="713">
        <f>IF(DA81=0,0,(DB81-DA81)/DA81*100)</f>
        <v>0</v>
      </c>
      <c r="DD81" s="833"/>
      <c r="DE81" s="833"/>
      <c r="DF81" s="713">
        <f>IF(DD81=0,0,(DE81-DD81)/DD81*100)</f>
        <v>0</v>
      </c>
      <c r="DG81" s="833"/>
      <c r="DH81" s="833"/>
      <c r="DI81" s="713">
        <f>IF(DG81=0,0,(DH81-DG81)/DG81*100)</f>
        <v>0</v>
      </c>
      <c r="DJ81" s="833"/>
      <c r="DK81" s="833"/>
      <c r="DL81" s="713">
        <f>IF(DJ81=0,0,(DK81-DJ81)/DJ81*100)</f>
        <v>0</v>
      </c>
      <c r="DM81" s="833"/>
      <c r="DN81" s="833"/>
      <c r="DO81" s="713">
        <f>IF(DM81=0,0,(DN81-DM81)/DM81*100)</f>
        <v>0</v>
      </c>
      <c r="DP81" s="833"/>
      <c r="DQ81" s="833"/>
      <c r="DR81" s="713">
        <f>IF(DP81=0,0,(DQ81-DP81)/DP81*100)</f>
        <v>0</v>
      </c>
      <c r="DS81" s="833"/>
      <c r="DT81" s="833"/>
      <c r="DU81" s="713">
        <f>IF(DS81=0,0,(DT81-DS81)/DS81*100)</f>
        <v>0</v>
      </c>
      <c r="DV81" s="833"/>
      <c r="DW81" s="833"/>
      <c r="DX81" s="713">
        <f>IF(DV81=0,0,(DW81-DV81)/DV81*100)</f>
        <v>0</v>
      </c>
      <c r="DY81" s="833"/>
      <c r="DZ81" s="833"/>
      <c r="EA81" s="713">
        <f>IF(DY81=0,0,(DZ81-DY81)/DY81*100)</f>
        <v>0</v>
      </c>
      <c r="EB81" s="833"/>
      <c r="EC81" s="833"/>
      <c r="ED81" s="713">
        <f>IF(EB81=0,0,(EC81-EB81)/EB81*100)</f>
        <v>0</v>
      </c>
      <c r="EE81" s="833"/>
      <c r="EF81" s="833"/>
      <c r="EG81" s="713">
        <f>IF(EE81=0,0,(EF81-EE81)/EE81*100)</f>
        <v>0</v>
      </c>
      <c r="EH81" s="833"/>
      <c r="EI81" s="833"/>
      <c r="EJ81" s="713">
        <f>IF(EH81=0,0,(EI81-EH81)/EH81*100)</f>
        <v>0</v>
      </c>
      <c r="EK81" s="833"/>
      <c r="EL81" s="833"/>
      <c r="EM81" s="713">
        <f>IF(EK81=0,0,(EL81-EK81)/EK81*100)</f>
        <v>0</v>
      </c>
      <c r="EN81" s="833"/>
      <c r="EO81" s="833"/>
      <c r="EP81" s="713">
        <f>IF(EN81=0,0,(EO81-EN81)/EN81*100)</f>
        <v>0</v>
      </c>
      <c r="EQ81" s="833"/>
      <c r="ER81" s="833"/>
      <c r="ES81" s="713">
        <f>IF(EQ81=0,0,(ER81-EQ81)/EQ81*100)</f>
        <v>0</v>
      </c>
      <c r="ET81" s="833"/>
      <c r="EU81" s="833"/>
      <c r="EV81" s="713">
        <f>IF(ET81=0,0,(EU81-ET81)/ET81*100)</f>
        <v>0</v>
      </c>
      <c r="EW81" s="833"/>
      <c r="EX81" s="833"/>
      <c r="EY81" s="713">
        <f>IF(EW81=0,0,(EX81-EW81)/EW81*100)</f>
        <v>0</v>
      </c>
      <c r="EZ81" s="833"/>
      <c r="FA81" s="833"/>
      <c r="FB81" s="713">
        <f>IF(EZ81=0,0,(FA81-EZ81)/EZ81*100)</f>
        <v>0</v>
      </c>
      <c r="FC81" s="833"/>
      <c r="FD81" s="833"/>
      <c r="FE81" s="713">
        <f>IF(FC81=0,0,(FD81-FC81)/FC81*100)</f>
        <v>0</v>
      </c>
      <c r="FF81" s="833"/>
      <c r="FG81" s="833"/>
      <c r="FH81" s="713">
        <f>IF(FF81=0,0,(FG81-FF81)/FF81*100)</f>
        <v>0</v>
      </c>
      <c r="FI81" s="833"/>
      <c r="FJ81" s="833"/>
      <c r="FK81" s="713">
        <f>IF(FI81=0,0,(FJ81-FI81)/FI81*100)</f>
        <v>0</v>
      </c>
      <c r="FL81" s="833"/>
      <c r="FM81" s="833"/>
      <c r="FN81" s="713">
        <f>IF(FL81=0,0,(FM81-FL81)/FL81*100)</f>
        <v>0</v>
      </c>
      <c r="FO81" s="833"/>
      <c r="FP81" s="833"/>
      <c r="FQ81" s="713">
        <f>IF(FO81=0,0,(FP81-FO81)/FO81*100)</f>
        <v>0</v>
      </c>
      <c r="FR81" s="833"/>
      <c r="FS81" s="833"/>
      <c r="FT81" s="713">
        <f>IF(FR81=0,0,(FS81-FR81)/FR81*100)</f>
        <v>0</v>
      </c>
      <c r="FU81" s="833"/>
      <c r="FV81" s="833"/>
      <c r="FW81" s="713">
        <f>IF(FU81=0,0,(FV81-FU81)/FU81*100)</f>
        <v>0</v>
      </c>
      <c r="FX81" s="203"/>
      <c r="FZ81" s="689" t="s">
        <v>1728</v>
      </c>
    </row>
    <row r="82" spans="1:186" ht="18.2" hidden="1" customHeight="1">
      <c r="A82" s="59"/>
      <c r="B82" s="611" t="b" cm="1">
        <f t="array" ref="B82">B81</f>
        <v>0</v>
      </c>
      <c r="C82" s="59"/>
      <c r="D82" s="59"/>
      <c r="E82" s="460">
        <v>18.75</v>
      </c>
      <c r="F82" s="3" cm="1">
        <f t="array" aca="1" ref="F82" ca="1">OFFSET(E82,-1,1)</f>
        <v>0</v>
      </c>
      <c r="G82" s="59"/>
      <c r="H82" s="59" t="s">
        <v>507</v>
      </c>
      <c r="I82" s="59" cm="1">
        <f t="array" ref="I82">AB82</f>
        <v>0</v>
      </c>
      <c r="J82" s="59"/>
      <c r="K82" s="59"/>
      <c r="L82" s="59"/>
      <c r="M82" s="59"/>
      <c r="N82" s="59"/>
      <c r="O82" s="59"/>
      <c r="P82" s="59"/>
      <c r="Q82" s="59"/>
      <c r="R82" s="59"/>
      <c r="S82" s="59"/>
      <c r="T82" s="351" t="b">
        <f ca="1">AND(F82&gt;0,Y82&gt;0)</f>
        <v>0</v>
      </c>
      <c r="U82" s="59"/>
      <c r="V82" s="59"/>
      <c r="W82" s="59" t="s">
        <v>171</v>
      </c>
      <c r="X82" s="1046"/>
      <c r="Y82" s="59">
        <v>0</v>
      </c>
      <c r="Z82" s="1007"/>
      <c r="AA82" s="480" t="s">
        <v>172</v>
      </c>
      <c r="AB82" s="885"/>
      <c r="AC82" s="12" t="s">
        <v>1647</v>
      </c>
      <c r="AD82" s="817"/>
      <c r="AE82" s="898"/>
      <c r="AF82" s="712">
        <f>IF(AD82=0,0,(AE82-AD82)/AD82*100)</f>
        <v>0</v>
      </c>
      <c r="AG82" s="714"/>
      <c r="AH82" s="714"/>
      <c r="AI82" s="712">
        <f>IF(AG82=0,0,(AH82-AG82)/AG82*100)</f>
        <v>0</v>
      </c>
      <c r="AJ82" s="714"/>
      <c r="AK82" s="714"/>
      <c r="AL82" s="712">
        <f>IF(AJ82=0,0,(AK82-AJ82)/AJ82*100)</f>
        <v>0</v>
      </c>
      <c r="AM82" s="898"/>
      <c r="AN82" s="898"/>
      <c r="AO82" s="712">
        <f>IF(AM82=0,0,(AN82-AM82)/AM82*100)</f>
        <v>0</v>
      </c>
      <c r="AP82" s="898"/>
      <c r="AQ82" s="898"/>
      <c r="AR82" s="712">
        <f>IF(AP82=0,0,(AQ82-AP82)/AP82*100)</f>
        <v>0</v>
      </c>
      <c r="AS82" s="898"/>
      <c r="AT82" s="898"/>
      <c r="AU82" s="712">
        <f>IF(AS82=0,0,(AT82-AS82)/AS82*100)</f>
        <v>0</v>
      </c>
      <c r="AV82" s="898"/>
      <c r="AW82" s="898"/>
      <c r="AX82" s="712">
        <f>IF(AV82=0,0,(AW82-AV82)/AV82*100)</f>
        <v>0</v>
      </c>
      <c r="AY82" s="898"/>
      <c r="AZ82" s="898"/>
      <c r="BA82" s="712">
        <f>IF(AY82=0,0,(AZ82-AY82)/AY82*100)</f>
        <v>0</v>
      </c>
      <c r="BB82" s="898"/>
      <c r="BC82" s="898"/>
      <c r="BD82" s="712">
        <f>IF(BB82=0,0,(BC82-BB82)/BB82*100)</f>
        <v>0</v>
      </c>
      <c r="BE82" s="898"/>
      <c r="BF82" s="898"/>
      <c r="BG82" s="712">
        <f>IF(BE82=0,0,(BF82-BE82)/BE82*100)</f>
        <v>0</v>
      </c>
      <c r="BH82" s="898"/>
      <c r="BI82" s="898"/>
      <c r="BJ82" s="712">
        <f>IF(BH82=0,0,(BI82-BH82)/BH82*100)</f>
        <v>0</v>
      </c>
      <c r="BK82" s="898"/>
      <c r="BL82" s="898"/>
      <c r="BM82" s="712">
        <f>IF(BK82=0,0,(BL82-BK82)/BK82*100)</f>
        <v>0</v>
      </c>
      <c r="BN82" s="898"/>
      <c r="BO82" s="898"/>
      <c r="BP82" s="712">
        <f>IF(BN82=0,0,(BO82-BN82)/BN82*100)</f>
        <v>0</v>
      </c>
      <c r="BQ82" s="898"/>
      <c r="BR82" s="898"/>
      <c r="BS82" s="712">
        <f>IF(BQ82=0,0,(BR82-BQ82)/BQ82*100)</f>
        <v>0</v>
      </c>
      <c r="BT82" s="898"/>
      <c r="BU82" s="898"/>
      <c r="BV82" s="712">
        <f>IF(BT82=0,0,(BU82-BT82)/BT82*100)</f>
        <v>0</v>
      </c>
      <c r="BW82" s="898"/>
      <c r="BX82" s="898"/>
      <c r="BY82" s="712">
        <f>IF(BW82=0,0,(BX82-BW82)/BW82*100)</f>
        <v>0</v>
      </c>
      <c r="BZ82" s="898"/>
      <c r="CA82" s="898"/>
      <c r="CB82" s="712">
        <f>IF(BZ82=0,0,(CA82-BZ82)/BZ82*100)</f>
        <v>0</v>
      </c>
      <c r="CC82" s="898"/>
      <c r="CD82" s="898"/>
      <c r="CE82" s="712">
        <f>IF(CC82=0,0,(CD82-CC82)/CC82*100)</f>
        <v>0</v>
      </c>
      <c r="CF82" s="898"/>
      <c r="CG82" s="898"/>
      <c r="CH82" s="712">
        <f>IF(CF82=0,0,(CG82-CF82)/CF82*100)</f>
        <v>0</v>
      </c>
      <c r="CI82" s="898"/>
      <c r="CJ82" s="898"/>
      <c r="CK82" s="712">
        <f>IF(CI82=0,0,(CJ82-CI82)/CI82*100)</f>
        <v>0</v>
      </c>
      <c r="CL82" s="898"/>
      <c r="CM82" s="898"/>
      <c r="CN82" s="712">
        <f>IF(CL82=0,0,(CM82-CL82)/CL82*100)</f>
        <v>0</v>
      </c>
      <c r="CO82" s="898"/>
      <c r="CP82" s="898"/>
      <c r="CQ82" s="712">
        <f>IF(CO82=0,0,(CP82-CO82)/CO82*100)</f>
        <v>0</v>
      </c>
      <c r="CR82" s="898"/>
      <c r="CS82" s="898"/>
      <c r="CT82" s="712">
        <f>IF(CR82=0,0,(CS82-CR82)/CR82*100)</f>
        <v>0</v>
      </c>
      <c r="CU82" s="898"/>
      <c r="CV82" s="898"/>
      <c r="CW82" s="712">
        <f>IF(CU82=0,0,(CV82-CU82)/CU82*100)</f>
        <v>0</v>
      </c>
      <c r="CX82" s="898"/>
      <c r="CY82" s="898"/>
      <c r="CZ82" s="712">
        <f>IF(CX82=0,0,(CY82-CX82)/CX82*100)</f>
        <v>0</v>
      </c>
      <c r="DA82" s="898"/>
      <c r="DB82" s="898"/>
      <c r="DC82" s="712">
        <f>IF(DA82=0,0,(DB82-DA82)/DA82*100)</f>
        <v>0</v>
      </c>
      <c r="DD82" s="898"/>
      <c r="DE82" s="898"/>
      <c r="DF82" s="712">
        <f>IF(DD82=0,0,(DE82-DD82)/DD82*100)</f>
        <v>0</v>
      </c>
      <c r="DG82" s="898"/>
      <c r="DH82" s="898"/>
      <c r="DI82" s="712">
        <f>IF(DG82=0,0,(DH82-DG82)/DG82*100)</f>
        <v>0</v>
      </c>
      <c r="DJ82" s="898"/>
      <c r="DK82" s="898"/>
      <c r="DL82" s="712">
        <f>IF(DJ82=0,0,(DK82-DJ82)/DJ82*100)</f>
        <v>0</v>
      </c>
      <c r="DM82" s="898"/>
      <c r="DN82" s="898"/>
      <c r="DO82" s="712">
        <f>IF(DM82=0,0,(DN82-DM82)/DM82*100)</f>
        <v>0</v>
      </c>
      <c r="DP82" s="898"/>
      <c r="DQ82" s="898"/>
      <c r="DR82" s="712">
        <f>IF(DP82=0,0,(DQ82-DP82)/DP82*100)</f>
        <v>0</v>
      </c>
      <c r="DS82" s="898"/>
      <c r="DT82" s="898"/>
      <c r="DU82" s="712">
        <f>IF(DS82=0,0,(DT82-DS82)/DS82*100)</f>
        <v>0</v>
      </c>
      <c r="DV82" s="898"/>
      <c r="DW82" s="898"/>
      <c r="DX82" s="712">
        <f>IF(DV82=0,0,(DW82-DV82)/DV82*100)</f>
        <v>0</v>
      </c>
      <c r="DY82" s="898"/>
      <c r="DZ82" s="898"/>
      <c r="EA82" s="712">
        <f>IF(DY82=0,0,(DZ82-DY82)/DY82*100)</f>
        <v>0</v>
      </c>
      <c r="EB82" s="898"/>
      <c r="EC82" s="898"/>
      <c r="ED82" s="712">
        <f>IF(EB82=0,0,(EC82-EB82)/EB82*100)</f>
        <v>0</v>
      </c>
      <c r="EE82" s="898"/>
      <c r="EF82" s="898"/>
      <c r="EG82" s="712">
        <f>IF(EE82=0,0,(EF82-EE82)/EE82*100)</f>
        <v>0</v>
      </c>
      <c r="EH82" s="898"/>
      <c r="EI82" s="898"/>
      <c r="EJ82" s="712">
        <f>IF(EH82=0,0,(EI82-EH82)/EH82*100)</f>
        <v>0</v>
      </c>
      <c r="EK82" s="898"/>
      <c r="EL82" s="898"/>
      <c r="EM82" s="712">
        <f>IF(EK82=0,0,(EL82-EK82)/EK82*100)</f>
        <v>0</v>
      </c>
      <c r="EN82" s="898"/>
      <c r="EO82" s="898"/>
      <c r="EP82" s="712">
        <f>IF(EN82=0,0,(EO82-EN82)/EN82*100)</f>
        <v>0</v>
      </c>
      <c r="EQ82" s="898"/>
      <c r="ER82" s="898"/>
      <c r="ES82" s="712">
        <f>IF(EQ82=0,0,(ER82-EQ82)/EQ82*100)</f>
        <v>0</v>
      </c>
      <c r="ET82" s="898"/>
      <c r="EU82" s="898"/>
      <c r="EV82" s="712">
        <f>IF(ET82=0,0,(EU82-ET82)/ET82*100)</f>
        <v>0</v>
      </c>
      <c r="EW82" s="898"/>
      <c r="EX82" s="898"/>
      <c r="EY82" s="712">
        <f>IF(EW82=0,0,(EX82-EW82)/EW82*100)</f>
        <v>0</v>
      </c>
      <c r="EZ82" s="898"/>
      <c r="FA82" s="898"/>
      <c r="FB82" s="712">
        <f>IF(EZ82=0,0,(FA82-EZ82)/EZ82*100)</f>
        <v>0</v>
      </c>
      <c r="FC82" s="898"/>
      <c r="FD82" s="898"/>
      <c r="FE82" s="712">
        <f>IF(FC82=0,0,(FD82-FC82)/FC82*100)</f>
        <v>0</v>
      </c>
      <c r="FF82" s="898"/>
      <c r="FG82" s="898"/>
      <c r="FH82" s="712">
        <f>IF(FF82=0,0,(FG82-FF82)/FF82*100)</f>
        <v>0</v>
      </c>
      <c r="FI82" s="898"/>
      <c r="FJ82" s="898"/>
      <c r="FK82" s="712">
        <f>IF(FI82=0,0,(FJ82-FI82)/FI82*100)</f>
        <v>0</v>
      </c>
      <c r="FL82" s="898"/>
      <c r="FM82" s="898"/>
      <c r="FN82" s="712">
        <f>IF(FL82=0,0,(FM82-FL82)/FL82*100)</f>
        <v>0</v>
      </c>
      <c r="FO82" s="898"/>
      <c r="FP82" s="898"/>
      <c r="FQ82" s="712">
        <f>IF(FO82=0,0,(FP82-FO82)/FO82*100)</f>
        <v>0</v>
      </c>
      <c r="FR82" s="898"/>
      <c r="FS82" s="898"/>
      <c r="FT82" s="712">
        <f>IF(FR82=0,0,(FS82-FR82)/FR82*100)</f>
        <v>0</v>
      </c>
      <c r="FU82" s="898"/>
      <c r="FV82" s="898"/>
      <c r="FW82" s="712">
        <f>IF(FU82=0,0,(FV82-FU82)/FU82*100)</f>
        <v>0</v>
      </c>
      <c r="FX82" s="203"/>
      <c r="FZ82" s="689" t="s">
        <v>1729</v>
      </c>
      <c r="GA82" s="669" t="s">
        <v>1730</v>
      </c>
      <c r="GB82" s="669" cm="1">
        <f t="array" ref="GB82">AB82</f>
        <v>0</v>
      </c>
      <c r="GD82" s="459" t="b">
        <v>1</v>
      </c>
    </row>
    <row r="83" spans="1:186" ht="14.65" hidden="1" customHeight="1">
      <c r="B83" s="611" t="b" cm="1">
        <f t="array" ref="B83">B82</f>
        <v>0</v>
      </c>
      <c r="D83" s="59"/>
      <c r="E83" s="460">
        <v>15</v>
      </c>
      <c r="F83" s="3" cm="1">
        <f t="array" aca="1" ref="F83" ca="1">OFFSET(E83,-1,1)</f>
        <v>0</v>
      </c>
      <c r="G83" s="59"/>
      <c r="I83" s="17" t="s">
        <v>1731</v>
      </c>
      <c r="T83" s="351" t="b">
        <f ca="1">F83&gt;0</f>
        <v>0</v>
      </c>
      <c r="W83" s="515" t="s">
        <v>1677</v>
      </c>
      <c r="X83" s="1046"/>
      <c r="Z83" s="1007"/>
      <c r="AB83" s="171" t="s">
        <v>175</v>
      </c>
      <c r="AC83" s="175"/>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3"/>
      <c r="BA83" s="173"/>
      <c r="BB83" s="173"/>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3"/>
      <c r="CA83" s="173"/>
      <c r="CB83" s="173"/>
      <c r="CC83" s="173"/>
      <c r="CD83" s="173"/>
      <c r="CE83" s="173"/>
      <c r="CF83" s="173"/>
      <c r="CG83" s="173"/>
      <c r="CH83" s="173"/>
      <c r="CI83" s="173"/>
      <c r="CJ83" s="173"/>
      <c r="CK83" s="173"/>
      <c r="CL83" s="173"/>
      <c r="CM83" s="173"/>
      <c r="CN83" s="173"/>
      <c r="CO83" s="173"/>
      <c r="CP83" s="173"/>
      <c r="CQ83" s="173"/>
      <c r="CR83" s="173"/>
      <c r="CS83" s="173"/>
      <c r="CT83" s="173"/>
      <c r="CU83" s="173"/>
      <c r="CV83" s="173"/>
      <c r="CW83" s="173"/>
      <c r="CX83" s="173"/>
      <c r="CY83" s="173"/>
      <c r="CZ83" s="173"/>
      <c r="DA83" s="173"/>
      <c r="DB83" s="173"/>
      <c r="DC83" s="173"/>
      <c r="DD83" s="173"/>
      <c r="DE83" s="173"/>
      <c r="DF83" s="173"/>
      <c r="DG83" s="173"/>
      <c r="DH83" s="173"/>
      <c r="DI83" s="173"/>
      <c r="DJ83" s="173"/>
      <c r="DK83" s="173"/>
      <c r="DL83" s="173"/>
      <c r="DM83" s="173"/>
      <c r="DN83" s="173"/>
      <c r="DO83" s="173"/>
      <c r="DP83" s="173"/>
      <c r="DQ83" s="173"/>
      <c r="DR83" s="173"/>
      <c r="DS83" s="173"/>
      <c r="DT83" s="173"/>
      <c r="DU83" s="173"/>
      <c r="DV83" s="173"/>
      <c r="DW83" s="173"/>
      <c r="DX83" s="173"/>
      <c r="DY83" s="173"/>
      <c r="DZ83" s="173"/>
      <c r="EA83" s="173"/>
      <c r="EB83" s="173"/>
      <c r="EC83" s="173"/>
      <c r="ED83" s="173"/>
      <c r="EE83" s="173"/>
      <c r="EF83" s="173"/>
      <c r="EG83" s="173"/>
      <c r="EH83" s="173"/>
      <c r="EI83" s="173"/>
      <c r="EJ83" s="173"/>
      <c r="EK83" s="173"/>
      <c r="EL83" s="173"/>
      <c r="EM83" s="173"/>
      <c r="EN83" s="173"/>
      <c r="EO83" s="173"/>
      <c r="EP83" s="173"/>
      <c r="EQ83" s="173"/>
      <c r="ER83" s="173"/>
      <c r="ES83" s="173"/>
      <c r="ET83" s="173"/>
      <c r="EU83" s="173"/>
      <c r="EV83" s="173"/>
      <c r="EW83" s="173"/>
      <c r="EX83" s="173"/>
      <c r="EY83" s="173"/>
      <c r="EZ83" s="173"/>
      <c r="FA83" s="173"/>
      <c r="FB83" s="173"/>
      <c r="FC83" s="173"/>
      <c r="FD83" s="173"/>
      <c r="FE83" s="173"/>
      <c r="FF83" s="173"/>
      <c r="FG83" s="173"/>
      <c r="FH83" s="173"/>
      <c r="FI83" s="173"/>
      <c r="FJ83" s="173"/>
      <c r="FK83" s="173"/>
      <c r="FL83" s="173"/>
      <c r="FM83" s="173"/>
      <c r="FN83" s="173"/>
      <c r="FO83" s="173"/>
      <c r="FP83" s="173"/>
      <c r="FQ83" s="173"/>
      <c r="FR83" s="173"/>
      <c r="FS83" s="173"/>
      <c r="FT83" s="173"/>
      <c r="FU83" s="173"/>
      <c r="FV83" s="173"/>
      <c r="FW83" s="174"/>
      <c r="GC83" s="459" t="s">
        <v>1730</v>
      </c>
    </row>
    <row r="84" spans="1:186" ht="11.25" hidden="1" customHeight="1">
      <c r="B84" s="596"/>
      <c r="D84" s="59"/>
      <c r="E84" s="460">
        <v>11.5</v>
      </c>
      <c r="G84" s="59"/>
      <c r="T84" s="351" t="b" cm="1">
        <f t="array" aca="1" ref="T84" ca="1">T83</f>
        <v>0</v>
      </c>
      <c r="W84" s="515"/>
      <c r="X84" s="1046"/>
      <c r="Z84" s="1007"/>
      <c r="FZ84" s="659"/>
      <c r="GA84" s="659"/>
      <c r="GB84" s="653"/>
      <c r="GC84" s="452"/>
      <c r="GD84" s="452"/>
    </row>
    <row r="85" spans="1:186" ht="21.95" customHeight="1">
      <c r="A85" s="59"/>
      <c r="C85" s="59"/>
      <c r="D85" s="59"/>
      <c r="E85" s="460">
        <v>15</v>
      </c>
      <c r="F85" s="370" t="str" cm="1">
        <f t="array" ref="F85">X85</f>
        <v>1</v>
      </c>
      <c r="G85" s="59" t="str" cm="1">
        <f t="array" ref="G85">INDEX('Общие сведения'!$AK$179:$AK$208,MATCH($X85,'Общие сведения'!$Z$179:$Z$208,0))</f>
        <v>одноставочный</v>
      </c>
      <c r="H85" s="59"/>
      <c r="I85" s="59"/>
      <c r="J85" s="59"/>
      <c r="K85" s="59"/>
      <c r="L85" s="59"/>
      <c r="M85" s="59"/>
      <c r="N85" s="59"/>
      <c r="O85" s="59"/>
      <c r="P85" s="59"/>
      <c r="Q85" s="59" t="str" cm="1">
        <f t="array" ref="Q85">INDEX('Общие сведения'!$AE$179:$AE$208,MATCH($X85,'Общие сведения'!$Z$179:$Z$208,0))</f>
        <v>Водоснабжение</v>
      </c>
      <c r="R85" s="363" t="str" cm="1">
        <f t="array" ref="R85">INDEX('Общие сведения'!$AK$179:$AK$208,MATCH($X85,'Общие сведения'!$Z$179:$Z$208,0))</f>
        <v>одноставочный</v>
      </c>
      <c r="S85" s="59" t="b" cm="1">
        <f t="array" ref="S85">INDEX('Общие сведения'!$AN$179:$AN$208,MATCH($X85,'Общие сведения'!$Z$179:$Z$208,0))</f>
        <v>0</v>
      </c>
      <c r="T85" s="351" t="b">
        <f>X85&gt;0</f>
        <v>1</v>
      </c>
      <c r="U85" s="59"/>
      <c r="V85" s="59" t="str" cm="1">
        <f t="array" ref="V85">'Корректировка НВВ'!$AB$78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85" s="59"/>
      <c r="X85" s="1046" t="s">
        <v>277</v>
      </c>
      <c r="Y85" s="59"/>
      <c r="Z85" s="1007"/>
      <c r="AA85" s="59"/>
      <c r="AB85" s="1111" t="s">
        <v>21</v>
      </c>
      <c r="AC85" s="1112"/>
      <c r="AD85" s="589" t="str" cm="1">
        <f t="array" ref="AD85">'Корректировка НВВ'!$AB$78</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c r="BK85" s="197"/>
      <c r="BL85" s="197"/>
      <c r="BM85" s="197"/>
      <c r="BN85" s="197"/>
      <c r="BO85" s="197"/>
      <c r="BP85" s="197"/>
      <c r="BQ85" s="197"/>
      <c r="BR85" s="197"/>
      <c r="BS85" s="197"/>
      <c r="BT85" s="197"/>
      <c r="BU85" s="197"/>
      <c r="BV85" s="197"/>
      <c r="BW85" s="197"/>
      <c r="BX85" s="197"/>
      <c r="BY85" s="197"/>
      <c r="BZ85" s="197"/>
      <c r="CA85" s="197"/>
      <c r="CB85" s="197"/>
      <c r="CC85" s="197"/>
      <c r="CD85" s="197"/>
      <c r="CE85" s="197"/>
      <c r="CF85" s="197"/>
      <c r="CG85" s="197"/>
      <c r="CH85" s="197"/>
      <c r="CI85" s="197"/>
      <c r="CJ85" s="197"/>
      <c r="CK85" s="197"/>
      <c r="CL85" s="197"/>
      <c r="CM85" s="197"/>
      <c r="CN85" s="197"/>
      <c r="CO85" s="197"/>
      <c r="CP85" s="197"/>
      <c r="CQ85" s="197"/>
      <c r="CR85" s="197"/>
      <c r="CS85" s="197"/>
      <c r="CT85" s="197"/>
      <c r="CU85" s="197"/>
      <c r="CV85" s="197"/>
      <c r="CW85" s="197"/>
      <c r="CX85" s="197"/>
      <c r="CY85" s="197"/>
      <c r="CZ85" s="197"/>
      <c r="DA85" s="197"/>
      <c r="DB85" s="197"/>
      <c r="DC85" s="197"/>
      <c r="DD85" s="197"/>
      <c r="DE85" s="197"/>
      <c r="DF85" s="197"/>
      <c r="DG85" s="197"/>
      <c r="DH85" s="197"/>
      <c r="DI85" s="197"/>
      <c r="DJ85" s="197"/>
      <c r="DK85" s="197"/>
      <c r="DL85" s="197"/>
      <c r="DM85" s="197"/>
      <c r="DN85" s="197"/>
      <c r="DO85" s="197"/>
      <c r="DP85" s="197"/>
      <c r="DQ85" s="197"/>
      <c r="DR85" s="197"/>
      <c r="DS85" s="197"/>
      <c r="DT85" s="197"/>
      <c r="DU85" s="197"/>
      <c r="DV85" s="197"/>
      <c r="DW85" s="197"/>
      <c r="DX85" s="197"/>
      <c r="DY85" s="197"/>
      <c r="DZ85" s="197"/>
      <c r="EA85" s="197"/>
      <c r="EB85" s="197"/>
      <c r="EC85" s="197"/>
      <c r="ED85" s="197"/>
      <c r="EE85" s="197"/>
      <c r="EF85" s="197"/>
      <c r="EG85" s="197"/>
      <c r="EH85" s="197"/>
      <c r="EI85" s="197"/>
      <c r="EJ85" s="197"/>
      <c r="EK85" s="197"/>
      <c r="EL85" s="197"/>
      <c r="EM85" s="197"/>
      <c r="EN85" s="197"/>
      <c r="EO85" s="197"/>
      <c r="EP85" s="197"/>
      <c r="EQ85" s="197"/>
      <c r="ER85" s="197"/>
      <c r="ES85" s="197"/>
      <c r="ET85" s="197"/>
      <c r="EU85" s="197"/>
      <c r="EV85" s="197"/>
      <c r="EW85" s="197"/>
      <c r="EX85" s="197"/>
      <c r="EY85" s="197"/>
      <c r="EZ85" s="197"/>
      <c r="FA85" s="197"/>
      <c r="FB85" s="197"/>
      <c r="FC85" s="197"/>
      <c r="FD85" s="197"/>
      <c r="FE85" s="197"/>
      <c r="FF85" s="197"/>
      <c r="FG85" s="197"/>
      <c r="FH85" s="197"/>
      <c r="FI85" s="197"/>
      <c r="FJ85" s="197"/>
      <c r="FK85" s="197"/>
      <c r="FL85" s="197"/>
      <c r="FM85" s="197"/>
      <c r="FN85" s="197"/>
      <c r="FO85" s="197"/>
      <c r="FP85" s="197"/>
      <c r="FQ85" s="197"/>
      <c r="FR85" s="197"/>
      <c r="FS85" s="197"/>
      <c r="FT85" s="197"/>
      <c r="FU85" s="197"/>
      <c r="FV85" s="197"/>
      <c r="FW85" s="198"/>
    </row>
    <row r="86" spans="1:186" ht="23.45" customHeight="1">
      <c r="A86" s="59"/>
      <c r="C86" s="59"/>
      <c r="D86" s="59"/>
      <c r="E86" s="460">
        <v>15</v>
      </c>
      <c r="F86" s="3" t="str" cm="1">
        <f t="array" aca="1" ref="F86" ca="1">OFFSET(E86,-1,1)</f>
        <v>1</v>
      </c>
      <c r="G86" s="59"/>
      <c r="H86" s="59"/>
      <c r="I86" s="59"/>
      <c r="J86" s="59"/>
      <c r="K86" s="59"/>
      <c r="L86" s="59"/>
      <c r="M86" s="59"/>
      <c r="N86" s="59"/>
      <c r="O86" s="59"/>
      <c r="P86" s="59"/>
      <c r="Q86" s="59"/>
      <c r="R86" s="363"/>
      <c r="S86" s="363"/>
      <c r="T86" s="351" t="b" cm="1">
        <f t="array" ref="T86">T85</f>
        <v>1</v>
      </c>
      <c r="U86" s="59"/>
      <c r="V86" s="59"/>
      <c r="W86" s="59"/>
      <c r="X86" s="1046"/>
      <c r="Y86" s="59"/>
      <c r="Z86" s="1007"/>
      <c r="AA86" s="59"/>
      <c r="AB86" s="987" t="str">
        <f>"Вид "&amp;IF(ISERROR(SEARCH("Водоснабжение",AD85)),"сточных вод","воды")</f>
        <v>Вид воды</v>
      </c>
      <c r="AC86" s="988"/>
      <c r="AD86" s="589" t="str" cm="1">
        <f t="array" ref="AD86">INDEX('Общие сведения'!$AH$179:$AH$208,MATCH($X85,'Общие сведения'!$Z$179:$Z$208,0))</f>
        <v>питьевая вода</v>
      </c>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c r="DT86" s="199"/>
      <c r="DU86" s="199"/>
      <c r="DV86" s="199"/>
      <c r="DW86" s="199"/>
      <c r="DX86" s="199"/>
      <c r="DY86" s="199"/>
      <c r="DZ86" s="199"/>
      <c r="EA86" s="199"/>
      <c r="EB86" s="199"/>
      <c r="EC86" s="199"/>
      <c r="ED86" s="199"/>
      <c r="EE86" s="199"/>
      <c r="EF86" s="199"/>
      <c r="EG86" s="199"/>
      <c r="EH86" s="199"/>
      <c r="EI86" s="199"/>
      <c r="EJ86" s="199"/>
      <c r="EK86" s="199"/>
      <c r="EL86" s="199"/>
      <c r="EM86" s="199"/>
      <c r="EN86" s="199"/>
      <c r="EO86" s="199"/>
      <c r="EP86" s="199"/>
      <c r="EQ86" s="199"/>
      <c r="ER86" s="199"/>
      <c r="ES86" s="199"/>
      <c r="ET86" s="199"/>
      <c r="EU86" s="199"/>
      <c r="EV86" s="199"/>
      <c r="EW86" s="199"/>
      <c r="EX86" s="199"/>
      <c r="EY86" s="199"/>
      <c r="EZ86" s="199"/>
      <c r="FA86" s="199"/>
      <c r="FB86" s="199"/>
      <c r="FC86" s="199"/>
      <c r="FD86" s="199"/>
      <c r="FE86" s="199"/>
      <c r="FF86" s="199"/>
      <c r="FG86" s="199"/>
      <c r="FH86" s="199"/>
      <c r="FI86" s="199"/>
      <c r="FJ86" s="199"/>
      <c r="FK86" s="199"/>
      <c r="FL86" s="199"/>
      <c r="FM86" s="199"/>
      <c r="FN86" s="199"/>
      <c r="FO86" s="199"/>
      <c r="FP86" s="199"/>
      <c r="FQ86" s="199"/>
      <c r="FR86" s="199"/>
      <c r="FS86" s="199"/>
      <c r="FT86" s="199"/>
      <c r="FU86" s="199"/>
      <c r="FV86" s="199"/>
      <c r="FW86" s="200"/>
    </row>
    <row r="87" spans="1:186" ht="18.95" customHeight="1">
      <c r="A87" s="59"/>
      <c r="C87" s="59"/>
      <c r="D87" s="59"/>
      <c r="E87" s="460">
        <v>15</v>
      </c>
      <c r="F87" s="3" t="str" cm="1">
        <f t="array" aca="1" ref="F87" ca="1">OFFSET(E87,-1,1)</f>
        <v>1</v>
      </c>
      <c r="G87" s="59"/>
      <c r="H87" s="59"/>
      <c r="I87" s="59"/>
      <c r="J87" s="59"/>
      <c r="K87" s="59"/>
      <c r="L87" s="59"/>
      <c r="M87" s="59"/>
      <c r="N87" s="59"/>
      <c r="O87" s="59"/>
      <c r="P87" s="59"/>
      <c r="Q87" s="59"/>
      <c r="R87" s="363"/>
      <c r="S87" s="363"/>
      <c r="T87" s="351" t="b" cm="1">
        <f t="array" ref="T87">T86</f>
        <v>1</v>
      </c>
      <c r="U87" s="59"/>
      <c r="V87" s="59"/>
      <c r="W87" s="59"/>
      <c r="X87" s="1046"/>
      <c r="Y87" s="59"/>
      <c r="Z87" s="1007"/>
      <c r="AA87" s="59"/>
      <c r="AB87" s="987" t="s">
        <v>1641</v>
      </c>
      <c r="AC87" s="988"/>
      <c r="AD87" s="589" t="str" cm="1">
        <f t="array" ref="AD87">INDEX('Общие сведения'!$AI$179:$AI$208,MATCH($X85,'Общие сведения'!$Z$179:$Z$208,0))</f>
        <v>тариф на питьевую воду</v>
      </c>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c r="DT87" s="199"/>
      <c r="DU87" s="199"/>
      <c r="DV87" s="199"/>
      <c r="DW87" s="199"/>
      <c r="DX87" s="199"/>
      <c r="DY87" s="199"/>
      <c r="DZ87" s="199"/>
      <c r="EA87" s="199"/>
      <c r="EB87" s="199"/>
      <c r="EC87" s="199"/>
      <c r="ED87" s="199"/>
      <c r="EE87" s="199"/>
      <c r="EF87" s="199"/>
      <c r="EG87" s="199"/>
      <c r="EH87" s="199"/>
      <c r="EI87" s="199"/>
      <c r="EJ87" s="199"/>
      <c r="EK87" s="199"/>
      <c r="EL87" s="199"/>
      <c r="EM87" s="199"/>
      <c r="EN87" s="199"/>
      <c r="EO87" s="199"/>
      <c r="EP87" s="199"/>
      <c r="EQ87" s="199"/>
      <c r="ER87" s="199"/>
      <c r="ES87" s="199"/>
      <c r="ET87" s="199"/>
      <c r="EU87" s="199"/>
      <c r="EV87" s="199"/>
      <c r="EW87" s="199"/>
      <c r="EX87" s="199"/>
      <c r="EY87" s="199"/>
      <c r="EZ87" s="199"/>
      <c r="FA87" s="199"/>
      <c r="FB87" s="199"/>
      <c r="FC87" s="199"/>
      <c r="FD87" s="199"/>
      <c r="FE87" s="199"/>
      <c r="FF87" s="199"/>
      <c r="FG87" s="199"/>
      <c r="FH87" s="199"/>
      <c r="FI87" s="199"/>
      <c r="FJ87" s="199"/>
      <c r="FK87" s="199"/>
      <c r="FL87" s="199"/>
      <c r="FM87" s="199"/>
      <c r="FN87" s="199"/>
      <c r="FO87" s="199"/>
      <c r="FP87" s="199"/>
      <c r="FQ87" s="199"/>
      <c r="FR87" s="199"/>
      <c r="FS87" s="199"/>
      <c r="FT87" s="199"/>
      <c r="FU87" s="199"/>
      <c r="FV87" s="199"/>
      <c r="FW87" s="200"/>
    </row>
    <row r="88" spans="1:186" ht="28.7" customHeight="1">
      <c r="A88" s="59"/>
      <c r="C88" s="59"/>
      <c r="D88" s="59"/>
      <c r="E88" s="460">
        <v>15</v>
      </c>
      <c r="F88" s="3" t="str" cm="1">
        <f t="array" aca="1" ref="F88" ca="1">OFFSET(E88,-1,1)</f>
        <v>1</v>
      </c>
      <c r="G88" s="59"/>
      <c r="H88" s="59"/>
      <c r="I88" s="59"/>
      <c r="J88" s="59"/>
      <c r="K88" s="59"/>
      <c r="L88" s="59"/>
      <c r="M88" s="59"/>
      <c r="N88" s="59"/>
      <c r="O88" s="59"/>
      <c r="P88" s="59"/>
      <c r="Q88" s="59"/>
      <c r="R88" s="59"/>
      <c r="S88" s="363"/>
      <c r="T88" s="351" t="b" cm="1">
        <f t="array" ref="T88">T87</f>
        <v>1</v>
      </c>
      <c r="U88" s="59"/>
      <c r="V88" s="59"/>
      <c r="W88" s="59"/>
      <c r="X88" s="1046"/>
      <c r="Y88" s="59"/>
      <c r="Z88" s="1007"/>
      <c r="AA88" s="59"/>
      <c r="AB88" s="987" t="s">
        <v>1642</v>
      </c>
      <c r="AC88" s="988"/>
      <c r="AD88" s="589" t="str" cm="1">
        <f t="array" ref="AD88">INDEX('Общие сведения'!$AJ$179:$AJ$208,MATCH($X85,'Общие сведения'!$Z$179:$Z$208,0))</f>
        <v>Оказание услуг на территории: город Белово (ОКТМО: 32707000) - г Белово; пгт Инской; пгт Новый Городок, мкр. Бабанаково, мкр. Чертинский, мкр. 8-е Марта; с Заречное</v>
      </c>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c r="DW88" s="199"/>
      <c r="DX88" s="199"/>
      <c r="DY88" s="199"/>
      <c r="DZ88" s="199"/>
      <c r="EA88" s="199"/>
      <c r="EB88" s="199"/>
      <c r="EC88" s="199"/>
      <c r="ED88" s="199"/>
      <c r="EE88" s="199"/>
      <c r="EF88" s="199"/>
      <c r="EG88" s="199"/>
      <c r="EH88" s="199"/>
      <c r="EI88" s="199"/>
      <c r="EJ88" s="199"/>
      <c r="EK88" s="199"/>
      <c r="EL88" s="199"/>
      <c r="EM88" s="199"/>
      <c r="EN88" s="199"/>
      <c r="EO88" s="199"/>
      <c r="EP88" s="199"/>
      <c r="EQ88" s="199"/>
      <c r="ER88" s="199"/>
      <c r="ES88" s="199"/>
      <c r="ET88" s="199"/>
      <c r="EU88" s="199"/>
      <c r="EV88" s="199"/>
      <c r="EW88" s="199"/>
      <c r="EX88" s="199"/>
      <c r="EY88" s="199"/>
      <c r="EZ88" s="199"/>
      <c r="FA88" s="199"/>
      <c r="FB88" s="199"/>
      <c r="FC88" s="199"/>
      <c r="FD88" s="199"/>
      <c r="FE88" s="199"/>
      <c r="FF88" s="199"/>
      <c r="FG88" s="199"/>
      <c r="FH88" s="199"/>
      <c r="FI88" s="199"/>
      <c r="FJ88" s="199"/>
      <c r="FK88" s="199"/>
      <c r="FL88" s="199"/>
      <c r="FM88" s="199"/>
      <c r="FN88" s="199"/>
      <c r="FO88" s="199"/>
      <c r="FP88" s="199"/>
      <c r="FQ88" s="199"/>
      <c r="FR88" s="199"/>
      <c r="FS88" s="199"/>
      <c r="FT88" s="199"/>
      <c r="FU88" s="199"/>
      <c r="FV88" s="199"/>
      <c r="FW88" s="200"/>
    </row>
    <row r="89" spans="1:186" ht="24.2" customHeight="1">
      <c r="A89" s="59"/>
      <c r="B89" s="611" t="b">
        <f>AND(R85="одноставочный",NOT(S85))</f>
        <v>1</v>
      </c>
      <c r="C89" s="59"/>
      <c r="D89" s="59"/>
      <c r="E89" s="460">
        <v>15</v>
      </c>
      <c r="F89" s="3" t="str" cm="1">
        <f t="array" aca="1" ref="F89" ca="1">OFFSET(E89,-1,1)</f>
        <v>1</v>
      </c>
      <c r="G89" s="59"/>
      <c r="H89" s="59"/>
      <c r="I89" s="59"/>
      <c r="J89" s="59"/>
      <c r="K89" s="59"/>
      <c r="L89" s="59"/>
      <c r="M89" s="59"/>
      <c r="N89" s="59"/>
      <c r="O89" s="59"/>
      <c r="P89" s="59"/>
      <c r="Q89" s="59"/>
      <c r="R89" s="59"/>
      <c r="S89" s="59"/>
      <c r="T89" s="351" t="b" cm="1">
        <f t="array" ref="T89">T88</f>
        <v>1</v>
      </c>
      <c r="U89" s="59"/>
      <c r="V89" s="59"/>
      <c r="W89" s="59"/>
      <c r="X89" s="1046"/>
      <c r="Y89" s="59"/>
      <c r="Z89" s="1007"/>
      <c r="AA89" s="59"/>
      <c r="AB89" s="590" t="s">
        <v>1643</v>
      </c>
      <c r="AC89" s="591"/>
      <c r="AD89" s="201"/>
      <c r="AE89" s="201"/>
      <c r="AF89" s="201"/>
      <c r="AG89" s="201"/>
      <c r="AH89" s="201"/>
      <c r="AI89" s="201"/>
      <c r="AJ89" s="201"/>
      <c r="AK89" s="201"/>
      <c r="AL89" s="201"/>
      <c r="AM89" s="201"/>
      <c r="AN89" s="201"/>
      <c r="AO89" s="201"/>
      <c r="AP89" s="201"/>
      <c r="AQ89" s="201"/>
      <c r="AR89" s="201"/>
      <c r="AS89" s="201"/>
      <c r="AT89" s="201"/>
      <c r="AU89" s="201"/>
      <c r="AV89" s="201"/>
      <c r="AW89" s="201"/>
      <c r="AX89" s="201"/>
      <c r="AY89" s="201"/>
      <c r="AZ89" s="201"/>
      <c r="BA89" s="201"/>
      <c r="BB89" s="201"/>
      <c r="BC89" s="201"/>
      <c r="BD89" s="201"/>
      <c r="BE89" s="201"/>
      <c r="BF89" s="201"/>
      <c r="BG89" s="201"/>
      <c r="BH89" s="201"/>
      <c r="BI89" s="201"/>
      <c r="BJ89" s="202"/>
      <c r="BK89" s="201"/>
      <c r="BL89" s="201"/>
      <c r="BM89" s="202"/>
      <c r="BN89" s="201"/>
      <c r="BO89" s="201"/>
      <c r="BP89" s="202"/>
      <c r="BQ89" s="201"/>
      <c r="BR89" s="201"/>
      <c r="BS89" s="202"/>
      <c r="BT89" s="201"/>
      <c r="BU89" s="201"/>
      <c r="BV89" s="202"/>
      <c r="BW89" s="201"/>
      <c r="BX89" s="201"/>
      <c r="BY89" s="202"/>
      <c r="BZ89" s="201"/>
      <c r="CA89" s="201"/>
      <c r="CB89" s="202"/>
      <c r="CC89" s="201"/>
      <c r="CD89" s="201"/>
      <c r="CE89" s="202"/>
      <c r="CF89" s="201"/>
      <c r="CG89" s="201"/>
      <c r="CH89" s="202"/>
      <c r="CI89" s="201"/>
      <c r="CJ89" s="201"/>
      <c r="CK89" s="202"/>
      <c r="CL89" s="201"/>
      <c r="CM89" s="201"/>
      <c r="CN89" s="202"/>
      <c r="CO89" s="201"/>
      <c r="CP89" s="201"/>
      <c r="CQ89" s="202"/>
      <c r="CR89" s="201"/>
      <c r="CS89" s="201"/>
      <c r="CT89" s="202"/>
      <c r="CU89" s="201"/>
      <c r="CV89" s="201"/>
      <c r="CW89" s="202"/>
      <c r="CX89" s="201"/>
      <c r="CY89" s="201"/>
      <c r="CZ89" s="202"/>
      <c r="DA89" s="201"/>
      <c r="DB89" s="201"/>
      <c r="DC89" s="202"/>
      <c r="DD89" s="201"/>
      <c r="DE89" s="201"/>
      <c r="DF89" s="202"/>
      <c r="DG89" s="201"/>
      <c r="DH89" s="201"/>
      <c r="DI89" s="202"/>
      <c r="DJ89" s="201"/>
      <c r="DK89" s="201"/>
      <c r="DL89" s="202"/>
      <c r="DM89" s="201"/>
      <c r="DN89" s="201"/>
      <c r="DO89" s="202"/>
      <c r="DP89" s="201"/>
      <c r="DQ89" s="201"/>
      <c r="DR89" s="202"/>
      <c r="DS89" s="201"/>
      <c r="DT89" s="201"/>
      <c r="DU89" s="202"/>
      <c r="DV89" s="201"/>
      <c r="DW89" s="201"/>
      <c r="DX89" s="202"/>
      <c r="DY89" s="201"/>
      <c r="DZ89" s="201"/>
      <c r="EA89" s="202"/>
      <c r="EB89" s="201"/>
      <c r="EC89" s="201"/>
      <c r="ED89" s="202"/>
      <c r="EE89" s="201"/>
      <c r="EF89" s="201"/>
      <c r="EG89" s="202"/>
      <c r="EH89" s="201"/>
      <c r="EI89" s="201"/>
      <c r="EJ89" s="202"/>
      <c r="EK89" s="201"/>
      <c r="EL89" s="201"/>
      <c r="EM89" s="202"/>
      <c r="EN89" s="201"/>
      <c r="EO89" s="201"/>
      <c r="EP89" s="202"/>
      <c r="EQ89" s="201"/>
      <c r="ER89" s="201"/>
      <c r="ES89" s="202"/>
      <c r="ET89" s="201"/>
      <c r="EU89" s="201"/>
      <c r="EV89" s="202"/>
      <c r="EW89" s="201"/>
      <c r="EX89" s="201"/>
      <c r="EY89" s="202"/>
      <c r="EZ89" s="201"/>
      <c r="FA89" s="201"/>
      <c r="FB89" s="202"/>
      <c r="FC89" s="201"/>
      <c r="FD89" s="201"/>
      <c r="FE89" s="202"/>
      <c r="FF89" s="201"/>
      <c r="FG89" s="201"/>
      <c r="FH89" s="202"/>
      <c r="FI89" s="201"/>
      <c r="FJ89" s="201"/>
      <c r="FK89" s="202"/>
      <c r="FL89" s="201"/>
      <c r="FM89" s="201"/>
      <c r="FN89" s="202"/>
      <c r="FO89" s="201"/>
      <c r="FP89" s="201"/>
      <c r="FQ89" s="202"/>
      <c r="FR89" s="201"/>
      <c r="FS89" s="201"/>
      <c r="FT89" s="202"/>
      <c r="FU89" s="201"/>
      <c r="FV89" s="201"/>
      <c r="FW89" s="202"/>
    </row>
    <row r="90" spans="1:186" s="900" customFormat="1" ht="31.7" customHeight="1">
      <c r="A90" s="592"/>
      <c r="B90" s="611" t="b" cm="1">
        <f t="array" ref="B90">B89</f>
        <v>1</v>
      </c>
      <c r="C90" s="592"/>
      <c r="D90" s="592"/>
      <c r="E90" s="593">
        <v>24.5</v>
      </c>
      <c r="F90" s="3" t="str" cm="1">
        <f t="array" aca="1" ref="F90" ca="1">OFFSET(E90,-1,1)</f>
        <v>1</v>
      </c>
      <c r="G90" s="59" t="s">
        <v>1644</v>
      </c>
      <c r="H90" s="59" t="s">
        <v>507</v>
      </c>
      <c r="I90" s="59" t="s">
        <v>1645</v>
      </c>
      <c r="J90" s="592"/>
      <c r="K90" s="592"/>
      <c r="L90" s="59"/>
      <c r="M90" s="592"/>
      <c r="N90" s="592"/>
      <c r="O90" s="592"/>
      <c r="P90" s="592"/>
      <c r="Q90" s="592"/>
      <c r="R90" s="592"/>
      <c r="S90" s="59"/>
      <c r="T90" s="351" t="b" cm="1">
        <f t="array" ref="T90">T89</f>
        <v>1</v>
      </c>
      <c r="U90" s="592"/>
      <c r="V90" s="592"/>
      <c r="W90" s="592"/>
      <c r="X90" s="1046"/>
      <c r="Y90" s="592"/>
      <c r="Z90" s="1007"/>
      <c r="AA90" s="592"/>
      <c r="AB90" s="204" t="s">
        <v>1646</v>
      </c>
      <c r="AC90" s="205" t="s">
        <v>1647</v>
      </c>
      <c r="AD90" s="594">
        <f ca="1">IF(AND(method_reg="Метод индексации",god&lt;&gt;first_year),SUMIFS(INDEX('Калькуляция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(МИ)'!$AJ$25:$BC$315,,MATCH(AD$8,'Калькуляция (МИ)'!$AJ$8:$BC$8,0)),'Калькуляция (МИ)'!$F$25:$F$315,$F90,'Калькуляция (МИ)'!$G$25:$G$315,$G90))))</f>
        <v>62.52</v>
      </c>
      <c r="AE90" s="594">
        <f ca="1">IF(AND(method_reg="Метод индексации",god&lt;&gt;first_year),SUMIFS(INDEX('Калькуляция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(МИ)'!$AJ$25:$BC$315,,MATCH(AE$8,'Калькуляция (МИ)'!$AJ$8:$BC$8,0)),'Калькуляция (МИ)'!$F$25:$F$315,$F90,'Калькуляция (МИ)'!$G$25:$G$315,$G90))))</f>
        <v>62.52</v>
      </c>
      <c r="AF90" s="207">
        <f ca="1">IF(AD90=0,0,(AE90-AD90)/AD90*100)</f>
        <v>0</v>
      </c>
      <c r="AG90" s="594">
        <f ca="1">IF(AND(method_reg="Метод индексации",god&lt;&gt;first_year),SUMIFS(INDEX('Калькуляция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(МИ)'!$AJ$25:$BC$315,,MATCH(AG$8,'Калькуляция (МИ)'!$AJ$8:$BC$8,0)),'Калькуляция (МИ)'!$F$25:$F$315,$F90,'Калькуляция (МИ)'!$G$25:$G$315,$G90))))</f>
        <v>76.239999999999995</v>
      </c>
      <c r="AH90" s="594">
        <f ca="1">IF(AND(method_reg="Метод индексации",god&lt;&gt;first_year),SUMIFS(INDEX('Калькуляция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(МИ)'!$AJ$25:$BC$315,,MATCH(AH$8,'Калькуляция (МИ)'!$AJ$8:$BC$8,0)),'Калькуляция (МИ)'!$F$25:$F$315,$F90,'Калькуляция (МИ)'!$G$25:$G$315,$G90))))</f>
        <v>68.769998234097599</v>
      </c>
      <c r="AI90" s="207">
        <f ca="1">IF(AG90=0,0,(AH90-AG90)/AG90*100)</f>
        <v>-9.7980086121489975</v>
      </c>
      <c r="AJ90" s="594">
        <f ca="1">IF(AND(method_reg="Метод индексации",god&lt;&gt;first_year),SUMIFS(INDEX('Калькуляция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(МИ)'!$AJ$25:$BC$315,,MATCH(AJ$8,'Калькуляция (МИ)'!$AJ$8:$BC$8,0)),'Калькуляция (МИ)'!$F$25:$F$315,$F90,'Калькуляция (МИ)'!$G$25:$G$315,$G90))))</f>
        <v>76.25</v>
      </c>
      <c r="AK90" s="594">
        <f ca="1">IF(AND(method_reg="Метод индексации",god&lt;&gt;first_year),SUMIFS(INDEX('Калькуляция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(МИ)'!$AJ$25:$BC$315,,MATCH(AK$8,'Калькуляция (МИ)'!$AJ$8:$BC$8,0)),'Калькуляция (МИ)'!$F$25:$F$315,$F90,'Калькуляция (МИ)'!$G$25:$G$315,$G90))))</f>
        <v>73.720003014450896</v>
      </c>
      <c r="AL90" s="207">
        <f ca="1">IF(AJ90=0,0,(AK90-AJ90)/AJ90*100)</f>
        <v>-3.3180288335070216</v>
      </c>
      <c r="AM90" s="594">
        <f ca="1">IF(AND(method_reg="Метод индексации",god&lt;&gt;first_year),SUMIFS(INDEX('Калькуляция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(МИ)'!$AJ$25:$BC$315,,MATCH(AM$8,'Калькуляция (МИ)'!$AJ$8:$BC$8,0)),'Калькуляция (МИ)'!$F$25:$F$315,$F90,'Калькуляция (МИ)'!$G$25:$G$315,$G90))))</f>
        <v>0</v>
      </c>
      <c r="AN90" s="594">
        <f ca="1">IF(AND(method_reg="Метод индексации",god&lt;&gt;first_year),SUMIFS(INDEX('Калькуляция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(МИ)'!$AJ$25:$BC$315,,MATCH(AN$8,'Калькуляция (МИ)'!$AJ$8:$BC$8,0)),'Калькуляция (МИ)'!$F$25:$F$315,$F90,'Калькуляция (МИ)'!$G$25:$G$315,$G90))))</f>
        <v>75.409995641422384</v>
      </c>
      <c r="AO90" s="207">
        <f ca="1">IF(AM90=0,0,(AN90-AM90)/AM90*100)</f>
        <v>0</v>
      </c>
      <c r="AP90" s="594">
        <f ca="1">IF(AND(method_reg="Метод индексации",god&lt;&gt;first_year),SUMIFS(INDEX('Калькуляция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(МИ)'!$AJ$25:$BC$315,,MATCH(AP$8,'Калькуляция (МИ)'!$AJ$8:$BC$8,0)),'Калькуляция (МИ)'!$F$25:$F$315,$F90,'Калькуляция (МИ)'!$G$25:$G$315,$G90))))</f>
        <v>0</v>
      </c>
      <c r="AQ90" s="594">
        <f ca="1">IF(AND(method_reg="Метод индексации",god&lt;&gt;first_year),SUMIFS(INDEX('Калькуляция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(МИ)'!$AJ$25:$BC$315,,MATCH(AQ$8,'Калькуляция (МИ)'!$AJ$8:$BC$8,0)),'Калькуляция (МИ)'!$F$25:$F$315,$F90,'Калькуляция (МИ)'!$G$25:$G$315,$G90))))</f>
        <v>0</v>
      </c>
      <c r="AR90" s="207">
        <f ca="1">IF(AP90=0,0,(AQ90-AP90)/AP90*100)</f>
        <v>0</v>
      </c>
      <c r="AS90" s="594">
        <f ca="1">IF(AND(method_reg="Метод индексации",god&lt;&gt;first_year),SUMIFS(INDEX('Калькуляция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(МИ)'!$AJ$25:$BC$315,,MATCH(AS$8,'Калькуляция (МИ)'!$AJ$8:$BC$8,0)),'Калькуляция (МИ)'!$F$25:$F$315,$F90,'Калькуляция (МИ)'!$G$25:$G$315,$G90))))</f>
        <v>0</v>
      </c>
      <c r="AT90" s="594">
        <f ca="1">IF(AND(method_reg="Метод индексации",god&lt;&gt;first_year),SUMIFS(INDEX('Калькуляция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(МИ)'!$AJ$25:$BC$315,,MATCH(AT$8,'Калькуляция (МИ)'!$AJ$8:$BC$8,0)),'Калькуляция (МИ)'!$F$25:$F$315,$F90,'Калькуляция (МИ)'!$G$25:$G$315,$G90))))</f>
        <v>0</v>
      </c>
      <c r="AU90" s="207">
        <f ca="1">IF(AS90=0,0,(AT90-AS90)/AS90*100)</f>
        <v>0</v>
      </c>
      <c r="AV90" s="594">
        <f ca="1">IF(AND(method_reg="Метод индексации",god&lt;&gt;first_year),SUMIFS(INDEX('Калькуляция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(МИ)'!$AJ$25:$BC$315,,MATCH(AV$8,'Калькуляция (МИ)'!$AJ$8:$BC$8,0)),'Калькуляция (МИ)'!$F$25:$F$315,$F90,'Калькуляция (МИ)'!$G$25:$G$315,$G90))))</f>
        <v>0</v>
      </c>
      <c r="AW90" s="594">
        <f ca="1">IF(AND(method_reg="Метод индексации",god&lt;&gt;first_year),SUMIFS(INDEX('Калькуляция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(МИ)'!$AJ$25:$BC$315,,MATCH(AW$8,'Калькуляция (МИ)'!$AJ$8:$BC$8,0)),'Калькуляция (МИ)'!$F$25:$F$315,$F90,'Калькуляция (МИ)'!$G$25:$G$315,$G90))))</f>
        <v>0</v>
      </c>
      <c r="AX90" s="207">
        <f ca="1">IF(AV90=0,0,(AW90-AV90)/AV90*100)</f>
        <v>0</v>
      </c>
      <c r="AY90" s="594">
        <f ca="1">IF(AND(method_reg="Метод индексации",god&lt;&gt;first_year),SUMIFS(INDEX('Калькуляция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(МИ)'!$AJ$25:$BC$315,,MATCH(AY$8,'Калькуляция (МИ)'!$AJ$8:$BC$8,0)),'Калькуляция (МИ)'!$F$25:$F$315,$F90,'Калькуляция (МИ)'!$G$25:$G$315,$G90))))</f>
        <v>0</v>
      </c>
      <c r="AZ90" s="594">
        <f ca="1">IF(AND(method_reg="Метод индексации",god&lt;&gt;first_year),SUMIFS(INDEX('Калькуляция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(МИ)'!$AJ$25:$BC$315,,MATCH(AZ$8,'Калькуляция (МИ)'!$AJ$8:$BC$8,0)),'Калькуляция (МИ)'!$F$25:$F$315,$F90,'Калькуляция (МИ)'!$G$25:$G$315,$G90))))</f>
        <v>0</v>
      </c>
      <c r="BA90" s="207">
        <f ca="1">IF(AY90=0,0,(AZ90-AY90)/AY90*100)</f>
        <v>0</v>
      </c>
      <c r="BB90" s="594">
        <f ca="1">IF(AND(method_reg="Метод индексации",god&lt;&gt;first_year),SUMIFS(INDEX('Калькуляция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(МИ)'!$AJ$25:$BC$315,,MATCH(BB$8,'Калькуляция (МИ)'!$AJ$8:$BC$8,0)),'Калькуляция (МИ)'!$F$25:$F$315,$F90,'Калькуляция (МИ)'!$G$25:$G$315,$G90))))</f>
        <v>0</v>
      </c>
      <c r="BC90" s="594">
        <f ca="1">IF(AND(method_reg="Метод индексации",god&lt;&gt;first_year),SUMIFS(INDEX('Калькуляция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(МИ)'!$AJ$25:$BC$315,,MATCH(BC$8,'Калькуляция (МИ)'!$AJ$8:$BC$8,0)),'Калькуляция (МИ)'!$F$25:$F$315,$F90,'Калькуляция (МИ)'!$G$25:$G$315,$G90))))</f>
        <v>0</v>
      </c>
      <c r="BD90" s="207">
        <f ca="1">IF(BB90=0,0,(BC90-BB90)/BB90*100)</f>
        <v>0</v>
      </c>
      <c r="BE90" s="594">
        <f ca="1">IF(AND(method_reg="Метод индексации",god&lt;&gt;first_year),SUMIFS(INDEX('Калькуляция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(МИ)'!$AJ$25:$BC$315,,MATCH(BE$8,'Калькуляция (МИ)'!$AJ$8:$BC$8,0)),'Калькуляция (МИ)'!$F$25:$F$315,$F90,'Калькуляция (МИ)'!$G$25:$G$315,$G90))))</f>
        <v>0</v>
      </c>
      <c r="BF90" s="594">
        <f ca="1">IF(AND(method_reg="Метод индексации",god&lt;&gt;first_year),SUMIFS(INDEX('Калькуляция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(МИ)'!$AJ$25:$BC$315,,MATCH(BF$8,'Калькуляция (МИ)'!$AJ$8:$BC$8,0)),'Калькуляция (МИ)'!$F$25:$F$315,$F90,'Калькуляция (МИ)'!$G$25:$G$315,$G90))))</f>
        <v>0</v>
      </c>
      <c r="BG90" s="207">
        <f ca="1">IF(BE90=0,0,(BF90-BE90)/BE90*100)</f>
        <v>0</v>
      </c>
      <c r="BH90" s="594"/>
      <c r="BI90" s="594"/>
      <c r="BJ90" s="207">
        <f>IF(BH90=0,0,(BI90-BH90)/BH90*100)</f>
        <v>0</v>
      </c>
      <c r="BK90" s="594"/>
      <c r="BL90" s="594"/>
      <c r="BM90" s="207">
        <f>IF(BK90=0,0,(BL90-BK90)/BK90*100)</f>
        <v>0</v>
      </c>
      <c r="BN90" s="594"/>
      <c r="BO90" s="594"/>
      <c r="BP90" s="207">
        <f>IF(BN90=0,0,(BO90-BN90)/BN90*100)</f>
        <v>0</v>
      </c>
      <c r="BQ90" s="594"/>
      <c r="BR90" s="594"/>
      <c r="BS90" s="207">
        <f>IF(BQ90=0,0,(BR90-BQ90)/BQ90*100)</f>
        <v>0</v>
      </c>
      <c r="BT90" s="594"/>
      <c r="BU90" s="594"/>
      <c r="BV90" s="207">
        <f>IF(BT90=0,0,(BU90-BT90)/BT90*100)</f>
        <v>0</v>
      </c>
      <c r="BW90" s="594"/>
      <c r="BX90" s="594"/>
      <c r="BY90" s="207">
        <f>IF(BW90=0,0,(BX90-BW90)/BW90*100)</f>
        <v>0</v>
      </c>
      <c r="BZ90" s="594"/>
      <c r="CA90" s="594"/>
      <c r="CB90" s="207">
        <f>IF(BZ90=0,0,(CA90-BZ90)/BZ90*100)</f>
        <v>0</v>
      </c>
      <c r="CC90" s="594"/>
      <c r="CD90" s="594"/>
      <c r="CE90" s="207">
        <f>IF(CC90=0,0,(CD90-CC90)/CC90*100)</f>
        <v>0</v>
      </c>
      <c r="CF90" s="594"/>
      <c r="CG90" s="594"/>
      <c r="CH90" s="207">
        <f>IF(CF90=0,0,(CG90-CF90)/CF90*100)</f>
        <v>0</v>
      </c>
      <c r="CI90" s="594"/>
      <c r="CJ90" s="594"/>
      <c r="CK90" s="207">
        <f>IF(CI90=0,0,(CJ90-CI90)/CI90*100)</f>
        <v>0</v>
      </c>
      <c r="CL90" s="594"/>
      <c r="CM90" s="594"/>
      <c r="CN90" s="207">
        <f>IF(CL90=0,0,(CM90-CL90)/CL90*100)</f>
        <v>0</v>
      </c>
      <c r="CO90" s="594"/>
      <c r="CP90" s="594"/>
      <c r="CQ90" s="207">
        <f>IF(CO90=0,0,(CP90-CO90)/CO90*100)</f>
        <v>0</v>
      </c>
      <c r="CR90" s="594"/>
      <c r="CS90" s="594"/>
      <c r="CT90" s="207">
        <f>IF(CR90=0,0,(CS90-CR90)/CR90*100)</f>
        <v>0</v>
      </c>
      <c r="CU90" s="594"/>
      <c r="CV90" s="594"/>
      <c r="CW90" s="207">
        <f>IF(CU90=0,0,(CV90-CU90)/CU90*100)</f>
        <v>0</v>
      </c>
      <c r="CX90" s="594"/>
      <c r="CY90" s="594"/>
      <c r="CZ90" s="207">
        <f>IF(CX90=0,0,(CY90-CX90)/CX90*100)</f>
        <v>0</v>
      </c>
      <c r="DA90" s="594"/>
      <c r="DB90" s="594"/>
      <c r="DC90" s="207">
        <f>IF(DA90=0,0,(DB90-DA90)/DA90*100)</f>
        <v>0</v>
      </c>
      <c r="DD90" s="594"/>
      <c r="DE90" s="594"/>
      <c r="DF90" s="207">
        <f>IF(DD90=0,0,(DE90-DD90)/DD90*100)</f>
        <v>0</v>
      </c>
      <c r="DG90" s="206"/>
      <c r="DH90" s="206"/>
      <c r="DI90" s="207">
        <f>IF(DG90=0,0,(DH90-DG90)/DG90*100)</f>
        <v>0</v>
      </c>
      <c r="DJ90" s="206"/>
      <c r="DK90" s="206"/>
      <c r="DL90" s="207">
        <f>IF(DJ90=0,0,(DK90-DJ90)/DJ90*100)</f>
        <v>0</v>
      </c>
      <c r="DM90" s="206"/>
      <c r="DN90" s="206"/>
      <c r="DO90" s="207">
        <f>IF(DM90=0,0,(DN90-DM90)/DM90*100)</f>
        <v>0</v>
      </c>
      <c r="DP90" s="206"/>
      <c r="DQ90" s="206"/>
      <c r="DR90" s="207">
        <f>IF(DP90=0,0,(DQ90-DP90)/DP90*100)</f>
        <v>0</v>
      </c>
      <c r="DS90" s="206"/>
      <c r="DT90" s="206"/>
      <c r="DU90" s="207">
        <f>IF(DS90=0,0,(DT90-DS90)/DS90*100)</f>
        <v>0</v>
      </c>
      <c r="DV90" s="206"/>
      <c r="DW90" s="206"/>
      <c r="DX90" s="207">
        <f>IF(DV90=0,0,(DW90-DV90)/DV90*100)</f>
        <v>0</v>
      </c>
      <c r="DY90" s="206"/>
      <c r="DZ90" s="206"/>
      <c r="EA90" s="207">
        <f>IF(DY90=0,0,(DZ90-DY90)/DY90*100)</f>
        <v>0</v>
      </c>
      <c r="EB90" s="206"/>
      <c r="EC90" s="206"/>
      <c r="ED90" s="207">
        <f>IF(EB90=0,0,(EC90-EB90)/EB90*100)</f>
        <v>0</v>
      </c>
      <c r="EE90" s="206"/>
      <c r="EF90" s="206"/>
      <c r="EG90" s="207">
        <f>IF(EE90=0,0,(EF90-EE90)/EE90*100)</f>
        <v>0</v>
      </c>
      <c r="EH90" s="206"/>
      <c r="EI90" s="206"/>
      <c r="EJ90" s="207">
        <f>IF(EH90=0,0,(EI90-EH90)/EH90*100)</f>
        <v>0</v>
      </c>
      <c r="EK90" s="206"/>
      <c r="EL90" s="206"/>
      <c r="EM90" s="207">
        <f>IF(EK90=0,0,(EL90-EK90)/EK90*100)</f>
        <v>0</v>
      </c>
      <c r="EN90" s="206"/>
      <c r="EO90" s="206"/>
      <c r="EP90" s="207">
        <f>IF(EN90=0,0,(EO90-EN90)/EN90*100)</f>
        <v>0</v>
      </c>
      <c r="EQ90" s="206"/>
      <c r="ER90" s="206"/>
      <c r="ES90" s="207">
        <f>IF(EQ90=0,0,(ER90-EQ90)/EQ90*100)</f>
        <v>0</v>
      </c>
      <c r="ET90" s="206"/>
      <c r="EU90" s="206"/>
      <c r="EV90" s="207">
        <f>IF(ET90=0,0,(EU90-ET90)/ET90*100)</f>
        <v>0</v>
      </c>
      <c r="EW90" s="206"/>
      <c r="EX90" s="206"/>
      <c r="EY90" s="207">
        <f>IF(EW90=0,0,(EX90-EW90)/EW90*100)</f>
        <v>0</v>
      </c>
      <c r="EZ90" s="206"/>
      <c r="FA90" s="206"/>
      <c r="FB90" s="207">
        <f>IF(EZ90=0,0,(FA90-EZ90)/EZ90*100)</f>
        <v>0</v>
      </c>
      <c r="FC90" s="206"/>
      <c r="FD90" s="206"/>
      <c r="FE90" s="207">
        <f>IF(FC90=0,0,(FD90-FC90)/FC90*100)</f>
        <v>0</v>
      </c>
      <c r="FF90" s="206"/>
      <c r="FG90" s="206"/>
      <c r="FH90" s="207">
        <f>IF(FF90=0,0,(FG90-FF90)/FF90*100)</f>
        <v>0</v>
      </c>
      <c r="FI90" s="206"/>
      <c r="FJ90" s="206"/>
      <c r="FK90" s="207">
        <f>IF(FI90=0,0,(FJ90-FI90)/FI90*100)</f>
        <v>0</v>
      </c>
      <c r="FL90" s="206"/>
      <c r="FM90" s="206"/>
      <c r="FN90" s="207">
        <f>IF(FL90=0,0,(FM90-FL90)/FL90*100)</f>
        <v>0</v>
      </c>
      <c r="FO90" s="206"/>
      <c r="FP90" s="206"/>
      <c r="FQ90" s="207">
        <f>IF(FO90=0,0,(FP90-FO90)/FO90*100)</f>
        <v>0</v>
      </c>
      <c r="FR90" s="206"/>
      <c r="FS90" s="206"/>
      <c r="FT90" s="207">
        <f>IF(FR90=0,0,(FS90-FR90)/FR90*100)</f>
        <v>0</v>
      </c>
      <c r="FU90" s="206"/>
      <c r="FV90" s="206"/>
      <c r="FW90" s="207">
        <f>IF(FU90=0,0,(FV90-FU90)/FU90*100)</f>
        <v>0</v>
      </c>
      <c r="FX90" s="203"/>
      <c r="FY90" s="203"/>
      <c r="FZ90" s="689" t="s">
        <v>1648</v>
      </c>
      <c r="GA90" s="689"/>
      <c r="GB90" s="689"/>
      <c r="GC90" s="690"/>
      <c r="GD90" s="690"/>
    </row>
    <row r="91" spans="1:186" s="900" customFormat="1" ht="35.450000000000003" customHeight="1">
      <c r="A91" s="592"/>
      <c r="B91" s="611" t="b" cm="1">
        <f t="array" ref="B91">B90</f>
        <v>1</v>
      </c>
      <c r="C91" s="592"/>
      <c r="D91" s="592"/>
      <c r="E91" s="593">
        <v>24.5</v>
      </c>
      <c r="F91" s="3" t="str" cm="1">
        <f t="array" aca="1" ref="F91" ca="1">OFFSET(E91,-1,1)</f>
        <v>1</v>
      </c>
      <c r="G91" s="59" t="s">
        <v>1649</v>
      </c>
      <c r="H91" s="59" t="s">
        <v>507</v>
      </c>
      <c r="I91" s="59" t="s">
        <v>1650</v>
      </c>
      <c r="J91" s="592"/>
      <c r="K91" s="592"/>
      <c r="L91" s="59"/>
      <c r="M91" s="592"/>
      <c r="N91" s="592"/>
      <c r="O91" s="592"/>
      <c r="P91" s="592"/>
      <c r="Q91" s="592"/>
      <c r="R91" s="592"/>
      <c r="S91" s="59"/>
      <c r="T91" s="351" t="b" cm="1">
        <f t="array" ref="T91">T90</f>
        <v>1</v>
      </c>
      <c r="U91" s="592"/>
      <c r="V91" s="592"/>
      <c r="W91" s="592"/>
      <c r="X91" s="1046"/>
      <c r="Y91" s="592"/>
      <c r="Z91" s="1007"/>
      <c r="AA91" s="592"/>
      <c r="AB91" s="204" t="s">
        <v>1651</v>
      </c>
      <c r="AC91" s="205" t="s">
        <v>1647</v>
      </c>
      <c r="AD91" s="594">
        <f ca="1">IF(AND(method_reg="Метод индексации",god&lt;&gt;first_year),SUMIFS(INDEX('Калькуляция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(МИ)'!$AJ$25:$BC$315,,MATCH(AD$8,'Калькуляция (МИ)'!$AJ$8:$BC$8,0)),'Калькуляция (МИ)'!$F$25:$F$315,$F91,'Калькуляция (МИ)'!$G$25:$G$315,$G91))))</f>
        <v>87.978230000518494</v>
      </c>
      <c r="AE91" s="594">
        <f ca="1">IF(AND(method_reg="Метод индексации",god&lt;&gt;first_year),SUMIFS(INDEX('Калькуляция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(МИ)'!$AJ$25:$BC$315,,MATCH(AE$8,'Калькуляция (МИ)'!$AJ$8:$BC$8,0)),'Калькуляция (МИ)'!$F$25:$F$315,$F91,'Калькуляция (МИ)'!$G$25:$G$315,$G91))))</f>
        <v>68.769998234097599</v>
      </c>
      <c r="AF91" s="207">
        <f ca="1">IF(AD91=0,0,(AE91-AD91)/AD91*100)</f>
        <v>-21.832937269035408</v>
      </c>
      <c r="AG91" s="594">
        <f ca="1">IF(AND(method_reg="Метод индексации",god&lt;&gt;first_year),SUMIFS(INDEX('Калькуляция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(МИ)'!$AJ$25:$BC$315,,MATCH(AG$8,'Калькуляция (МИ)'!$AJ$8:$BC$8,0)),'Калькуляция (МИ)'!$F$25:$F$315,$F91,'Калькуляция (МИ)'!$G$25:$G$315,$G91))))</f>
        <v>76.246958073552435</v>
      </c>
      <c r="AH91" s="594">
        <f ca="1">IF(AND(method_reg="Метод индексации",god&lt;&gt;first_year),SUMIFS(INDEX('Калькуляция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(МИ)'!$AJ$25:$BC$315,,MATCH(AH$8,'Калькуляция (МИ)'!$AJ$8:$BC$8,0)),'Калькуляция (МИ)'!$F$25:$F$315,$F91,'Калькуляция (МИ)'!$G$25:$G$315,$G91))))</f>
        <v>73.720003014450896</v>
      </c>
      <c r="AI91" s="207">
        <f ca="1">IF(AG91=0,0,(AH91-AG91)/AG91*100)</f>
        <v>-3.3141716377247268</v>
      </c>
      <c r="AJ91" s="594">
        <f ca="1">IF(AND(method_reg="Метод индексации",god&lt;&gt;first_year),SUMIFS(INDEX('Калькуляция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(МИ)'!$AJ$25:$BC$315,,MATCH(AJ$8,'Калькуляция (МИ)'!$AJ$8:$BC$8,0)),'Калькуляция (МИ)'!$F$25:$F$315,$F91,'Калькуляция (МИ)'!$G$25:$G$315,$G91))))</f>
        <v>82.338701574311841</v>
      </c>
      <c r="AK91" s="594">
        <f ca="1">IF(AND(method_reg="Метод индексации",god&lt;&gt;first_year),SUMIFS(INDEX('Калькуляция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(МИ)'!$AJ$25:$BC$315,,MATCH(AK$8,'Калькуляция (МИ)'!$AJ$8:$BC$8,0)),'Калькуляция (МИ)'!$F$25:$F$315,$F91,'Калькуляция (МИ)'!$G$25:$G$315,$G91))))</f>
        <v>75.409995641422384</v>
      </c>
      <c r="AL91" s="207">
        <f ca="1">IF(AJ91=0,0,(AK91-AJ91)/AJ91*100)</f>
        <v>-8.4148836457376035</v>
      </c>
      <c r="AM91" s="594">
        <f ca="1">IF(AND(method_reg="Метод индексации",god&lt;&gt;first_year),SUMIFS(INDEX('Калькуляция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(МИ)'!$AJ$25:$BC$315,,MATCH(AM$8,'Калькуляция (МИ)'!$AJ$8:$BC$8,0)),'Калькуляция (МИ)'!$F$25:$F$315,$F91,'Калькуляция (МИ)'!$G$25:$G$315,$G91))))</f>
        <v>0</v>
      </c>
      <c r="AN91" s="594">
        <f ca="1">IF(AND(method_reg="Метод индексации",god&lt;&gt;first_year),SUMIFS(INDEX('Калькуляция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(МИ)'!$AJ$25:$BC$315,,MATCH(AN$8,'Калькуляция (МИ)'!$AJ$8:$BC$8,0)),'Калькуляция (МИ)'!$F$25:$F$315,$F91,'Калькуляция (МИ)'!$G$25:$G$315,$G91))))</f>
        <v>0</v>
      </c>
      <c r="AO91" s="207">
        <f ca="1">IF(AM91=0,0,(AN91-AM91)/AM91*100)</f>
        <v>0</v>
      </c>
      <c r="AP91" s="594">
        <f ca="1">IF(AND(method_reg="Метод индексации",god&lt;&gt;first_year),SUMIFS(INDEX('Калькуляция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(МИ)'!$AJ$25:$BC$315,,MATCH(AP$8,'Калькуляция (МИ)'!$AJ$8:$BC$8,0)),'Калькуляция (МИ)'!$F$25:$F$315,$F91,'Калькуляция (МИ)'!$G$25:$G$315,$G91))))</f>
        <v>0</v>
      </c>
      <c r="AQ91" s="594">
        <f ca="1">IF(AND(method_reg="Метод индексации",god&lt;&gt;first_year),SUMIFS(INDEX('Калькуляция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(МИ)'!$AJ$25:$BC$315,,MATCH(AQ$8,'Калькуляция (МИ)'!$AJ$8:$BC$8,0)),'Калькуляция (МИ)'!$F$25:$F$315,$F91,'Калькуляция (МИ)'!$G$25:$G$315,$G91))))</f>
        <v>0</v>
      </c>
      <c r="AR91" s="207">
        <f ca="1">IF(AP91=0,0,(AQ91-AP91)/AP91*100)</f>
        <v>0</v>
      </c>
      <c r="AS91" s="594">
        <f ca="1">IF(AND(method_reg="Метод индексации",god&lt;&gt;first_year),SUMIFS(INDEX('Калькуляция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(МИ)'!$AJ$25:$BC$315,,MATCH(AS$8,'Калькуляция (МИ)'!$AJ$8:$BC$8,0)),'Калькуляция (МИ)'!$F$25:$F$315,$F91,'Калькуляция (МИ)'!$G$25:$G$315,$G91))))</f>
        <v>0</v>
      </c>
      <c r="AT91" s="594">
        <f ca="1">IF(AND(method_reg="Метод индексации",god&lt;&gt;first_year),SUMIFS(INDEX('Калькуляция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(МИ)'!$AJ$25:$BC$315,,MATCH(AT$8,'Калькуляция (МИ)'!$AJ$8:$BC$8,0)),'Калькуляция (МИ)'!$F$25:$F$315,$F91,'Калькуляция (МИ)'!$G$25:$G$315,$G91))))</f>
        <v>0</v>
      </c>
      <c r="AU91" s="207">
        <f ca="1">IF(AS91=0,0,(AT91-AS91)/AS91*100)</f>
        <v>0</v>
      </c>
      <c r="AV91" s="594">
        <f ca="1">IF(AND(method_reg="Метод индексации",god&lt;&gt;first_year),SUMIFS(INDEX('Калькуляция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(МИ)'!$AJ$25:$BC$315,,MATCH(AV$8,'Калькуляция (МИ)'!$AJ$8:$BC$8,0)),'Калькуляция (МИ)'!$F$25:$F$315,$F91,'Калькуляция (МИ)'!$G$25:$G$315,$G91))))</f>
        <v>0</v>
      </c>
      <c r="AW91" s="594">
        <f ca="1">IF(AND(method_reg="Метод индексации",god&lt;&gt;first_year),SUMIFS(INDEX('Калькуляция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(МИ)'!$AJ$25:$BC$315,,MATCH(AW$8,'Калькуляция (МИ)'!$AJ$8:$BC$8,0)),'Калькуляция (МИ)'!$F$25:$F$315,$F91,'Калькуляция (МИ)'!$G$25:$G$315,$G91))))</f>
        <v>0</v>
      </c>
      <c r="AX91" s="207">
        <f ca="1">IF(AV91=0,0,(AW91-AV91)/AV91*100)</f>
        <v>0</v>
      </c>
      <c r="AY91" s="594">
        <f ca="1">IF(AND(method_reg="Метод индексации",god&lt;&gt;first_year),SUMIFS(INDEX('Калькуляция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(МИ)'!$AJ$25:$BC$315,,MATCH(AY$8,'Калькуляция (МИ)'!$AJ$8:$BC$8,0)),'Калькуляция (МИ)'!$F$25:$F$315,$F91,'Калькуляция (МИ)'!$G$25:$G$315,$G91))))</f>
        <v>0</v>
      </c>
      <c r="AZ91" s="594">
        <f ca="1">IF(AND(method_reg="Метод индексации",god&lt;&gt;first_year),SUMIFS(INDEX('Калькуляция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(МИ)'!$AJ$25:$BC$315,,MATCH(AZ$8,'Калькуляция (МИ)'!$AJ$8:$BC$8,0)),'Калькуляция (МИ)'!$F$25:$F$315,$F91,'Калькуляция (МИ)'!$G$25:$G$315,$G91))))</f>
        <v>0</v>
      </c>
      <c r="BA91" s="207">
        <f ca="1">IF(AY91=0,0,(AZ91-AY91)/AY91*100)</f>
        <v>0</v>
      </c>
      <c r="BB91" s="594">
        <f ca="1">IF(AND(method_reg="Метод индексации",god&lt;&gt;first_year),SUMIFS(INDEX('Калькуляция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(МИ)'!$AJ$25:$BC$315,,MATCH(BB$8,'Калькуляция (МИ)'!$AJ$8:$BC$8,0)),'Калькуляция (МИ)'!$F$25:$F$315,$F91,'Калькуляция (МИ)'!$G$25:$G$315,$G91))))</f>
        <v>0</v>
      </c>
      <c r="BC91" s="594">
        <f ca="1">IF(AND(method_reg="Метод индексации",god&lt;&gt;first_year),SUMIFS(INDEX('Калькуляция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(МИ)'!$AJ$25:$BC$315,,MATCH(BC$8,'Калькуляция (МИ)'!$AJ$8:$BC$8,0)),'Калькуляция (МИ)'!$F$25:$F$315,$F91,'Калькуляция (МИ)'!$G$25:$G$315,$G91))))</f>
        <v>0</v>
      </c>
      <c r="BD91" s="207">
        <f ca="1">IF(BB91=0,0,(BC91-BB91)/BB91*100)</f>
        <v>0</v>
      </c>
      <c r="BE91" s="594">
        <f ca="1">IF(AND(method_reg="Метод индексации",god&lt;&gt;first_year),SUMIFS(INDEX('Калькуляция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(МИ)'!$AJ$25:$BC$315,,MATCH(BE$8,'Калькуляция (МИ)'!$AJ$8:$BC$8,0)),'Калькуляция (МИ)'!$F$25:$F$315,$F91,'Калькуляция (МИ)'!$G$25:$G$315,$G91))))</f>
        <v>0</v>
      </c>
      <c r="BF91" s="594">
        <f ca="1">IF(AND(method_reg="Метод индексации",god&lt;&gt;first_year),SUMIFS(INDEX('Калькуляция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(МИ)'!$AJ$25:$BC$315,,MATCH(BF$8,'Калькуляция (МИ)'!$AJ$8:$BC$8,0)),'Калькуляция (МИ)'!$F$25:$F$315,$F91,'Калькуляция (МИ)'!$G$25:$G$315,$G91))))</f>
        <v>0</v>
      </c>
      <c r="BG91" s="207">
        <f ca="1">IF(BE91=0,0,(BF91-BE91)/BE91*100)</f>
        <v>0</v>
      </c>
      <c r="BH91" s="594"/>
      <c r="BI91" s="594"/>
      <c r="BJ91" s="207">
        <f>IF(BH91=0,0,(BI91-BH91)/BH91*100)</f>
        <v>0</v>
      </c>
      <c r="BK91" s="594"/>
      <c r="BL91" s="594"/>
      <c r="BM91" s="207">
        <f>IF(BK91=0,0,(BL91-BK91)/BK91*100)</f>
        <v>0</v>
      </c>
      <c r="BN91" s="594"/>
      <c r="BO91" s="594"/>
      <c r="BP91" s="207">
        <f>IF(BN91=0,0,(BO91-BN91)/BN91*100)</f>
        <v>0</v>
      </c>
      <c r="BQ91" s="594"/>
      <c r="BR91" s="594"/>
      <c r="BS91" s="207">
        <f>IF(BQ91=0,0,(BR91-BQ91)/BQ91*100)</f>
        <v>0</v>
      </c>
      <c r="BT91" s="594"/>
      <c r="BU91" s="594"/>
      <c r="BV91" s="207">
        <f>IF(BT91=0,0,(BU91-BT91)/BT91*100)</f>
        <v>0</v>
      </c>
      <c r="BW91" s="594"/>
      <c r="BX91" s="594"/>
      <c r="BY91" s="207">
        <f>IF(BW91=0,0,(BX91-BW91)/BW91*100)</f>
        <v>0</v>
      </c>
      <c r="BZ91" s="594"/>
      <c r="CA91" s="594"/>
      <c r="CB91" s="207">
        <f>IF(BZ91=0,0,(CA91-BZ91)/BZ91*100)</f>
        <v>0</v>
      </c>
      <c r="CC91" s="594"/>
      <c r="CD91" s="594"/>
      <c r="CE91" s="207">
        <f>IF(CC91=0,0,(CD91-CC91)/CC91*100)</f>
        <v>0</v>
      </c>
      <c r="CF91" s="594"/>
      <c r="CG91" s="594"/>
      <c r="CH91" s="207">
        <f>IF(CF91=0,0,(CG91-CF91)/CF91*100)</f>
        <v>0</v>
      </c>
      <c r="CI91" s="594"/>
      <c r="CJ91" s="594"/>
      <c r="CK91" s="207">
        <f>IF(CI91=0,0,(CJ91-CI91)/CI91*100)</f>
        <v>0</v>
      </c>
      <c r="CL91" s="594"/>
      <c r="CM91" s="594"/>
      <c r="CN91" s="207">
        <f>IF(CL91=0,0,(CM91-CL91)/CL91*100)</f>
        <v>0</v>
      </c>
      <c r="CO91" s="594"/>
      <c r="CP91" s="594"/>
      <c r="CQ91" s="207">
        <f>IF(CO91=0,0,(CP91-CO91)/CO91*100)</f>
        <v>0</v>
      </c>
      <c r="CR91" s="594"/>
      <c r="CS91" s="594"/>
      <c r="CT91" s="207">
        <f>IF(CR91=0,0,(CS91-CR91)/CR91*100)</f>
        <v>0</v>
      </c>
      <c r="CU91" s="594"/>
      <c r="CV91" s="594"/>
      <c r="CW91" s="207">
        <f>IF(CU91=0,0,(CV91-CU91)/CU91*100)</f>
        <v>0</v>
      </c>
      <c r="CX91" s="594"/>
      <c r="CY91" s="594"/>
      <c r="CZ91" s="207">
        <f>IF(CX91=0,0,(CY91-CX91)/CX91*100)</f>
        <v>0</v>
      </c>
      <c r="DA91" s="594"/>
      <c r="DB91" s="594"/>
      <c r="DC91" s="207">
        <f>IF(DA91=0,0,(DB91-DA91)/DA91*100)</f>
        <v>0</v>
      </c>
      <c r="DD91" s="594"/>
      <c r="DE91" s="594"/>
      <c r="DF91" s="207">
        <f>IF(DD91=0,0,(DE91-DD91)/DD91*100)</f>
        <v>0</v>
      </c>
      <c r="DG91" s="206"/>
      <c r="DH91" s="206"/>
      <c r="DI91" s="207">
        <f>IF(DG91=0,0,(DH91-DG91)/DG91*100)</f>
        <v>0</v>
      </c>
      <c r="DJ91" s="206"/>
      <c r="DK91" s="206"/>
      <c r="DL91" s="207">
        <f>IF(DJ91=0,0,(DK91-DJ91)/DJ91*100)</f>
        <v>0</v>
      </c>
      <c r="DM91" s="206"/>
      <c r="DN91" s="206"/>
      <c r="DO91" s="207">
        <f>IF(DM91=0,0,(DN91-DM91)/DM91*100)</f>
        <v>0</v>
      </c>
      <c r="DP91" s="206"/>
      <c r="DQ91" s="206"/>
      <c r="DR91" s="207">
        <f>IF(DP91=0,0,(DQ91-DP91)/DP91*100)</f>
        <v>0</v>
      </c>
      <c r="DS91" s="206"/>
      <c r="DT91" s="206"/>
      <c r="DU91" s="207">
        <f>IF(DS91=0,0,(DT91-DS91)/DS91*100)</f>
        <v>0</v>
      </c>
      <c r="DV91" s="206"/>
      <c r="DW91" s="206"/>
      <c r="DX91" s="207">
        <f>IF(DV91=0,0,(DW91-DV91)/DV91*100)</f>
        <v>0</v>
      </c>
      <c r="DY91" s="206"/>
      <c r="DZ91" s="206"/>
      <c r="EA91" s="207">
        <f>IF(DY91=0,0,(DZ91-DY91)/DY91*100)</f>
        <v>0</v>
      </c>
      <c r="EB91" s="206"/>
      <c r="EC91" s="206"/>
      <c r="ED91" s="207">
        <f>IF(EB91=0,0,(EC91-EB91)/EB91*100)</f>
        <v>0</v>
      </c>
      <c r="EE91" s="206"/>
      <c r="EF91" s="206"/>
      <c r="EG91" s="207">
        <f>IF(EE91=0,0,(EF91-EE91)/EE91*100)</f>
        <v>0</v>
      </c>
      <c r="EH91" s="206"/>
      <c r="EI91" s="206"/>
      <c r="EJ91" s="207">
        <f>IF(EH91=0,0,(EI91-EH91)/EH91*100)</f>
        <v>0</v>
      </c>
      <c r="EK91" s="206"/>
      <c r="EL91" s="206"/>
      <c r="EM91" s="207">
        <f>IF(EK91=0,0,(EL91-EK91)/EK91*100)</f>
        <v>0</v>
      </c>
      <c r="EN91" s="206"/>
      <c r="EO91" s="206"/>
      <c r="EP91" s="207">
        <f>IF(EN91=0,0,(EO91-EN91)/EN91*100)</f>
        <v>0</v>
      </c>
      <c r="EQ91" s="206"/>
      <c r="ER91" s="206"/>
      <c r="ES91" s="207">
        <f>IF(EQ91=0,0,(ER91-EQ91)/EQ91*100)</f>
        <v>0</v>
      </c>
      <c r="ET91" s="206"/>
      <c r="EU91" s="206"/>
      <c r="EV91" s="207">
        <f>IF(ET91=0,0,(EU91-ET91)/ET91*100)</f>
        <v>0</v>
      </c>
      <c r="EW91" s="206"/>
      <c r="EX91" s="206"/>
      <c r="EY91" s="207">
        <f>IF(EW91=0,0,(EX91-EW91)/EW91*100)</f>
        <v>0</v>
      </c>
      <c r="EZ91" s="206"/>
      <c r="FA91" s="206"/>
      <c r="FB91" s="207">
        <f>IF(EZ91=0,0,(FA91-EZ91)/EZ91*100)</f>
        <v>0</v>
      </c>
      <c r="FC91" s="206"/>
      <c r="FD91" s="206"/>
      <c r="FE91" s="207">
        <f>IF(FC91=0,0,(FD91-FC91)/FC91*100)</f>
        <v>0</v>
      </c>
      <c r="FF91" s="206"/>
      <c r="FG91" s="206"/>
      <c r="FH91" s="207">
        <f>IF(FF91=0,0,(FG91-FF91)/FF91*100)</f>
        <v>0</v>
      </c>
      <c r="FI91" s="206"/>
      <c r="FJ91" s="206"/>
      <c r="FK91" s="207">
        <f>IF(FI91=0,0,(FJ91-FI91)/FI91*100)</f>
        <v>0</v>
      </c>
      <c r="FL91" s="206"/>
      <c r="FM91" s="206"/>
      <c r="FN91" s="207">
        <f>IF(FL91=0,0,(FM91-FL91)/FL91*100)</f>
        <v>0</v>
      </c>
      <c r="FO91" s="206"/>
      <c r="FP91" s="206"/>
      <c r="FQ91" s="207">
        <f>IF(FO91=0,0,(FP91-FO91)/FO91*100)</f>
        <v>0</v>
      </c>
      <c r="FR91" s="206"/>
      <c r="FS91" s="206"/>
      <c r="FT91" s="207">
        <f>IF(FR91=0,0,(FS91-FR91)/FR91*100)</f>
        <v>0</v>
      </c>
      <c r="FU91" s="206"/>
      <c r="FV91" s="206"/>
      <c r="FW91" s="207">
        <f>IF(FU91=0,0,(FV91-FU91)/FU91*100)</f>
        <v>0</v>
      </c>
      <c r="FX91" s="203"/>
      <c r="FY91" s="203"/>
      <c r="FZ91" s="689" t="s">
        <v>1652</v>
      </c>
      <c r="GA91" s="689"/>
      <c r="GB91" s="689"/>
      <c r="GC91" s="690"/>
      <c r="GD91" s="690"/>
    </row>
    <row r="92" spans="1:186" ht="24.2" customHeight="1">
      <c r="A92" s="59"/>
      <c r="B92" s="611" t="b" cm="1">
        <f t="array" ref="B92">B91</f>
        <v>1</v>
      </c>
      <c r="C92" s="59"/>
      <c r="D92" s="59"/>
      <c r="E92" s="460">
        <v>15</v>
      </c>
      <c r="F92" s="3" t="str" cm="1">
        <f t="array" aca="1" ref="F92" ca="1">OFFSET(E92,-1,1)</f>
        <v>1</v>
      </c>
      <c r="G92" s="59"/>
      <c r="H92" s="59" t="s">
        <v>511</v>
      </c>
      <c r="I92" s="59" t="s">
        <v>1653</v>
      </c>
      <c r="J92" s="59"/>
      <c r="K92" s="59"/>
      <c r="L92" s="59"/>
      <c r="M92" s="59"/>
      <c r="N92" s="59"/>
      <c r="O92" s="59"/>
      <c r="P92" s="59"/>
      <c r="Q92" s="59"/>
      <c r="R92" s="59"/>
      <c r="S92" s="59"/>
      <c r="T92" s="351" t="b" cm="1">
        <f t="array" ref="T92">T91</f>
        <v>1</v>
      </c>
      <c r="U92" s="59"/>
      <c r="V92" s="59"/>
      <c r="W92" s="59"/>
      <c r="X92" s="1046"/>
      <c r="Y92" s="59"/>
      <c r="Z92" s="1007"/>
      <c r="AA92" s="59"/>
      <c r="AB92" s="54" t="s">
        <v>1654</v>
      </c>
      <c r="AC92" s="12" t="s">
        <v>501</v>
      </c>
      <c r="AD92" s="618">
        <f ca="1">IF(AD90=0,0,AD91/AD90)*100</f>
        <v>140.72013755681141</v>
      </c>
      <c r="AE92" s="618">
        <f ca="1">IF(AE90=0,0,AE91/AE90)*100</f>
        <v>109.99679819913244</v>
      </c>
      <c r="AF92" s="712"/>
      <c r="AG92" s="618">
        <f ca="1">IF(AG90=0,0,AG91/AG90)*100</f>
        <v>100.00912653928704</v>
      </c>
      <c r="AH92" s="618">
        <f ca="1">IF(AH90=0,0,AH91/AH90)*100</f>
        <v>107.19791319974033</v>
      </c>
      <c r="AI92" s="712"/>
      <c r="AJ92" s="618">
        <f ca="1">IF(AJ90=0,0,AJ91/AJ90)*100</f>
        <v>107.98518239254011</v>
      </c>
      <c r="AK92" s="618">
        <f ca="1">IF(AK90=0,0,AK91/AK90)*100</f>
        <v>102.2924478538616</v>
      </c>
      <c r="AL92" s="712"/>
      <c r="AM92" s="618">
        <f ca="1">IF(AM90=0,0,AM91/AM90)*100</f>
        <v>0</v>
      </c>
      <c r="AN92" s="618">
        <f ca="1">IF(AN90=0,0,AN91/AN90)*100</f>
        <v>0</v>
      </c>
      <c r="AO92" s="712"/>
      <c r="AP92" s="618">
        <f ca="1">IF(AP90=0,0,AP91/AP90)*100</f>
        <v>0</v>
      </c>
      <c r="AQ92" s="618">
        <f ca="1">IF(AQ90=0,0,AQ91/AQ90)*100</f>
        <v>0</v>
      </c>
      <c r="AR92" s="712"/>
      <c r="AS92" s="618">
        <f ca="1">IF(AS90=0,0,AS91/AS90)*100</f>
        <v>0</v>
      </c>
      <c r="AT92" s="618">
        <f ca="1">IF(AT90=0,0,AT91/AT90)*100</f>
        <v>0</v>
      </c>
      <c r="AU92" s="712"/>
      <c r="AV92" s="618">
        <f ca="1">IF(AV90=0,0,AV91/AV90)*100</f>
        <v>0</v>
      </c>
      <c r="AW92" s="618">
        <f ca="1">IF(AW90=0,0,AW91/AW90)*100</f>
        <v>0</v>
      </c>
      <c r="AX92" s="712"/>
      <c r="AY92" s="618">
        <f ca="1">IF(AY90=0,0,AY91/AY90)*100</f>
        <v>0</v>
      </c>
      <c r="AZ92" s="618">
        <f ca="1">IF(AZ90=0,0,AZ91/AZ90)*100</f>
        <v>0</v>
      </c>
      <c r="BA92" s="712"/>
      <c r="BB92" s="618">
        <f ca="1">IF(BB90=0,0,BB91/BB90)*100</f>
        <v>0</v>
      </c>
      <c r="BC92" s="618">
        <f ca="1">IF(BC90=0,0,BC91/BC90)*100</f>
        <v>0</v>
      </c>
      <c r="BD92" s="712"/>
      <c r="BE92" s="618">
        <f ca="1">IF(BE90=0,0,BE91/BE90)*100</f>
        <v>0</v>
      </c>
      <c r="BF92" s="618">
        <f ca="1">IF(BF90=0,0,BF91/BF90)*100</f>
        <v>0</v>
      </c>
      <c r="BG92" s="712"/>
      <c r="BH92" s="618">
        <f>IF(BH90=0,0,BH91/BH90)*100</f>
        <v>0</v>
      </c>
      <c r="BI92" s="618">
        <f>IF(BI90=0,0,BI91/BI90)*100</f>
        <v>0</v>
      </c>
      <c r="BJ92" s="712"/>
      <c r="BK92" s="618">
        <f>IF(BK90=0,0,BK91/BK90)*100</f>
        <v>0</v>
      </c>
      <c r="BL92" s="618">
        <f>IF(BL90=0,0,BL91/BL90)*100</f>
        <v>0</v>
      </c>
      <c r="BM92" s="712"/>
      <c r="BN92" s="618">
        <f>IF(BN90=0,0,BN91/BN90)*100</f>
        <v>0</v>
      </c>
      <c r="BO92" s="618">
        <f>IF(BO90=0,0,BO91/BO90)*100</f>
        <v>0</v>
      </c>
      <c r="BP92" s="712"/>
      <c r="BQ92" s="618">
        <f>IF(BQ90=0,0,BQ91/BQ90)*100</f>
        <v>0</v>
      </c>
      <c r="BR92" s="618">
        <f>IF(BR90=0,0,BR91/BR90)*100</f>
        <v>0</v>
      </c>
      <c r="BS92" s="712"/>
      <c r="BT92" s="618">
        <f>IF(BT90=0,0,BT91/BT90)*100</f>
        <v>0</v>
      </c>
      <c r="BU92" s="618">
        <f>IF(BU90=0,0,BU91/BU90)*100</f>
        <v>0</v>
      </c>
      <c r="BV92" s="712"/>
      <c r="BW92" s="618">
        <f>IF(BW90=0,0,BW91/BW90)*100</f>
        <v>0</v>
      </c>
      <c r="BX92" s="618">
        <f>IF(BX90=0,0,BX91/BX90)*100</f>
        <v>0</v>
      </c>
      <c r="BY92" s="712"/>
      <c r="BZ92" s="618">
        <f>IF(BZ90=0,0,BZ91/BZ90)*100</f>
        <v>0</v>
      </c>
      <c r="CA92" s="618">
        <f>IF(CA90=0,0,CA91/CA90)*100</f>
        <v>0</v>
      </c>
      <c r="CB92" s="712"/>
      <c r="CC92" s="618">
        <f>IF(CC90=0,0,CC91/CC90)*100</f>
        <v>0</v>
      </c>
      <c r="CD92" s="618">
        <f>IF(CD90=0,0,CD91/CD90)*100</f>
        <v>0</v>
      </c>
      <c r="CE92" s="712"/>
      <c r="CF92" s="618">
        <f>IF(CF90=0,0,CF91/CF90)*100</f>
        <v>0</v>
      </c>
      <c r="CG92" s="618">
        <f>IF(CG90=0,0,CG91/CG90)*100</f>
        <v>0</v>
      </c>
      <c r="CH92" s="712"/>
      <c r="CI92" s="618">
        <f>IF(CI90=0,0,CI91/CI90)*100</f>
        <v>0</v>
      </c>
      <c r="CJ92" s="618">
        <f>IF(CJ90=0,0,CJ91/CJ90)*100</f>
        <v>0</v>
      </c>
      <c r="CK92" s="712"/>
      <c r="CL92" s="618">
        <f>IF(CL90=0,0,CL91/CL90)*100</f>
        <v>0</v>
      </c>
      <c r="CM92" s="618">
        <f>IF(CM90=0,0,CM91/CM90)*100</f>
        <v>0</v>
      </c>
      <c r="CN92" s="712"/>
      <c r="CO92" s="618">
        <f>IF(CO90=0,0,CO91/CO90)*100</f>
        <v>0</v>
      </c>
      <c r="CP92" s="618">
        <f>IF(CP90=0,0,CP91/CP90)*100</f>
        <v>0</v>
      </c>
      <c r="CQ92" s="712"/>
      <c r="CR92" s="618">
        <f>IF(CR90=0,0,CR91/CR90)*100</f>
        <v>0</v>
      </c>
      <c r="CS92" s="618">
        <f>IF(CS90=0,0,CS91/CS90)*100</f>
        <v>0</v>
      </c>
      <c r="CT92" s="712"/>
      <c r="CU92" s="618">
        <f>IF(CU90=0,0,CU91/CU90)*100</f>
        <v>0</v>
      </c>
      <c r="CV92" s="618">
        <f>IF(CV90=0,0,CV91/CV90)*100</f>
        <v>0</v>
      </c>
      <c r="CW92" s="712"/>
      <c r="CX92" s="618">
        <f>IF(CX90=0,0,CX91/CX90)*100</f>
        <v>0</v>
      </c>
      <c r="CY92" s="618">
        <f>IF(CY90=0,0,CY91/CY90)*100</f>
        <v>0</v>
      </c>
      <c r="CZ92" s="712"/>
      <c r="DA92" s="618">
        <f>IF(DA90=0,0,DA91/DA90)*100</f>
        <v>0</v>
      </c>
      <c r="DB92" s="618">
        <f>IF(DB90=0,0,DB91/DB90)*100</f>
        <v>0</v>
      </c>
      <c r="DC92" s="712"/>
      <c r="DD92" s="618">
        <f>IF(DD90=0,0,DD91/DD90)*100</f>
        <v>0</v>
      </c>
      <c r="DE92" s="618">
        <f>IF(DE90=0,0,DE91/DE90)*100</f>
        <v>0</v>
      </c>
      <c r="DF92" s="712"/>
      <c r="DG92" s="618">
        <f>IF(DG90=0,0,DG91/DG90)*100</f>
        <v>0</v>
      </c>
      <c r="DH92" s="618">
        <f>IF(DH90=0,0,DH91/DH90)*100</f>
        <v>0</v>
      </c>
      <c r="DI92" s="712"/>
      <c r="DJ92" s="618">
        <f>IF(DJ90=0,0,DJ91/DJ90)*100</f>
        <v>0</v>
      </c>
      <c r="DK92" s="618">
        <f>IF(DK90=0,0,DK91/DK90)*100</f>
        <v>0</v>
      </c>
      <c r="DL92" s="712"/>
      <c r="DM92" s="618">
        <f>IF(DM90=0,0,DM91/DM90)*100</f>
        <v>0</v>
      </c>
      <c r="DN92" s="618">
        <f>IF(DN90=0,0,DN91/DN90)*100</f>
        <v>0</v>
      </c>
      <c r="DO92" s="712"/>
      <c r="DP92" s="618">
        <f>IF(DP90=0,0,DP91/DP90)*100</f>
        <v>0</v>
      </c>
      <c r="DQ92" s="618">
        <f>IF(DQ90=0,0,DQ91/DQ90)*100</f>
        <v>0</v>
      </c>
      <c r="DR92" s="712"/>
      <c r="DS92" s="618">
        <f>IF(DS90=0,0,DS91/DS90)*100</f>
        <v>0</v>
      </c>
      <c r="DT92" s="618">
        <f>IF(DT90=0,0,DT91/DT90)*100</f>
        <v>0</v>
      </c>
      <c r="DU92" s="712"/>
      <c r="DV92" s="618">
        <f>IF(DV90=0,0,DV91/DV90)*100</f>
        <v>0</v>
      </c>
      <c r="DW92" s="618">
        <f>IF(DW90=0,0,DW91/DW90)*100</f>
        <v>0</v>
      </c>
      <c r="DX92" s="712"/>
      <c r="DY92" s="618">
        <f>IF(DY90=0,0,DY91/DY90)*100</f>
        <v>0</v>
      </c>
      <c r="DZ92" s="618">
        <f>IF(DZ90=0,0,DZ91/DZ90)*100</f>
        <v>0</v>
      </c>
      <c r="EA92" s="712"/>
      <c r="EB92" s="618">
        <f>IF(EB90=0,0,EB91/EB90)*100</f>
        <v>0</v>
      </c>
      <c r="EC92" s="618">
        <f>IF(EC90=0,0,EC91/EC90)*100</f>
        <v>0</v>
      </c>
      <c r="ED92" s="712"/>
      <c r="EE92" s="618">
        <f>IF(EE90=0,0,EE91/EE90)*100</f>
        <v>0</v>
      </c>
      <c r="EF92" s="618">
        <f>IF(EF90=0,0,EF91/EF90)*100</f>
        <v>0</v>
      </c>
      <c r="EG92" s="712"/>
      <c r="EH92" s="618">
        <f>IF(EH90=0,0,EH91/EH90)*100</f>
        <v>0</v>
      </c>
      <c r="EI92" s="618">
        <f>IF(EI90=0,0,EI91/EI90)*100</f>
        <v>0</v>
      </c>
      <c r="EJ92" s="712"/>
      <c r="EK92" s="618">
        <f>IF(EK90=0,0,EK91/EK90)*100</f>
        <v>0</v>
      </c>
      <c r="EL92" s="618">
        <f>IF(EL90=0,0,EL91/EL90)*100</f>
        <v>0</v>
      </c>
      <c r="EM92" s="712"/>
      <c r="EN92" s="618">
        <f>IF(EN90=0,0,EN91/EN90)*100</f>
        <v>0</v>
      </c>
      <c r="EO92" s="618">
        <f>IF(EO90=0,0,EO91/EO90)*100</f>
        <v>0</v>
      </c>
      <c r="EP92" s="712"/>
      <c r="EQ92" s="618">
        <f>IF(EQ90=0,0,EQ91/EQ90)*100</f>
        <v>0</v>
      </c>
      <c r="ER92" s="618">
        <f>IF(ER90=0,0,ER91/ER90)*100</f>
        <v>0</v>
      </c>
      <c r="ES92" s="712"/>
      <c r="ET92" s="618">
        <f>IF(ET90=0,0,ET91/ET90)*100</f>
        <v>0</v>
      </c>
      <c r="EU92" s="618">
        <f>IF(EU90=0,0,EU91/EU90)*100</f>
        <v>0</v>
      </c>
      <c r="EV92" s="712"/>
      <c r="EW92" s="618">
        <f>IF(EW90=0,0,EW91/EW90)*100</f>
        <v>0</v>
      </c>
      <c r="EX92" s="618">
        <f>IF(EX90=0,0,EX91/EX90)*100</f>
        <v>0</v>
      </c>
      <c r="EY92" s="712"/>
      <c r="EZ92" s="618">
        <f>IF(EZ90=0,0,EZ91/EZ90)*100</f>
        <v>0</v>
      </c>
      <c r="FA92" s="618">
        <f>IF(FA90=0,0,FA91/FA90)*100</f>
        <v>0</v>
      </c>
      <c r="FB92" s="712"/>
      <c r="FC92" s="618">
        <f>IF(FC90=0,0,FC91/FC90)*100</f>
        <v>0</v>
      </c>
      <c r="FD92" s="618">
        <f>IF(FD90=0,0,FD91/FD90)*100</f>
        <v>0</v>
      </c>
      <c r="FE92" s="712"/>
      <c r="FF92" s="618">
        <f>IF(FF90=0,0,FF91/FF90)*100</f>
        <v>0</v>
      </c>
      <c r="FG92" s="618">
        <f>IF(FG90=0,0,FG91/FG90)*100</f>
        <v>0</v>
      </c>
      <c r="FH92" s="712"/>
      <c r="FI92" s="618">
        <f>IF(FI90=0,0,FI91/FI90)*100</f>
        <v>0</v>
      </c>
      <c r="FJ92" s="618">
        <f>IF(FJ90=0,0,FJ91/FJ90)*100</f>
        <v>0</v>
      </c>
      <c r="FK92" s="712"/>
      <c r="FL92" s="618">
        <f>IF(FL90=0,0,FL91/FL90)*100</f>
        <v>0</v>
      </c>
      <c r="FM92" s="618">
        <f>IF(FM90=0,0,FM91/FM90)*100</f>
        <v>0</v>
      </c>
      <c r="FN92" s="712"/>
      <c r="FO92" s="618">
        <f>IF(FO90=0,0,FO91/FO90)*100</f>
        <v>0</v>
      </c>
      <c r="FP92" s="618">
        <f>IF(FP90=0,0,FP91/FP90)*100</f>
        <v>0</v>
      </c>
      <c r="FQ92" s="712"/>
      <c r="FR92" s="618">
        <f>IF(FR90=0,0,FR91/FR90)*100</f>
        <v>0</v>
      </c>
      <c r="FS92" s="618">
        <f>IF(FS90=0,0,FS91/FS90)*100</f>
        <v>0</v>
      </c>
      <c r="FT92" s="712"/>
      <c r="FU92" s="618">
        <f>IF(FU90=0,0,FU91/FU90)*100</f>
        <v>0</v>
      </c>
      <c r="FV92" s="618">
        <f>IF(FV90=0,0,FV91/FV90)*100</f>
        <v>0</v>
      </c>
      <c r="FW92" s="712"/>
      <c r="FX92" s="203"/>
      <c r="FZ92" s="689" t="s">
        <v>1655</v>
      </c>
    </row>
    <row r="93" spans="1:186" ht="24.95" customHeight="1">
      <c r="A93" s="59"/>
      <c r="B93" s="611" t="b" cm="1">
        <f t="array" ref="B93">B92</f>
        <v>1</v>
      </c>
      <c r="C93" s="59"/>
      <c r="D93" s="59"/>
      <c r="E93" s="460">
        <v>15</v>
      </c>
      <c r="F93" s="3" t="str" cm="1">
        <f t="array" aca="1" ref="F93" ca="1">OFFSET(E93,-1,1)</f>
        <v>1</v>
      </c>
      <c r="G93" s="25" t="s">
        <v>1656</v>
      </c>
      <c r="H93" s="59" t="s">
        <v>514</v>
      </c>
      <c r="I93" s="59" t="s">
        <v>1653</v>
      </c>
      <c r="J93" s="59"/>
      <c r="K93" s="59"/>
      <c r="L93" s="59"/>
      <c r="M93" s="59"/>
      <c r="N93" s="59"/>
      <c r="O93" s="59"/>
      <c r="P93" s="59"/>
      <c r="Q93" s="59"/>
      <c r="R93" s="59"/>
      <c r="S93" s="59"/>
      <c r="T93" s="351" t="b" cm="1">
        <f t="array" ref="T93">T92</f>
        <v>1</v>
      </c>
      <c r="U93" s="59"/>
      <c r="V93" s="59"/>
      <c r="W93" s="59"/>
      <c r="X93" s="1046"/>
      <c r="Y93" s="59"/>
      <c r="Z93" s="1007"/>
      <c r="AA93" s="59"/>
      <c r="AB93" s="54" t="s">
        <v>1657</v>
      </c>
      <c r="AC93" s="12" t="s">
        <v>585</v>
      </c>
      <c r="AD93" s="190">
        <f ca="1">IF(AND(method_reg="Метод индексации",god&lt;&gt;first_year),SUMIFS(INDEX('Калькуляция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(МИ)'!$AJ$25:$BC$315,,MATCH(AD$8,'Калькуляция (МИ)'!$AJ$8:$BC$8,0)),'Калькуляция (МИ)'!$F$25:$F$315,$F93,'Калькуляция (МИ)'!$G$25:$G$315,$G93))))</f>
        <v>4995.2669999999998</v>
      </c>
      <c r="AE93" s="190">
        <f ca="1">IF(AND(method_reg="Метод индексации",god&lt;&gt;first_year),SUMIFS(INDEX('Калькуляция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(МИ)'!$AJ$25:$BC$315,,MATCH(AE$8,'Калькуляция (МИ)'!$AJ$8:$BC$8,0)),'Калькуляция (МИ)'!$F$25:$F$315,$F93,'Калькуляция (МИ)'!$G$25:$G$315,$G93))))</f>
        <v>4995.26667</v>
      </c>
      <c r="AF93" s="713">
        <f ca="1">IF(AD93=0,0,(AE93-AD93)/AD93*100)</f>
        <v>-6.6062534765198969E-6</v>
      </c>
      <c r="AG93" s="190">
        <f ca="1">IF(AND(method_reg="Метод индексации",god&lt;&gt;first_year),SUMIFS(INDEX('Калькуляция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(МИ)'!$AJ$25:$BC$315,,MATCH(AG$8,'Калькуляция (МИ)'!$AJ$8:$BC$8,0)),'Калькуляция (МИ)'!$F$25:$F$315,$F93,'Калькуляция (МИ)'!$G$25:$G$315,$G93))))</f>
        <v>4995.2669999999998</v>
      </c>
      <c r="AH93" s="190">
        <f ca="1">IF(AND(method_reg="Метод индексации",god&lt;&gt;first_year),SUMIFS(INDEX('Калькуляция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(МИ)'!$AJ$25:$BC$315,,MATCH(AH$8,'Калькуляция (МИ)'!$AJ$8:$BC$8,0)),'Калькуляция (МИ)'!$F$25:$F$315,$F93,'Калькуляция (МИ)'!$G$25:$G$315,$G93))))</f>
        <v>4995.26667</v>
      </c>
      <c r="AI93" s="713">
        <f ca="1">IF(AG93=0,0,(AH93-AG93)/AG93*100)</f>
        <v>-6.6062534765198969E-6</v>
      </c>
      <c r="AJ93" s="190">
        <f ca="1">IF(AND(method_reg="Метод индексации",god&lt;&gt;first_year),SUMIFS(INDEX('Калькуляция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(МИ)'!$AJ$25:$BC$315,,MATCH(AJ$8,'Калькуляция (МИ)'!$AJ$8:$BC$8,0)),'Калькуляция (МИ)'!$F$25:$F$315,$F93,'Калькуляция (МИ)'!$G$25:$G$315,$G93))))</f>
        <v>4995.2669999999998</v>
      </c>
      <c r="AK93" s="190">
        <f ca="1">IF(AND(method_reg="Метод индексации",god&lt;&gt;first_year),SUMIFS(INDEX('Калькуляция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(МИ)'!$AJ$25:$BC$315,,MATCH(AK$8,'Калькуляция (МИ)'!$AJ$8:$BC$8,0)),'Калькуляция (МИ)'!$F$25:$F$315,$F93,'Калькуляция (МИ)'!$G$25:$G$315,$G93))))</f>
        <v>4995.26667</v>
      </c>
      <c r="AL93" s="713">
        <f ca="1">IF(AJ93=0,0,(AK93-AJ93)/AJ93*100)</f>
        <v>-6.6062534765198969E-6</v>
      </c>
      <c r="AM93" s="190">
        <f ca="1">IF(AND(method_reg="Метод индексации",god&lt;&gt;first_year),SUMIFS(INDEX('Калькуляция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(МИ)'!$AJ$25:$BC$315,,MATCH(AM$8,'Калькуляция (МИ)'!$AJ$8:$BC$8,0)),'Калькуляция (МИ)'!$F$25:$F$315,$F93,'Калькуляция (МИ)'!$G$25:$G$315,$G93))))</f>
        <v>0</v>
      </c>
      <c r="AN93" s="190">
        <f ca="1">IF(AND(method_reg="Метод индексации",god&lt;&gt;first_year),SUMIFS(INDEX('Калькуляция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(МИ)'!$AJ$25:$BC$315,,MATCH(AN$8,'Калькуляция (МИ)'!$AJ$8:$BC$8,0)),'Калькуляция (МИ)'!$F$25:$F$315,$F93,'Калькуляция (МИ)'!$G$25:$G$315,$G93))))</f>
        <v>0</v>
      </c>
      <c r="AO93" s="713">
        <f ca="1">IF(AM93=0,0,(AN93-AM93)/AM93*100)</f>
        <v>0</v>
      </c>
      <c r="AP93" s="190">
        <f ca="1">IF(AND(method_reg="Метод индексации",god&lt;&gt;first_year),SUMIFS(INDEX('Калькуляция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(МИ)'!$AJ$25:$BC$315,,MATCH(AP$8,'Калькуляция (МИ)'!$AJ$8:$BC$8,0)),'Калькуляция (МИ)'!$F$25:$F$315,$F93,'Калькуляция (МИ)'!$G$25:$G$315,$G93))))</f>
        <v>0</v>
      </c>
      <c r="AQ93" s="190">
        <f ca="1">IF(AND(method_reg="Метод индексации",god&lt;&gt;first_year),SUMIFS(INDEX('Калькуляция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(МИ)'!$AJ$25:$BC$315,,MATCH(AQ$8,'Калькуляция (МИ)'!$AJ$8:$BC$8,0)),'Калькуляция (МИ)'!$F$25:$F$315,$F93,'Калькуляция (МИ)'!$G$25:$G$315,$G93))))</f>
        <v>0</v>
      </c>
      <c r="AR93" s="713">
        <f ca="1">IF(AP93=0,0,(AQ93-AP93)/AP93*100)</f>
        <v>0</v>
      </c>
      <c r="AS93" s="190">
        <f ca="1">IF(AND(method_reg="Метод индексации",god&lt;&gt;first_year),SUMIFS(INDEX('Калькуляция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(МИ)'!$AJ$25:$BC$315,,MATCH(AS$8,'Калькуляция (МИ)'!$AJ$8:$BC$8,0)),'Калькуляция (МИ)'!$F$25:$F$315,$F93,'Калькуляция (МИ)'!$G$25:$G$315,$G93))))</f>
        <v>0</v>
      </c>
      <c r="AT93" s="190">
        <f ca="1">IF(AND(method_reg="Метод индексации",god&lt;&gt;first_year),SUMIFS(INDEX('Калькуляция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(МИ)'!$AJ$25:$BC$315,,MATCH(AT$8,'Калькуляция (МИ)'!$AJ$8:$BC$8,0)),'Калькуляция (МИ)'!$F$25:$F$315,$F93,'Калькуляция (МИ)'!$G$25:$G$315,$G93))))</f>
        <v>0</v>
      </c>
      <c r="AU93" s="713">
        <f ca="1">IF(AS93=0,0,(AT93-AS93)/AS93*100)</f>
        <v>0</v>
      </c>
      <c r="AV93" s="190">
        <f ca="1">IF(AND(method_reg="Метод индексации",god&lt;&gt;first_year),SUMIFS(INDEX('Калькуляция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(МИ)'!$AJ$25:$BC$315,,MATCH(AV$8,'Калькуляция (МИ)'!$AJ$8:$BC$8,0)),'Калькуляция (МИ)'!$F$25:$F$315,$F93,'Калькуляция (МИ)'!$G$25:$G$315,$G93))))</f>
        <v>0</v>
      </c>
      <c r="AW93" s="190">
        <f ca="1">IF(AND(method_reg="Метод индексации",god&lt;&gt;first_year),SUMIFS(INDEX('Калькуляция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(МИ)'!$AJ$25:$BC$315,,MATCH(AW$8,'Калькуляция (МИ)'!$AJ$8:$BC$8,0)),'Калькуляция (МИ)'!$F$25:$F$315,$F93,'Калькуляция (МИ)'!$G$25:$G$315,$G93))))</f>
        <v>0</v>
      </c>
      <c r="AX93" s="713">
        <f ca="1">IF(AV93=0,0,(AW93-AV93)/AV93*100)</f>
        <v>0</v>
      </c>
      <c r="AY93" s="190">
        <f ca="1">IF(AND(method_reg="Метод индексации",god&lt;&gt;first_year),SUMIFS(INDEX('Калькуляция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(МИ)'!$AJ$25:$BC$315,,MATCH(AY$8,'Калькуляция (МИ)'!$AJ$8:$BC$8,0)),'Калькуляция (МИ)'!$F$25:$F$315,$F93,'Калькуляция (МИ)'!$G$25:$G$315,$G93))))</f>
        <v>0</v>
      </c>
      <c r="AZ93" s="190">
        <f ca="1">IF(AND(method_reg="Метод индексации",god&lt;&gt;first_year),SUMIFS(INDEX('Калькуляция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(МИ)'!$AJ$25:$BC$315,,MATCH(AZ$8,'Калькуляция (МИ)'!$AJ$8:$BC$8,0)),'Калькуляция (МИ)'!$F$25:$F$315,$F93,'Калькуляция (МИ)'!$G$25:$G$315,$G93))))</f>
        <v>0</v>
      </c>
      <c r="BA93" s="713">
        <f ca="1">IF(AY93=0,0,(AZ93-AY93)/AY93*100)</f>
        <v>0</v>
      </c>
      <c r="BB93" s="190">
        <f ca="1">IF(AND(method_reg="Метод индексации",god&lt;&gt;first_year),SUMIFS(INDEX('Калькуляция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(МИ)'!$AJ$25:$BC$315,,MATCH(BB$8,'Калькуляция (МИ)'!$AJ$8:$BC$8,0)),'Калькуляция (МИ)'!$F$25:$F$315,$F93,'Калькуляция (МИ)'!$G$25:$G$315,$G93))))</f>
        <v>0</v>
      </c>
      <c r="BC93" s="190">
        <f ca="1">IF(AND(method_reg="Метод индексации",god&lt;&gt;first_year),SUMIFS(INDEX('Калькуляция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(МИ)'!$AJ$25:$BC$315,,MATCH(BC$8,'Калькуляция (МИ)'!$AJ$8:$BC$8,0)),'Калькуляция (МИ)'!$F$25:$F$315,$F93,'Калькуляция (МИ)'!$G$25:$G$315,$G93))))</f>
        <v>0</v>
      </c>
      <c r="BD93" s="713">
        <f ca="1">IF(BB93=0,0,(BC93-BB93)/BB93*100)</f>
        <v>0</v>
      </c>
      <c r="BE93" s="190">
        <f ca="1">IF(AND(method_reg="Метод индексации",god&lt;&gt;first_year),SUMIFS(INDEX('Калькуляция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(МИ)'!$AJ$25:$BC$315,,MATCH(BE$8,'Калькуляция (МИ)'!$AJ$8:$BC$8,0)),'Калькуляция (МИ)'!$F$25:$F$315,$F93,'Калькуляция (МИ)'!$G$25:$G$315,$G93))))</f>
        <v>0</v>
      </c>
      <c r="BF93" s="190">
        <f ca="1">IF(AND(method_reg="Метод индексации",god&lt;&gt;first_year),SUMIFS(INDEX('Калькуляция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(МИ)'!$AJ$25:$BC$315,,MATCH(BF$8,'Калькуляция (МИ)'!$AJ$8:$BC$8,0)),'Калькуляция (МИ)'!$F$25:$F$315,$F93,'Калькуляция (МИ)'!$G$25:$G$315,$G93))))</f>
        <v>0</v>
      </c>
      <c r="BG93" s="713">
        <f ca="1">IF(BE93=0,0,(BF93-BE93)/BE93*100)</f>
        <v>0</v>
      </c>
      <c r="BH93" s="190"/>
      <c r="BI93" s="190"/>
      <c r="BJ93" s="713">
        <f>IF(BH93=0,0,(BI93-BH93)/BH93*100)</f>
        <v>0</v>
      </c>
      <c r="BK93" s="190"/>
      <c r="BL93" s="190"/>
      <c r="BM93" s="713">
        <f>IF(BK93=0,0,(BL93-BK93)/BK93*100)</f>
        <v>0</v>
      </c>
      <c r="BN93" s="190"/>
      <c r="BO93" s="190"/>
      <c r="BP93" s="713">
        <f>IF(BN93=0,0,(BO93-BN93)/BN93*100)</f>
        <v>0</v>
      </c>
      <c r="BQ93" s="190"/>
      <c r="BR93" s="190"/>
      <c r="BS93" s="713">
        <f>IF(BQ93=0,0,(BR93-BQ93)/BQ93*100)</f>
        <v>0</v>
      </c>
      <c r="BT93" s="190"/>
      <c r="BU93" s="190"/>
      <c r="BV93" s="713">
        <f>IF(BT93=0,0,(BU93-BT93)/BT93*100)</f>
        <v>0</v>
      </c>
      <c r="BW93" s="190"/>
      <c r="BX93" s="190"/>
      <c r="BY93" s="713">
        <f>IF(BW93=0,0,(BX93-BW93)/BW93*100)</f>
        <v>0</v>
      </c>
      <c r="BZ93" s="190"/>
      <c r="CA93" s="190"/>
      <c r="CB93" s="713">
        <f>IF(BZ93=0,0,(CA93-BZ93)/BZ93*100)</f>
        <v>0</v>
      </c>
      <c r="CC93" s="190"/>
      <c r="CD93" s="190"/>
      <c r="CE93" s="713">
        <f>IF(CC93=0,0,(CD93-CC93)/CC93*100)</f>
        <v>0</v>
      </c>
      <c r="CF93" s="190"/>
      <c r="CG93" s="190"/>
      <c r="CH93" s="713">
        <f>IF(CF93=0,0,(CG93-CF93)/CF93*100)</f>
        <v>0</v>
      </c>
      <c r="CI93" s="190"/>
      <c r="CJ93" s="190"/>
      <c r="CK93" s="713">
        <f>IF(CI93=0,0,(CJ93-CI93)/CI93*100)</f>
        <v>0</v>
      </c>
      <c r="CL93" s="190"/>
      <c r="CM93" s="190"/>
      <c r="CN93" s="713">
        <f>IF(CL93=0,0,(CM93-CL93)/CL93*100)</f>
        <v>0</v>
      </c>
      <c r="CO93" s="190"/>
      <c r="CP93" s="190"/>
      <c r="CQ93" s="713">
        <f>IF(CO93=0,0,(CP93-CO93)/CO93*100)</f>
        <v>0</v>
      </c>
      <c r="CR93" s="190"/>
      <c r="CS93" s="190"/>
      <c r="CT93" s="713">
        <f>IF(CR93=0,0,(CS93-CR93)/CR93*100)</f>
        <v>0</v>
      </c>
      <c r="CU93" s="190"/>
      <c r="CV93" s="190"/>
      <c r="CW93" s="713">
        <f>IF(CU93=0,0,(CV93-CU93)/CU93*100)</f>
        <v>0</v>
      </c>
      <c r="CX93" s="190"/>
      <c r="CY93" s="190"/>
      <c r="CZ93" s="713">
        <f>IF(CX93=0,0,(CY93-CX93)/CX93*100)</f>
        <v>0</v>
      </c>
      <c r="DA93" s="190"/>
      <c r="DB93" s="190"/>
      <c r="DC93" s="713">
        <f>IF(DA93=0,0,(DB93-DA93)/DA93*100)</f>
        <v>0</v>
      </c>
      <c r="DD93" s="190"/>
      <c r="DE93" s="190"/>
      <c r="DF93" s="713">
        <f>IF(DD93=0,0,(DE93-DD93)/DD93*100)</f>
        <v>0</v>
      </c>
      <c r="DG93" s="190"/>
      <c r="DH93" s="190"/>
      <c r="DI93" s="713">
        <f>IF(DG93=0,0,(DH93-DG93)/DG93*100)</f>
        <v>0</v>
      </c>
      <c r="DJ93" s="190"/>
      <c r="DK93" s="190"/>
      <c r="DL93" s="713">
        <f>IF(DJ93=0,0,(DK93-DJ93)/DJ93*100)</f>
        <v>0</v>
      </c>
      <c r="DM93" s="190"/>
      <c r="DN93" s="190"/>
      <c r="DO93" s="713">
        <f>IF(DM93=0,0,(DN93-DM93)/DM93*100)</f>
        <v>0</v>
      </c>
      <c r="DP93" s="190"/>
      <c r="DQ93" s="190"/>
      <c r="DR93" s="713">
        <f>IF(DP93=0,0,(DQ93-DP93)/DP93*100)</f>
        <v>0</v>
      </c>
      <c r="DS93" s="190"/>
      <c r="DT93" s="190"/>
      <c r="DU93" s="713">
        <f>IF(DS93=0,0,(DT93-DS93)/DS93*100)</f>
        <v>0</v>
      </c>
      <c r="DV93" s="190"/>
      <c r="DW93" s="190"/>
      <c r="DX93" s="713">
        <f>IF(DV93=0,0,(DW93-DV93)/DV93*100)</f>
        <v>0</v>
      </c>
      <c r="DY93" s="190"/>
      <c r="DZ93" s="190"/>
      <c r="EA93" s="713">
        <f>IF(DY93=0,0,(DZ93-DY93)/DY93*100)</f>
        <v>0</v>
      </c>
      <c r="EB93" s="190"/>
      <c r="EC93" s="190"/>
      <c r="ED93" s="713">
        <f>IF(EB93=0,0,(EC93-EB93)/EB93*100)</f>
        <v>0</v>
      </c>
      <c r="EE93" s="190"/>
      <c r="EF93" s="190"/>
      <c r="EG93" s="713">
        <f>IF(EE93=0,0,(EF93-EE93)/EE93*100)</f>
        <v>0</v>
      </c>
      <c r="EH93" s="190"/>
      <c r="EI93" s="190"/>
      <c r="EJ93" s="713">
        <f>IF(EH93=0,0,(EI93-EH93)/EH93*100)</f>
        <v>0</v>
      </c>
      <c r="EK93" s="190"/>
      <c r="EL93" s="190"/>
      <c r="EM93" s="713">
        <f>IF(EK93=0,0,(EL93-EK93)/EK93*100)</f>
        <v>0</v>
      </c>
      <c r="EN93" s="190"/>
      <c r="EO93" s="190"/>
      <c r="EP93" s="713">
        <f>IF(EN93=0,0,(EO93-EN93)/EN93*100)</f>
        <v>0</v>
      </c>
      <c r="EQ93" s="190"/>
      <c r="ER93" s="190"/>
      <c r="ES93" s="713">
        <f>IF(EQ93=0,0,(ER93-EQ93)/EQ93*100)</f>
        <v>0</v>
      </c>
      <c r="ET93" s="190"/>
      <c r="EU93" s="190"/>
      <c r="EV93" s="713">
        <f>IF(ET93=0,0,(EU93-ET93)/ET93*100)</f>
        <v>0</v>
      </c>
      <c r="EW93" s="190"/>
      <c r="EX93" s="190"/>
      <c r="EY93" s="713">
        <f>IF(EW93=0,0,(EX93-EW93)/EW93*100)</f>
        <v>0</v>
      </c>
      <c r="EZ93" s="190"/>
      <c r="FA93" s="190"/>
      <c r="FB93" s="713">
        <f>IF(EZ93=0,0,(FA93-EZ93)/EZ93*100)</f>
        <v>0</v>
      </c>
      <c r="FC93" s="190"/>
      <c r="FD93" s="190"/>
      <c r="FE93" s="713">
        <f>IF(FC93=0,0,(FD93-FC93)/FC93*100)</f>
        <v>0</v>
      </c>
      <c r="FF93" s="190"/>
      <c r="FG93" s="190"/>
      <c r="FH93" s="713">
        <f>IF(FF93=0,0,(FG93-FF93)/FF93*100)</f>
        <v>0</v>
      </c>
      <c r="FI93" s="190"/>
      <c r="FJ93" s="190"/>
      <c r="FK93" s="713">
        <f>IF(FI93=0,0,(FJ93-FI93)/FI93*100)</f>
        <v>0</v>
      </c>
      <c r="FL93" s="190"/>
      <c r="FM93" s="190"/>
      <c r="FN93" s="713">
        <f>IF(FL93=0,0,(FM93-FL93)/FL93*100)</f>
        <v>0</v>
      </c>
      <c r="FO93" s="190"/>
      <c r="FP93" s="190"/>
      <c r="FQ93" s="713">
        <f>IF(FO93=0,0,(FP93-FO93)/FO93*100)</f>
        <v>0</v>
      </c>
      <c r="FR93" s="190"/>
      <c r="FS93" s="190"/>
      <c r="FT93" s="713">
        <f>IF(FR93=0,0,(FS93-FR93)/FR93*100)</f>
        <v>0</v>
      </c>
      <c r="FU93" s="190"/>
      <c r="FV93" s="190"/>
      <c r="FW93" s="713">
        <f>IF(FU93=0,0,(FV93-FU93)/FU93*100)</f>
        <v>0</v>
      </c>
      <c r="FX93" s="203"/>
      <c r="FZ93" s="689" t="s">
        <v>1658</v>
      </c>
    </row>
    <row r="94" spans="1:186" s="900" customFormat="1" ht="35.450000000000003" customHeight="1">
      <c r="A94" s="592"/>
      <c r="B94" s="611" t="b" cm="1">
        <f t="array" ref="B94">B93</f>
        <v>1</v>
      </c>
      <c r="C94" s="592"/>
      <c r="D94" s="592"/>
      <c r="E94" s="593">
        <v>24.5</v>
      </c>
      <c r="F94" s="3" t="str" cm="1">
        <f t="array" aca="1" ref="F94" ca="1">OFFSET(E94,-1,1)</f>
        <v>1</v>
      </c>
      <c r="G94" s="25" t="s">
        <v>1659</v>
      </c>
      <c r="H94" s="59" t="s">
        <v>507</v>
      </c>
      <c r="I94" s="59" t="s">
        <v>1660</v>
      </c>
      <c r="J94" s="592"/>
      <c r="K94" s="592"/>
      <c r="L94" s="59"/>
      <c r="M94" s="592"/>
      <c r="N94" s="592"/>
      <c r="O94" s="592"/>
      <c r="P94" s="592"/>
      <c r="Q94" s="592"/>
      <c r="R94" s="59"/>
      <c r="S94" s="59"/>
      <c r="T94" s="351" t="b" cm="1">
        <f t="array" ref="T94">T93</f>
        <v>1</v>
      </c>
      <c r="U94" s="592"/>
      <c r="V94" s="592"/>
      <c r="W94" s="592"/>
      <c r="X94" s="1046"/>
      <c r="Y94" s="592"/>
      <c r="Z94" s="1007"/>
      <c r="AA94" s="592"/>
      <c r="AB94" s="204" t="s">
        <v>1661</v>
      </c>
      <c r="AC94" s="205" t="s">
        <v>1647</v>
      </c>
      <c r="AD94" s="594">
        <f ca="1">IF(AND(method_reg="Метод индексации",god&lt;&gt;first_year),SUMIFS(INDEX('Калькуляция (МИ корр)'!$AJ$25:$BC$315,,MATCH(AD$8,'Калькуляция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(МИ)'!$AJ$25:$BC$315,,MATCH(AD$8,'Калькуляция (МИ)'!$AJ$8:$BC$8,0)),'Калькуляция (МИ)'!$F$25:$F$315,$F94,'Калькуляция (МИ)'!$G$25:$G$315,$G94))))</f>
        <v>75.024000000000001</v>
      </c>
      <c r="AE94" s="594">
        <f ca="1">IF(AND(method_reg="Метод индексации",god&lt;&gt;first_year),SUMIFS(INDEX('Калькуляция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(МИ)'!$AJ$25:$BC$315,,MATCH(AE$8,'Калькуляция (МИ)'!$AJ$8:$BC$8,0)),'Калькуляция (МИ)'!$F$25:$F$315,$F94,'Калькуляция (МИ)'!$G$25:$G$315,$G94))))</f>
        <v>76.2744</v>
      </c>
      <c r="AF94" s="207">
        <f ca="1">IF(AD94=0,0,(AE94-AD94)/AD94*100)</f>
        <v>1.6666666666666652</v>
      </c>
      <c r="AG94" s="594">
        <f ca="1">IF(AND(method_reg="Метод индексации",god&lt;&gt;first_year),SUMIFS(INDEX('Калькуляция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(МИ)'!$AJ$25:$BC$315,,MATCH(AG$8,'Калькуляция (МИ)'!$AJ$8:$BC$8,0)),'Калькуляция (МИ)'!$F$25:$F$315,$F94,'Калькуляция (МИ)'!$G$25:$G$315,$G94))))</f>
        <v>76.239999999999995</v>
      </c>
      <c r="AH94" s="594">
        <f ca="1">IF(AND(method_reg="Метод индексации",god&lt;&gt;first_year),SUMIFS(INDEX('Калькуляция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(МИ)'!$AJ$25:$BC$315,,MATCH(AH$8,'Калькуляция (МИ)'!$AJ$8:$BC$8,0)),'Калькуляция (МИ)'!$F$25:$F$315,$F94,'Калькуляция (МИ)'!$G$25:$G$315,$G94))))</f>
        <v>83.899397845599069</v>
      </c>
      <c r="AI94" s="207">
        <f ca="1">IF(AG94=0,0,(AH94-AG94)/AG94*100)</f>
        <v>10.046429493178218</v>
      </c>
      <c r="AJ94" s="594">
        <f ca="1">IF(AND(method_reg="Метод индексации",god&lt;&gt;first_year),SUMIFS(INDEX('Калькуляция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(МИ)'!$AJ$25:$BC$315,,MATCH(AJ$8,'Калькуляция (МИ)'!$AJ$8:$BC$8,0)),'Калькуляция (МИ)'!$F$25:$F$315,$F94,'Калькуляция (МИ)'!$G$25:$G$315,$G94))))</f>
        <v>76.25</v>
      </c>
      <c r="AK94" s="594">
        <f ca="1">IF(AND(method_reg="Метод индексации",god&lt;&gt;first_year),SUMIFS(INDEX('Калькуляция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(МИ)'!$AJ$25:$BC$315,,MATCH(AK$8,'Калькуляция (МИ)'!$AJ$8:$BC$8,0)),'Калькуляция (МИ)'!$F$25:$F$315,$F94,'Калькуляция (МИ)'!$G$25:$G$315,$G94))))</f>
        <v>89.938403677630092</v>
      </c>
      <c r="AL94" s="207">
        <f ca="1">IF(AJ94=0,0,(AK94-AJ94)/AJ94*100)</f>
        <v>17.952004823121431</v>
      </c>
      <c r="AM94" s="594">
        <f ca="1">IF(AND(method_reg="Метод индексации",god&lt;&gt;first_year),SUMIFS(INDEX('Калькуляция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(МИ)'!$AJ$25:$BC$315,,MATCH(AM$8,'Калькуляция (МИ)'!$AJ$8:$BC$8,0)),'Калькуляция (МИ)'!$F$25:$F$315,$F94,'Калькуляция (МИ)'!$G$25:$G$315,$G94))))</f>
        <v>0</v>
      </c>
      <c r="AN94" s="594">
        <f ca="1">IF(AND(method_reg="Метод индексации",god&lt;&gt;first_year),SUMIFS(INDEX('Калькуляция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(МИ)'!$AJ$25:$BC$315,,MATCH(AN$8,'Калькуляция (МИ)'!$AJ$8:$BC$8,0)),'Калькуляция (МИ)'!$F$25:$F$315,$F94,'Калькуляция (МИ)'!$G$25:$G$315,$G94))))</f>
        <v>0</v>
      </c>
      <c r="AO94" s="207">
        <f ca="1">IF(AM94=0,0,(AN94-AM94)/AM94*100)</f>
        <v>0</v>
      </c>
      <c r="AP94" s="594">
        <f ca="1">IF(AND(method_reg="Метод индексации",god&lt;&gt;first_year),SUMIFS(INDEX('Калькуляция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(МИ)'!$AJ$25:$BC$315,,MATCH(AP$8,'Калькуляция (МИ)'!$AJ$8:$BC$8,0)),'Калькуляция (МИ)'!$F$25:$F$315,$F94,'Калькуляция (МИ)'!$G$25:$G$315,$G94))))</f>
        <v>0</v>
      </c>
      <c r="AQ94" s="594">
        <f ca="1">IF(AND(method_reg="Метод индексации",god&lt;&gt;first_year),SUMIFS(INDEX('Калькуляция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(МИ)'!$AJ$25:$BC$315,,MATCH(AQ$8,'Калькуляция (МИ)'!$AJ$8:$BC$8,0)),'Калькуляция (МИ)'!$F$25:$F$315,$F94,'Калькуляция (МИ)'!$G$25:$G$315,$G94))))</f>
        <v>0</v>
      </c>
      <c r="AR94" s="207">
        <f ca="1">IF(AP94=0,0,(AQ94-AP94)/AP94*100)</f>
        <v>0</v>
      </c>
      <c r="AS94" s="594">
        <f ca="1">IF(AND(method_reg="Метод индексации",god&lt;&gt;first_year),SUMIFS(INDEX('Калькуляция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(МИ)'!$AJ$25:$BC$315,,MATCH(AS$8,'Калькуляция (МИ)'!$AJ$8:$BC$8,0)),'Калькуляция (МИ)'!$F$25:$F$315,$F94,'Калькуляция (МИ)'!$G$25:$G$315,$G94))))</f>
        <v>0</v>
      </c>
      <c r="AT94" s="594">
        <f ca="1">IF(AND(method_reg="Метод индексации",god&lt;&gt;first_year),SUMIFS(INDEX('Калькуляция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(МИ)'!$AJ$25:$BC$315,,MATCH(AT$8,'Калькуляция (МИ)'!$AJ$8:$BC$8,0)),'Калькуляция (МИ)'!$F$25:$F$315,$F94,'Калькуляция (МИ)'!$G$25:$G$315,$G94))))</f>
        <v>0</v>
      </c>
      <c r="AU94" s="207">
        <f ca="1">IF(AS94=0,0,(AT94-AS94)/AS94*100)</f>
        <v>0</v>
      </c>
      <c r="AV94" s="594">
        <f ca="1">IF(AND(method_reg="Метод индексации",god&lt;&gt;first_year),SUMIFS(INDEX('Калькуляция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(МИ)'!$AJ$25:$BC$315,,MATCH(AV$8,'Калькуляция (МИ)'!$AJ$8:$BC$8,0)),'Калькуляция (МИ)'!$F$25:$F$315,$F94,'Калькуляция (МИ)'!$G$25:$G$315,$G94))))</f>
        <v>0</v>
      </c>
      <c r="AW94" s="594">
        <f ca="1">IF(AND(method_reg="Метод индексации",god&lt;&gt;first_year),SUMIFS(INDEX('Калькуляция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(МИ)'!$AJ$25:$BC$315,,MATCH(AW$8,'Калькуляция (МИ)'!$AJ$8:$BC$8,0)),'Калькуляция (МИ)'!$F$25:$F$315,$F94,'Калькуляция (МИ)'!$G$25:$G$315,$G94))))</f>
        <v>0</v>
      </c>
      <c r="AX94" s="207">
        <f ca="1">IF(AV94=0,0,(AW94-AV94)/AV94*100)</f>
        <v>0</v>
      </c>
      <c r="AY94" s="594">
        <f ca="1">IF(AND(method_reg="Метод индексации",god&lt;&gt;first_year),SUMIFS(INDEX('Калькуляция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(МИ)'!$AJ$25:$BC$315,,MATCH(AY$8,'Калькуляция (МИ)'!$AJ$8:$BC$8,0)),'Калькуляция (МИ)'!$F$25:$F$315,$F94,'Калькуляция (МИ)'!$G$25:$G$315,$G94))))</f>
        <v>0</v>
      </c>
      <c r="AZ94" s="594">
        <f ca="1">IF(AND(method_reg="Метод индексации",god&lt;&gt;first_year),SUMIFS(INDEX('Калькуляция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(МИ)'!$AJ$25:$BC$315,,MATCH(AZ$8,'Калькуляция (МИ)'!$AJ$8:$BC$8,0)),'Калькуляция (МИ)'!$F$25:$F$315,$F94,'Калькуляция (МИ)'!$G$25:$G$315,$G94))))</f>
        <v>0</v>
      </c>
      <c r="BA94" s="207">
        <f ca="1">IF(AY94=0,0,(AZ94-AY94)/AY94*100)</f>
        <v>0</v>
      </c>
      <c r="BB94" s="594">
        <f ca="1">IF(AND(method_reg="Метод индексации",god&lt;&gt;first_year),SUMIFS(INDEX('Калькуляция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(МИ)'!$AJ$25:$BC$315,,MATCH(BB$8,'Калькуляция (МИ)'!$AJ$8:$BC$8,0)),'Калькуляция (МИ)'!$F$25:$F$315,$F94,'Калькуляция (МИ)'!$G$25:$G$315,$G94))))</f>
        <v>0</v>
      </c>
      <c r="BC94" s="594">
        <f ca="1">IF(AND(method_reg="Метод индексации",god&lt;&gt;first_year),SUMIFS(INDEX('Калькуляция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(МИ)'!$AJ$25:$BC$315,,MATCH(BC$8,'Калькуляция (МИ)'!$AJ$8:$BC$8,0)),'Калькуляция (МИ)'!$F$25:$F$315,$F94,'Калькуляция (МИ)'!$G$25:$G$315,$G94))))</f>
        <v>0</v>
      </c>
      <c r="BD94" s="207">
        <f ca="1">IF(BB94=0,0,(BC94-BB94)/BB94*100)</f>
        <v>0</v>
      </c>
      <c r="BE94" s="594">
        <f ca="1">IF(AND(method_reg="Метод индексации",god&lt;&gt;first_year),SUMIFS(INDEX('Калькуляция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(МИ)'!$AJ$25:$BC$315,,MATCH(BE$8,'Калькуляция (МИ)'!$AJ$8:$BC$8,0)),'Калькуляция (МИ)'!$F$25:$F$315,$F94,'Калькуляция (МИ)'!$G$25:$G$315,$G94))))</f>
        <v>0</v>
      </c>
      <c r="BF94" s="594">
        <f ca="1">IF(AND(method_reg="Метод индексации",god&lt;&gt;first_year),SUMIFS(INDEX('Калькуляция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(МИ)'!$AJ$25:$BC$315,,MATCH(BF$8,'Калькуляция (МИ)'!$AJ$8:$BC$8,0)),'Калькуляция (МИ)'!$F$25:$F$315,$F94,'Калькуляция (МИ)'!$G$25:$G$315,$G94))))</f>
        <v>0</v>
      </c>
      <c r="BG94" s="207">
        <f ca="1">IF(BE94=0,0,(BF94-BE94)/BE94*100)</f>
        <v>0</v>
      </c>
      <c r="BH94" s="594"/>
      <c r="BI94" s="594"/>
      <c r="BJ94" s="207">
        <f>IF(BH94=0,0,(BI94-BH94)/BH94*100)</f>
        <v>0</v>
      </c>
      <c r="BK94" s="594"/>
      <c r="BL94" s="594"/>
      <c r="BM94" s="207">
        <f>IF(BK94=0,0,(BL94-BK94)/BK94*100)</f>
        <v>0</v>
      </c>
      <c r="BN94" s="594"/>
      <c r="BO94" s="594"/>
      <c r="BP94" s="207">
        <f>IF(BN94=0,0,(BO94-BN94)/BN94*100)</f>
        <v>0</v>
      </c>
      <c r="BQ94" s="594"/>
      <c r="BR94" s="594"/>
      <c r="BS94" s="207">
        <f>IF(BQ94=0,0,(BR94-BQ94)/BQ94*100)</f>
        <v>0</v>
      </c>
      <c r="BT94" s="594"/>
      <c r="BU94" s="594"/>
      <c r="BV94" s="207">
        <f>IF(BT94=0,0,(BU94-BT94)/BT94*100)</f>
        <v>0</v>
      </c>
      <c r="BW94" s="594"/>
      <c r="BX94" s="594"/>
      <c r="BY94" s="207">
        <f>IF(BW94=0,0,(BX94-BW94)/BW94*100)</f>
        <v>0</v>
      </c>
      <c r="BZ94" s="594"/>
      <c r="CA94" s="594"/>
      <c r="CB94" s="207">
        <f>IF(BZ94=0,0,(CA94-BZ94)/BZ94*100)</f>
        <v>0</v>
      </c>
      <c r="CC94" s="594"/>
      <c r="CD94" s="594"/>
      <c r="CE94" s="207">
        <f>IF(CC94=0,0,(CD94-CC94)/CC94*100)</f>
        <v>0</v>
      </c>
      <c r="CF94" s="594"/>
      <c r="CG94" s="594"/>
      <c r="CH94" s="207">
        <f>IF(CF94=0,0,(CG94-CF94)/CF94*100)</f>
        <v>0</v>
      </c>
      <c r="CI94" s="594"/>
      <c r="CJ94" s="594"/>
      <c r="CK94" s="207">
        <f>IF(CI94=0,0,(CJ94-CI94)/CI94*100)</f>
        <v>0</v>
      </c>
      <c r="CL94" s="594"/>
      <c r="CM94" s="594"/>
      <c r="CN94" s="207">
        <f>IF(CL94=0,0,(CM94-CL94)/CL94*100)</f>
        <v>0</v>
      </c>
      <c r="CO94" s="594"/>
      <c r="CP94" s="594"/>
      <c r="CQ94" s="207">
        <f>IF(CO94=0,0,(CP94-CO94)/CO94*100)</f>
        <v>0</v>
      </c>
      <c r="CR94" s="594"/>
      <c r="CS94" s="594"/>
      <c r="CT94" s="207">
        <f>IF(CR94=0,0,(CS94-CR94)/CR94*100)</f>
        <v>0</v>
      </c>
      <c r="CU94" s="594"/>
      <c r="CV94" s="594"/>
      <c r="CW94" s="207">
        <f>IF(CU94=0,0,(CV94-CU94)/CU94*100)</f>
        <v>0</v>
      </c>
      <c r="CX94" s="594"/>
      <c r="CY94" s="594"/>
      <c r="CZ94" s="207">
        <f>IF(CX94=0,0,(CY94-CX94)/CX94*100)</f>
        <v>0</v>
      </c>
      <c r="DA94" s="594"/>
      <c r="DB94" s="594"/>
      <c r="DC94" s="207">
        <f>IF(DA94=0,0,(DB94-DA94)/DA94*100)</f>
        <v>0</v>
      </c>
      <c r="DD94" s="594"/>
      <c r="DE94" s="594"/>
      <c r="DF94" s="207">
        <f>IF(DD94=0,0,(DE94-DD94)/DD94*100)</f>
        <v>0</v>
      </c>
      <c r="DG94" s="594"/>
      <c r="DH94" s="594"/>
      <c r="DI94" s="207">
        <f>IF(DG94=0,0,(DH94-DG94)/DG94*100)</f>
        <v>0</v>
      </c>
      <c r="DJ94" s="594"/>
      <c r="DK94" s="594"/>
      <c r="DL94" s="207">
        <f>IF(DJ94=0,0,(DK94-DJ94)/DJ94*100)</f>
        <v>0</v>
      </c>
      <c r="DM94" s="594"/>
      <c r="DN94" s="594"/>
      <c r="DO94" s="207">
        <f>IF(DM94=0,0,(DN94-DM94)/DM94*100)</f>
        <v>0</v>
      </c>
      <c r="DP94" s="594"/>
      <c r="DQ94" s="594"/>
      <c r="DR94" s="207">
        <f>IF(DP94=0,0,(DQ94-DP94)/DP94*100)</f>
        <v>0</v>
      </c>
      <c r="DS94" s="594"/>
      <c r="DT94" s="594"/>
      <c r="DU94" s="207">
        <f>IF(DS94=0,0,(DT94-DS94)/DS94*100)</f>
        <v>0</v>
      </c>
      <c r="DV94" s="594"/>
      <c r="DW94" s="594"/>
      <c r="DX94" s="207">
        <f>IF(DV94=0,0,(DW94-DV94)/DV94*100)</f>
        <v>0</v>
      </c>
      <c r="DY94" s="594"/>
      <c r="DZ94" s="594"/>
      <c r="EA94" s="207">
        <f>IF(DY94=0,0,(DZ94-DY94)/DY94*100)</f>
        <v>0</v>
      </c>
      <c r="EB94" s="594"/>
      <c r="EC94" s="594"/>
      <c r="ED94" s="207">
        <f>IF(EB94=0,0,(EC94-EB94)/EB94*100)</f>
        <v>0</v>
      </c>
      <c r="EE94" s="594"/>
      <c r="EF94" s="594"/>
      <c r="EG94" s="207">
        <f>IF(EE94=0,0,(EF94-EE94)/EE94*100)</f>
        <v>0</v>
      </c>
      <c r="EH94" s="594"/>
      <c r="EI94" s="594"/>
      <c r="EJ94" s="207">
        <f>IF(EH94=0,0,(EI94-EH94)/EH94*100)</f>
        <v>0</v>
      </c>
      <c r="EK94" s="594"/>
      <c r="EL94" s="594"/>
      <c r="EM94" s="207">
        <f>IF(EK94=0,0,(EL94-EK94)/EK94*100)</f>
        <v>0</v>
      </c>
      <c r="EN94" s="594"/>
      <c r="EO94" s="594"/>
      <c r="EP94" s="207">
        <f>IF(EN94=0,0,(EO94-EN94)/EN94*100)</f>
        <v>0</v>
      </c>
      <c r="EQ94" s="594"/>
      <c r="ER94" s="594"/>
      <c r="ES94" s="207">
        <f>IF(EQ94=0,0,(ER94-EQ94)/EQ94*100)</f>
        <v>0</v>
      </c>
      <c r="ET94" s="594"/>
      <c r="EU94" s="594"/>
      <c r="EV94" s="207">
        <f>IF(ET94=0,0,(EU94-ET94)/ET94*100)</f>
        <v>0</v>
      </c>
      <c r="EW94" s="594"/>
      <c r="EX94" s="594"/>
      <c r="EY94" s="207">
        <f>IF(EW94=0,0,(EX94-EW94)/EW94*100)</f>
        <v>0</v>
      </c>
      <c r="EZ94" s="594"/>
      <c r="FA94" s="594"/>
      <c r="FB94" s="207">
        <f>IF(EZ94=0,0,(FA94-EZ94)/EZ94*100)</f>
        <v>0</v>
      </c>
      <c r="FC94" s="594"/>
      <c r="FD94" s="594"/>
      <c r="FE94" s="207">
        <f>IF(FC94=0,0,(FD94-FC94)/FC94*100)</f>
        <v>0</v>
      </c>
      <c r="FF94" s="594"/>
      <c r="FG94" s="594"/>
      <c r="FH94" s="207">
        <f>IF(FF94=0,0,(FG94-FF94)/FF94*100)</f>
        <v>0</v>
      </c>
      <c r="FI94" s="594"/>
      <c r="FJ94" s="594"/>
      <c r="FK94" s="207">
        <f>IF(FI94=0,0,(FJ94-FI94)/FI94*100)</f>
        <v>0</v>
      </c>
      <c r="FL94" s="594"/>
      <c r="FM94" s="594"/>
      <c r="FN94" s="207">
        <f>IF(FL94=0,0,(FM94-FL94)/FL94*100)</f>
        <v>0</v>
      </c>
      <c r="FO94" s="594"/>
      <c r="FP94" s="594"/>
      <c r="FQ94" s="207">
        <f>IF(FO94=0,0,(FP94-FO94)/FO94*100)</f>
        <v>0</v>
      </c>
      <c r="FR94" s="594"/>
      <c r="FS94" s="594"/>
      <c r="FT94" s="207">
        <f>IF(FR94=0,0,(FS94-FR94)/FR94*100)</f>
        <v>0</v>
      </c>
      <c r="FU94" s="594"/>
      <c r="FV94" s="594"/>
      <c r="FW94" s="207">
        <f>IF(FU94=0,0,(FV94-FU94)/FU94*100)</f>
        <v>0</v>
      </c>
      <c r="FX94" s="203"/>
      <c r="FY94" s="203"/>
      <c r="FZ94" s="689" t="s">
        <v>1662</v>
      </c>
      <c r="GA94" s="689"/>
      <c r="GB94" s="689"/>
      <c r="GC94" s="690"/>
      <c r="GD94" s="690"/>
    </row>
    <row r="95" spans="1:186" s="900" customFormat="1" ht="33.200000000000003" customHeight="1">
      <c r="A95" s="592"/>
      <c r="B95" s="611" t="b" cm="1">
        <f t="array" ref="B95">B94</f>
        <v>1</v>
      </c>
      <c r="C95" s="592"/>
      <c r="D95" s="592"/>
      <c r="E95" s="593">
        <v>24.5</v>
      </c>
      <c r="F95" s="3" t="str" cm="1">
        <f t="array" aca="1" ref="F95" ca="1">OFFSET(E95,-1,1)</f>
        <v>1</v>
      </c>
      <c r="G95" s="25" t="s">
        <v>1663</v>
      </c>
      <c r="H95" s="59" t="s">
        <v>507</v>
      </c>
      <c r="I95" s="59" t="s">
        <v>1664</v>
      </c>
      <c r="J95" s="592"/>
      <c r="K95" s="592"/>
      <c r="L95" s="59"/>
      <c r="M95" s="592"/>
      <c r="N95" s="592"/>
      <c r="O95" s="592"/>
      <c r="P95" s="592"/>
      <c r="Q95" s="592"/>
      <c r="R95" s="59"/>
      <c r="S95" s="59"/>
      <c r="T95" s="351" t="b" cm="1">
        <f t="array" ref="T95">T94</f>
        <v>1</v>
      </c>
      <c r="U95" s="592"/>
      <c r="V95" s="592"/>
      <c r="W95" s="592"/>
      <c r="X95" s="1046"/>
      <c r="Y95" s="592"/>
      <c r="Z95" s="1007"/>
      <c r="AA95" s="592"/>
      <c r="AB95" s="711" t="s">
        <v>1665</v>
      </c>
      <c r="AC95" s="205" t="s">
        <v>1647</v>
      </c>
      <c r="AD95" s="594">
        <f ca="1">IF(AND(method_reg="Метод индексации",god&lt;&gt;first_year),SUMIFS(INDEX('Калькуляция (МИ корр)'!$AJ$25:$BC$315,,MATCH(AD$8,'Калькуляция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(МИ)'!$AJ$25:$BC$315,,MATCH(AD$8,'Калькуляция (МИ)'!$AJ$8:$BC$8,0)),'Калькуляция (МИ)'!$F$25:$F$315,$F95,'Калькуляция (МИ)'!$G$25:$G$315,$G95))))</f>
        <v>105.57387600062219</v>
      </c>
      <c r="AE95" s="594">
        <f ca="1">IF(AND(method_reg="Метод индексации",god&lt;&gt;first_year),SUMIFS(INDEX('Калькуляция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(МИ)'!$AJ$25:$BC$315,,MATCH(AE$8,'Калькуляция (МИ)'!$AJ$8:$BC$8,0)),'Калькуляция (МИ)'!$F$25:$F$315,$F95,'Калькуляция (МИ)'!$G$25:$G$315,$G95))))</f>
        <v>83.899397845599069</v>
      </c>
      <c r="AF95" s="207">
        <f ca="1">IF(AD95=0,0,(AE95-AD95)/AD95*100)</f>
        <v>-20.530152890186002</v>
      </c>
      <c r="AG95" s="594">
        <f ca="1">IF(AND(method_reg="Метод индексации",god&lt;&gt;first_year),SUMIFS(INDEX('Калькуляция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(МИ)'!$AJ$25:$BC$315,,MATCH(AG$8,'Калькуляция (МИ)'!$AJ$8:$BC$8,0)),'Калькуляция (МИ)'!$F$25:$F$315,$F95,'Калькуляция (МИ)'!$G$25:$G$315,$G95))))</f>
        <v>76.246958073552435</v>
      </c>
      <c r="AH95" s="594">
        <f ca="1">IF(AND(method_reg="Метод индексации",god&lt;&gt;first_year),SUMIFS(INDEX('Калькуляция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(МИ)'!$AJ$25:$BC$315,,MATCH(AH$8,'Калькуляция (МИ)'!$AJ$8:$BC$8,0)),'Калькуляция (МИ)'!$F$25:$F$315,$F95,'Калькуляция (МИ)'!$G$25:$G$315,$G95))))</f>
        <v>89.938403677630092</v>
      </c>
      <c r="AI95" s="207">
        <f ca="1">IF(AG95=0,0,(AH95-AG95)/AG95*100)</f>
        <v>17.956710601975832</v>
      </c>
      <c r="AJ95" s="594">
        <f ca="1">IF(AND(method_reg="Метод индексации",god&lt;&gt;first_year),SUMIFS(INDEX('Калькуляция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(МИ)'!$AJ$25:$BC$315,,MATCH(AJ$8,'Калькуляция (МИ)'!$AJ$8:$BC$8,0)),'Калькуляция (МИ)'!$F$25:$F$315,$F95,'Калькуляция (МИ)'!$G$25:$G$315,$G95))))</f>
        <v>82.338701574311841</v>
      </c>
      <c r="AK95" s="594">
        <f ca="1">IF(AND(method_reg="Метод индексации",god&lt;&gt;first_year),SUMIFS(INDEX('Калькуляция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(МИ)'!$AJ$25:$BC$315,,MATCH(AK$8,'Калькуляция (МИ)'!$AJ$8:$BC$8,0)),'Калькуляция (МИ)'!$F$25:$F$315,$F95,'Калькуляция (МИ)'!$G$25:$G$315,$G95))))</f>
        <v>92.000194682535309</v>
      </c>
      <c r="AL95" s="207">
        <f ca="1">IF(AJ95=0,0,(AK95-AJ95)/AJ95*100)</f>
        <v>11.733841952200125</v>
      </c>
      <c r="AM95" s="594">
        <f ca="1">IF(AND(method_reg="Метод индексации",god&lt;&gt;first_year),SUMIFS(INDEX('Калькуляция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(МИ)'!$AJ$25:$BC$315,,MATCH(AM$8,'Калькуляция (МИ)'!$AJ$8:$BC$8,0)),'Калькуляция (МИ)'!$F$25:$F$315,$F95,'Калькуляция (МИ)'!$G$25:$G$315,$G95))))</f>
        <v>0</v>
      </c>
      <c r="AN95" s="594">
        <f ca="1">IF(AND(method_reg="Метод индексации",god&lt;&gt;first_year),SUMIFS(INDEX('Калькуляция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(МИ)'!$AJ$25:$BC$315,,MATCH(AN$8,'Калькуляция (МИ)'!$AJ$8:$BC$8,0)),'Калькуляция (МИ)'!$F$25:$F$315,$F95,'Калькуляция (МИ)'!$G$25:$G$315,$G95))))</f>
        <v>0</v>
      </c>
      <c r="AO95" s="207">
        <f ca="1">IF(AM95=0,0,(AN95-AM95)/AM95*100)</f>
        <v>0</v>
      </c>
      <c r="AP95" s="594">
        <f ca="1">IF(AND(method_reg="Метод индексации",god&lt;&gt;first_year),SUMIFS(INDEX('Калькуляция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(МИ)'!$AJ$25:$BC$315,,MATCH(AP$8,'Калькуляция (МИ)'!$AJ$8:$BC$8,0)),'Калькуляция (МИ)'!$F$25:$F$315,$F95,'Калькуляция (МИ)'!$G$25:$G$315,$G95))))</f>
        <v>0</v>
      </c>
      <c r="AQ95" s="594">
        <f ca="1">IF(AND(method_reg="Метод индексации",god&lt;&gt;first_year),SUMIFS(INDEX('Калькуляция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(МИ)'!$AJ$25:$BC$315,,MATCH(AQ$8,'Калькуляция (МИ)'!$AJ$8:$BC$8,0)),'Калькуляция (МИ)'!$F$25:$F$315,$F95,'Калькуляция (МИ)'!$G$25:$G$315,$G95))))</f>
        <v>0</v>
      </c>
      <c r="AR95" s="207">
        <f ca="1">IF(AP95=0,0,(AQ95-AP95)/AP95*100)</f>
        <v>0</v>
      </c>
      <c r="AS95" s="594">
        <f ca="1">IF(AND(method_reg="Метод индексации",god&lt;&gt;first_year),SUMIFS(INDEX('Калькуляция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(МИ)'!$AJ$25:$BC$315,,MATCH(AS$8,'Калькуляция (МИ)'!$AJ$8:$BC$8,0)),'Калькуляция (МИ)'!$F$25:$F$315,$F95,'Калькуляция (МИ)'!$G$25:$G$315,$G95))))</f>
        <v>0</v>
      </c>
      <c r="AT95" s="594">
        <f ca="1">IF(AND(method_reg="Метод индексации",god&lt;&gt;first_year),SUMIFS(INDEX('Калькуляция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(МИ)'!$AJ$25:$BC$315,,MATCH(AT$8,'Калькуляция (МИ)'!$AJ$8:$BC$8,0)),'Калькуляция (МИ)'!$F$25:$F$315,$F95,'Калькуляция (МИ)'!$G$25:$G$315,$G95))))</f>
        <v>0</v>
      </c>
      <c r="AU95" s="207">
        <f ca="1">IF(AS95=0,0,(AT95-AS95)/AS95*100)</f>
        <v>0</v>
      </c>
      <c r="AV95" s="594">
        <f ca="1">IF(AND(method_reg="Метод индексации",god&lt;&gt;first_year),SUMIFS(INDEX('Калькуляция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(МИ)'!$AJ$25:$BC$315,,MATCH(AV$8,'Калькуляция (МИ)'!$AJ$8:$BC$8,0)),'Калькуляция (МИ)'!$F$25:$F$315,$F95,'Калькуляция (МИ)'!$G$25:$G$315,$G95))))</f>
        <v>0</v>
      </c>
      <c r="AW95" s="594">
        <f ca="1">IF(AND(method_reg="Метод индексации",god&lt;&gt;first_year),SUMIFS(INDEX('Калькуляция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(МИ)'!$AJ$25:$BC$315,,MATCH(AW$8,'Калькуляция (МИ)'!$AJ$8:$BC$8,0)),'Калькуляция (МИ)'!$F$25:$F$315,$F95,'Калькуляция (МИ)'!$G$25:$G$315,$G95))))</f>
        <v>0</v>
      </c>
      <c r="AX95" s="207">
        <f ca="1">IF(AV95=0,0,(AW95-AV95)/AV95*100)</f>
        <v>0</v>
      </c>
      <c r="AY95" s="594">
        <f ca="1">IF(AND(method_reg="Метод индексации",god&lt;&gt;first_year),SUMIFS(INDEX('Калькуляция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(МИ)'!$AJ$25:$BC$315,,MATCH(AY$8,'Калькуляция (МИ)'!$AJ$8:$BC$8,0)),'Калькуляция (МИ)'!$F$25:$F$315,$F95,'Калькуляция (МИ)'!$G$25:$G$315,$G95))))</f>
        <v>0</v>
      </c>
      <c r="AZ95" s="594">
        <f ca="1">IF(AND(method_reg="Метод индексации",god&lt;&gt;first_year),SUMIFS(INDEX('Калькуляция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(МИ)'!$AJ$25:$BC$315,,MATCH(AZ$8,'Калькуляция (МИ)'!$AJ$8:$BC$8,0)),'Калькуляция (МИ)'!$F$25:$F$315,$F95,'Калькуляция (МИ)'!$G$25:$G$315,$G95))))</f>
        <v>0</v>
      </c>
      <c r="BA95" s="207">
        <f ca="1">IF(AY95=0,0,(AZ95-AY95)/AY95*100)</f>
        <v>0</v>
      </c>
      <c r="BB95" s="594">
        <f ca="1">IF(AND(method_reg="Метод индексации",god&lt;&gt;first_year),SUMIFS(INDEX('Калькуляция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(МИ)'!$AJ$25:$BC$315,,MATCH(BB$8,'Калькуляция (МИ)'!$AJ$8:$BC$8,0)),'Калькуляция (МИ)'!$F$25:$F$315,$F95,'Калькуляция (МИ)'!$G$25:$G$315,$G95))))</f>
        <v>0</v>
      </c>
      <c r="BC95" s="594">
        <f ca="1">IF(AND(method_reg="Метод индексации",god&lt;&gt;first_year),SUMIFS(INDEX('Калькуляция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(МИ)'!$AJ$25:$BC$315,,MATCH(BC$8,'Калькуляция (МИ)'!$AJ$8:$BC$8,0)),'Калькуляция (МИ)'!$F$25:$F$315,$F95,'Калькуляция (МИ)'!$G$25:$G$315,$G95))))</f>
        <v>0</v>
      </c>
      <c r="BD95" s="207">
        <f ca="1">IF(BB95=0,0,(BC95-BB95)/BB95*100)</f>
        <v>0</v>
      </c>
      <c r="BE95" s="594">
        <f ca="1">IF(AND(method_reg="Метод индексации",god&lt;&gt;first_year),SUMIFS(INDEX('Калькуляция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(МИ)'!$AJ$25:$BC$315,,MATCH(BE$8,'Калькуляция (МИ)'!$AJ$8:$BC$8,0)),'Калькуляция (МИ)'!$F$25:$F$315,$F95,'Калькуляция (МИ)'!$G$25:$G$315,$G95))))</f>
        <v>0</v>
      </c>
      <c r="BF95" s="594">
        <f ca="1">IF(AND(method_reg="Метод индексации",god&lt;&gt;first_year),SUMIFS(INDEX('Калькуляция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(МИ)'!$AJ$25:$BC$315,,MATCH(BF$8,'Калькуляция (МИ)'!$AJ$8:$BC$8,0)),'Калькуляция (МИ)'!$F$25:$F$315,$F95,'Калькуляция (МИ)'!$G$25:$G$315,$G95))))</f>
        <v>0</v>
      </c>
      <c r="BG95" s="207">
        <f ca="1">IF(BE95=0,0,(BF95-BE95)/BE95*100)</f>
        <v>0</v>
      </c>
      <c r="BH95" s="594"/>
      <c r="BI95" s="594"/>
      <c r="BJ95" s="207">
        <f>IF(BH95=0,0,(BI95-BH95)/BH95*100)</f>
        <v>0</v>
      </c>
      <c r="BK95" s="594"/>
      <c r="BL95" s="594"/>
      <c r="BM95" s="207">
        <f>IF(BK95=0,0,(BL95-BK95)/BK95*100)</f>
        <v>0</v>
      </c>
      <c r="BN95" s="594"/>
      <c r="BO95" s="594"/>
      <c r="BP95" s="207">
        <f>IF(BN95=0,0,(BO95-BN95)/BN95*100)</f>
        <v>0</v>
      </c>
      <c r="BQ95" s="594"/>
      <c r="BR95" s="594"/>
      <c r="BS95" s="207">
        <f>IF(BQ95=0,0,(BR95-BQ95)/BQ95*100)</f>
        <v>0</v>
      </c>
      <c r="BT95" s="594"/>
      <c r="BU95" s="594"/>
      <c r="BV95" s="207">
        <f>IF(BT95=0,0,(BU95-BT95)/BT95*100)</f>
        <v>0</v>
      </c>
      <c r="BW95" s="594"/>
      <c r="BX95" s="594"/>
      <c r="BY95" s="207">
        <f>IF(BW95=0,0,(BX95-BW95)/BW95*100)</f>
        <v>0</v>
      </c>
      <c r="BZ95" s="594"/>
      <c r="CA95" s="594"/>
      <c r="CB95" s="207">
        <f>IF(BZ95=0,0,(CA95-BZ95)/BZ95*100)</f>
        <v>0</v>
      </c>
      <c r="CC95" s="594"/>
      <c r="CD95" s="594"/>
      <c r="CE95" s="207">
        <f>IF(CC95=0,0,(CD95-CC95)/CC95*100)</f>
        <v>0</v>
      </c>
      <c r="CF95" s="594"/>
      <c r="CG95" s="594"/>
      <c r="CH95" s="207">
        <f>IF(CF95=0,0,(CG95-CF95)/CF95*100)</f>
        <v>0</v>
      </c>
      <c r="CI95" s="594"/>
      <c r="CJ95" s="594"/>
      <c r="CK95" s="207">
        <f>IF(CI95=0,0,(CJ95-CI95)/CI95*100)</f>
        <v>0</v>
      </c>
      <c r="CL95" s="594"/>
      <c r="CM95" s="594"/>
      <c r="CN95" s="207">
        <f>IF(CL95=0,0,(CM95-CL95)/CL95*100)</f>
        <v>0</v>
      </c>
      <c r="CO95" s="594"/>
      <c r="CP95" s="594"/>
      <c r="CQ95" s="207">
        <f>IF(CO95=0,0,(CP95-CO95)/CO95*100)</f>
        <v>0</v>
      </c>
      <c r="CR95" s="594"/>
      <c r="CS95" s="594"/>
      <c r="CT95" s="207">
        <f>IF(CR95=0,0,(CS95-CR95)/CR95*100)</f>
        <v>0</v>
      </c>
      <c r="CU95" s="594"/>
      <c r="CV95" s="594"/>
      <c r="CW95" s="207">
        <f>IF(CU95=0,0,(CV95-CU95)/CU95*100)</f>
        <v>0</v>
      </c>
      <c r="CX95" s="594"/>
      <c r="CY95" s="594"/>
      <c r="CZ95" s="207">
        <f>IF(CX95=0,0,(CY95-CX95)/CX95*100)</f>
        <v>0</v>
      </c>
      <c r="DA95" s="594"/>
      <c r="DB95" s="594"/>
      <c r="DC95" s="207">
        <f>IF(DA95=0,0,(DB95-DA95)/DA95*100)</f>
        <v>0</v>
      </c>
      <c r="DD95" s="594"/>
      <c r="DE95" s="594"/>
      <c r="DF95" s="207">
        <f>IF(DD95=0,0,(DE95-DD95)/DD95*100)</f>
        <v>0</v>
      </c>
      <c r="DG95" s="594"/>
      <c r="DH95" s="594"/>
      <c r="DI95" s="207">
        <f>IF(DG95=0,0,(DH95-DG95)/DG95*100)</f>
        <v>0</v>
      </c>
      <c r="DJ95" s="594"/>
      <c r="DK95" s="594"/>
      <c r="DL95" s="207">
        <f>IF(DJ95=0,0,(DK95-DJ95)/DJ95*100)</f>
        <v>0</v>
      </c>
      <c r="DM95" s="594"/>
      <c r="DN95" s="594"/>
      <c r="DO95" s="207">
        <f>IF(DM95=0,0,(DN95-DM95)/DM95*100)</f>
        <v>0</v>
      </c>
      <c r="DP95" s="594"/>
      <c r="DQ95" s="594"/>
      <c r="DR95" s="207">
        <f>IF(DP95=0,0,(DQ95-DP95)/DP95*100)</f>
        <v>0</v>
      </c>
      <c r="DS95" s="594"/>
      <c r="DT95" s="594"/>
      <c r="DU95" s="207">
        <f>IF(DS95=0,0,(DT95-DS95)/DS95*100)</f>
        <v>0</v>
      </c>
      <c r="DV95" s="594"/>
      <c r="DW95" s="594"/>
      <c r="DX95" s="207">
        <f>IF(DV95=0,0,(DW95-DV95)/DV95*100)</f>
        <v>0</v>
      </c>
      <c r="DY95" s="594"/>
      <c r="DZ95" s="594"/>
      <c r="EA95" s="207">
        <f>IF(DY95=0,0,(DZ95-DY95)/DY95*100)</f>
        <v>0</v>
      </c>
      <c r="EB95" s="594"/>
      <c r="EC95" s="594"/>
      <c r="ED95" s="207">
        <f>IF(EB95=0,0,(EC95-EB95)/EB95*100)</f>
        <v>0</v>
      </c>
      <c r="EE95" s="594"/>
      <c r="EF95" s="594"/>
      <c r="EG95" s="207">
        <f>IF(EE95=0,0,(EF95-EE95)/EE95*100)</f>
        <v>0</v>
      </c>
      <c r="EH95" s="594"/>
      <c r="EI95" s="594"/>
      <c r="EJ95" s="207">
        <f>IF(EH95=0,0,(EI95-EH95)/EH95*100)</f>
        <v>0</v>
      </c>
      <c r="EK95" s="594"/>
      <c r="EL95" s="594"/>
      <c r="EM95" s="207">
        <f>IF(EK95=0,0,(EL95-EK95)/EK95*100)</f>
        <v>0</v>
      </c>
      <c r="EN95" s="594"/>
      <c r="EO95" s="594"/>
      <c r="EP95" s="207">
        <f>IF(EN95=0,0,(EO95-EN95)/EN95*100)</f>
        <v>0</v>
      </c>
      <c r="EQ95" s="594"/>
      <c r="ER95" s="594"/>
      <c r="ES95" s="207">
        <f>IF(EQ95=0,0,(ER95-EQ95)/EQ95*100)</f>
        <v>0</v>
      </c>
      <c r="ET95" s="594"/>
      <c r="EU95" s="594"/>
      <c r="EV95" s="207">
        <f>IF(ET95=0,0,(EU95-ET95)/ET95*100)</f>
        <v>0</v>
      </c>
      <c r="EW95" s="594"/>
      <c r="EX95" s="594"/>
      <c r="EY95" s="207">
        <f>IF(EW95=0,0,(EX95-EW95)/EW95*100)</f>
        <v>0</v>
      </c>
      <c r="EZ95" s="594"/>
      <c r="FA95" s="594"/>
      <c r="FB95" s="207">
        <f>IF(EZ95=0,0,(FA95-EZ95)/EZ95*100)</f>
        <v>0</v>
      </c>
      <c r="FC95" s="594"/>
      <c r="FD95" s="594"/>
      <c r="FE95" s="207">
        <f>IF(FC95=0,0,(FD95-FC95)/FC95*100)</f>
        <v>0</v>
      </c>
      <c r="FF95" s="594"/>
      <c r="FG95" s="594"/>
      <c r="FH95" s="207">
        <f>IF(FF95=0,0,(FG95-FF95)/FF95*100)</f>
        <v>0</v>
      </c>
      <c r="FI95" s="594"/>
      <c r="FJ95" s="594"/>
      <c r="FK95" s="207">
        <f>IF(FI95=0,0,(FJ95-FI95)/FI95*100)</f>
        <v>0</v>
      </c>
      <c r="FL95" s="594"/>
      <c r="FM95" s="594"/>
      <c r="FN95" s="207">
        <f>IF(FL95=0,0,(FM95-FL95)/FL95*100)</f>
        <v>0</v>
      </c>
      <c r="FO95" s="594"/>
      <c r="FP95" s="594"/>
      <c r="FQ95" s="207">
        <f>IF(FO95=0,0,(FP95-FO95)/FO95*100)</f>
        <v>0</v>
      </c>
      <c r="FR95" s="594"/>
      <c r="FS95" s="594"/>
      <c r="FT95" s="207">
        <f>IF(FR95=0,0,(FS95-FR95)/FR95*100)</f>
        <v>0</v>
      </c>
      <c r="FU95" s="594"/>
      <c r="FV95" s="594"/>
      <c r="FW95" s="207">
        <f>IF(FU95=0,0,(FV95-FU95)/FU95*100)</f>
        <v>0</v>
      </c>
      <c r="FX95" s="203"/>
      <c r="FY95" s="203"/>
      <c r="FZ95" s="689" t="s">
        <v>1666</v>
      </c>
      <c r="GA95" s="689"/>
      <c r="GB95" s="689"/>
      <c r="GC95" s="690"/>
      <c r="GD95" s="690"/>
    </row>
    <row r="96" spans="1:186" ht="26.45" customHeight="1">
      <c r="A96" s="59"/>
      <c r="B96" s="611" t="b" cm="1">
        <f t="array" ref="B96">B95</f>
        <v>1</v>
      </c>
      <c r="C96" s="59"/>
      <c r="D96" s="59"/>
      <c r="E96" s="460">
        <v>15</v>
      </c>
      <c r="F96" s="3" t="str" cm="1">
        <f t="array" aca="1" ref="F96" ca="1">OFFSET(E96,-1,1)</f>
        <v>1</v>
      </c>
      <c r="G96" s="25"/>
      <c r="H96" s="59" t="s">
        <v>511</v>
      </c>
      <c r="I96" s="59" t="s">
        <v>1667</v>
      </c>
      <c r="J96" s="59"/>
      <c r="K96" s="59"/>
      <c r="L96" s="59"/>
      <c r="M96" s="59"/>
      <c r="N96" s="59"/>
      <c r="O96" s="59"/>
      <c r="P96" s="59"/>
      <c r="Q96" s="592"/>
      <c r="R96" s="59"/>
      <c r="S96" s="59"/>
      <c r="T96" s="351" t="b" cm="1">
        <f t="array" ref="T96">T95</f>
        <v>1</v>
      </c>
      <c r="U96" s="59"/>
      <c r="V96" s="59"/>
      <c r="W96" s="59"/>
      <c r="X96" s="1046"/>
      <c r="Y96" s="59"/>
      <c r="Z96" s="1007"/>
      <c r="AA96" s="59"/>
      <c r="AB96" s="54" t="s">
        <v>1654</v>
      </c>
      <c r="AC96" s="12" t="s">
        <v>501</v>
      </c>
      <c r="AD96" s="618">
        <f ca="1">IF(AD94=0,0,AD95/AD94)*100</f>
        <v>140.72013755681141</v>
      </c>
      <c r="AE96" s="618">
        <f ca="1">IF(AE94=0,0,AE95/AE94)*100</f>
        <v>109.99679819913244</v>
      </c>
      <c r="AF96" s="712"/>
      <c r="AG96" s="618">
        <f ca="1">IF(AG94=0,0,AG95/AG94)*100</f>
        <v>100.00912653928704</v>
      </c>
      <c r="AH96" s="618">
        <f ca="1">IF(AH94=0,0,AH95/AH94)*100</f>
        <v>107.19791319974033</v>
      </c>
      <c r="AI96" s="712"/>
      <c r="AJ96" s="618">
        <f ca="1">IF(AJ94=0,0,AJ95/AJ94)*100</f>
        <v>107.98518239254011</v>
      </c>
      <c r="AK96" s="618">
        <f ca="1">IF(AK94=0,0,AK95/AK94)*100</f>
        <v>102.2924478538616</v>
      </c>
      <c r="AL96" s="712"/>
      <c r="AM96" s="618">
        <f ca="1">IF(AM94=0,0,AM95/AM94)*100</f>
        <v>0</v>
      </c>
      <c r="AN96" s="618">
        <f ca="1">IF(AN94=0,0,AN95/AN94)*100</f>
        <v>0</v>
      </c>
      <c r="AO96" s="712"/>
      <c r="AP96" s="618">
        <f ca="1">IF(AP94=0,0,AP95/AP94)*100</f>
        <v>0</v>
      </c>
      <c r="AQ96" s="618">
        <f ca="1">IF(AQ94=0,0,AQ95/AQ94)*100</f>
        <v>0</v>
      </c>
      <c r="AR96" s="712"/>
      <c r="AS96" s="618">
        <f ca="1">IF(AS94=0,0,AS95/AS94)*100</f>
        <v>0</v>
      </c>
      <c r="AT96" s="618">
        <f ca="1">IF(AT94=0,0,AT95/AT94)*100</f>
        <v>0</v>
      </c>
      <c r="AU96" s="712"/>
      <c r="AV96" s="618">
        <f ca="1">IF(AV94=0,0,AV95/AV94)*100</f>
        <v>0</v>
      </c>
      <c r="AW96" s="618">
        <f ca="1">IF(AW94=0,0,AW95/AW94)*100</f>
        <v>0</v>
      </c>
      <c r="AX96" s="712"/>
      <c r="AY96" s="618">
        <f ca="1">IF(AY94=0,0,AY95/AY94)*100</f>
        <v>0</v>
      </c>
      <c r="AZ96" s="618">
        <f ca="1">IF(AZ94=0,0,AZ95/AZ94)*100</f>
        <v>0</v>
      </c>
      <c r="BA96" s="712"/>
      <c r="BB96" s="618">
        <f ca="1">IF(BB94=0,0,BB95/BB94)*100</f>
        <v>0</v>
      </c>
      <c r="BC96" s="618">
        <f ca="1">IF(BC94=0,0,BC95/BC94)*100</f>
        <v>0</v>
      </c>
      <c r="BD96" s="712"/>
      <c r="BE96" s="618">
        <f ca="1">IF(BE94=0,0,BE95/BE94)*100</f>
        <v>0</v>
      </c>
      <c r="BF96" s="618">
        <f ca="1">IF(BF94=0,0,BF95/BF94)*100</f>
        <v>0</v>
      </c>
      <c r="BG96" s="712"/>
      <c r="BH96" s="618">
        <f>IF(BH94=0,0,BH95/BH94)*100</f>
        <v>0</v>
      </c>
      <c r="BI96" s="618">
        <f>IF(BI94=0,0,BI95/BI94)*100</f>
        <v>0</v>
      </c>
      <c r="BJ96" s="712"/>
      <c r="BK96" s="618">
        <f>IF(BK94=0,0,BK95/BK94)*100</f>
        <v>0</v>
      </c>
      <c r="BL96" s="618">
        <f>IF(BL94=0,0,BL95/BL94)*100</f>
        <v>0</v>
      </c>
      <c r="BM96" s="712"/>
      <c r="BN96" s="618">
        <f>IF(BN94=0,0,BN95/BN94)*100</f>
        <v>0</v>
      </c>
      <c r="BO96" s="618">
        <f>IF(BO94=0,0,BO95/BO94)*100</f>
        <v>0</v>
      </c>
      <c r="BP96" s="712"/>
      <c r="BQ96" s="618">
        <f>IF(BQ94=0,0,BQ95/BQ94)*100</f>
        <v>0</v>
      </c>
      <c r="BR96" s="618">
        <f>IF(BR94=0,0,BR95/BR94)*100</f>
        <v>0</v>
      </c>
      <c r="BS96" s="712"/>
      <c r="BT96" s="618">
        <f>IF(BT94=0,0,BT95/BT94)*100</f>
        <v>0</v>
      </c>
      <c r="BU96" s="618">
        <f>IF(BU94=0,0,BU95/BU94)*100</f>
        <v>0</v>
      </c>
      <c r="BV96" s="712"/>
      <c r="BW96" s="618">
        <f>IF(BW94=0,0,BW95/BW94)*100</f>
        <v>0</v>
      </c>
      <c r="BX96" s="618">
        <f>IF(BX94=0,0,BX95/BX94)*100</f>
        <v>0</v>
      </c>
      <c r="BY96" s="712"/>
      <c r="BZ96" s="618">
        <f>IF(BZ94=0,0,BZ95/BZ94)*100</f>
        <v>0</v>
      </c>
      <c r="CA96" s="618">
        <f>IF(CA94=0,0,CA95/CA94)*100</f>
        <v>0</v>
      </c>
      <c r="CB96" s="712"/>
      <c r="CC96" s="618">
        <f>IF(CC94=0,0,CC95/CC94)*100</f>
        <v>0</v>
      </c>
      <c r="CD96" s="618">
        <f>IF(CD94=0,0,CD95/CD94)*100</f>
        <v>0</v>
      </c>
      <c r="CE96" s="712"/>
      <c r="CF96" s="618">
        <f>IF(CF94=0,0,CF95/CF94)*100</f>
        <v>0</v>
      </c>
      <c r="CG96" s="618">
        <f>IF(CG94=0,0,CG95/CG94)*100</f>
        <v>0</v>
      </c>
      <c r="CH96" s="712"/>
      <c r="CI96" s="618">
        <f>IF(CI94=0,0,CI95/CI94)*100</f>
        <v>0</v>
      </c>
      <c r="CJ96" s="618">
        <f>IF(CJ94=0,0,CJ95/CJ94)*100</f>
        <v>0</v>
      </c>
      <c r="CK96" s="712"/>
      <c r="CL96" s="618">
        <f>IF(CL94=0,0,CL95/CL94)*100</f>
        <v>0</v>
      </c>
      <c r="CM96" s="618">
        <f>IF(CM94=0,0,CM95/CM94)*100</f>
        <v>0</v>
      </c>
      <c r="CN96" s="712"/>
      <c r="CO96" s="618">
        <f>IF(CO94=0,0,CO95/CO94)*100</f>
        <v>0</v>
      </c>
      <c r="CP96" s="618">
        <f>IF(CP94=0,0,CP95/CP94)*100</f>
        <v>0</v>
      </c>
      <c r="CQ96" s="712"/>
      <c r="CR96" s="618">
        <f>IF(CR94=0,0,CR95/CR94)*100</f>
        <v>0</v>
      </c>
      <c r="CS96" s="618">
        <f>IF(CS94=0,0,CS95/CS94)*100</f>
        <v>0</v>
      </c>
      <c r="CT96" s="712"/>
      <c r="CU96" s="618">
        <f>IF(CU94=0,0,CU95/CU94)*100</f>
        <v>0</v>
      </c>
      <c r="CV96" s="618">
        <f>IF(CV94=0,0,CV95/CV94)*100</f>
        <v>0</v>
      </c>
      <c r="CW96" s="712"/>
      <c r="CX96" s="618">
        <f>IF(CX94=0,0,CX95/CX94)*100</f>
        <v>0</v>
      </c>
      <c r="CY96" s="618">
        <f>IF(CY94=0,0,CY95/CY94)*100</f>
        <v>0</v>
      </c>
      <c r="CZ96" s="712"/>
      <c r="DA96" s="618">
        <f>IF(DA94=0,0,DA95/DA94)*100</f>
        <v>0</v>
      </c>
      <c r="DB96" s="618">
        <f>IF(DB94=0,0,DB95/DB94)*100</f>
        <v>0</v>
      </c>
      <c r="DC96" s="712"/>
      <c r="DD96" s="618">
        <f>IF(DD94=0,0,DD95/DD94)*100</f>
        <v>0</v>
      </c>
      <c r="DE96" s="618">
        <f>IF(DE94=0,0,DE95/DE94)*100</f>
        <v>0</v>
      </c>
      <c r="DF96" s="712"/>
      <c r="DG96" s="618">
        <f>IF(DG94=0,0,DG95/DG94)*100</f>
        <v>0</v>
      </c>
      <c r="DH96" s="618">
        <f>IF(DH94=0,0,DH95/DH94)*100</f>
        <v>0</v>
      </c>
      <c r="DI96" s="712"/>
      <c r="DJ96" s="618">
        <f>IF(DJ94=0,0,DJ95/DJ94)*100</f>
        <v>0</v>
      </c>
      <c r="DK96" s="618">
        <f>IF(DK94=0,0,DK95/DK94)*100</f>
        <v>0</v>
      </c>
      <c r="DL96" s="712"/>
      <c r="DM96" s="618">
        <f>IF(DM94=0,0,DM95/DM94)*100</f>
        <v>0</v>
      </c>
      <c r="DN96" s="618">
        <f>IF(DN94=0,0,DN95/DN94)*100</f>
        <v>0</v>
      </c>
      <c r="DO96" s="712"/>
      <c r="DP96" s="618">
        <f>IF(DP94=0,0,DP95/DP94)*100</f>
        <v>0</v>
      </c>
      <c r="DQ96" s="618">
        <f>IF(DQ94=0,0,DQ95/DQ94)*100</f>
        <v>0</v>
      </c>
      <c r="DR96" s="712"/>
      <c r="DS96" s="618">
        <f>IF(DS94=0,0,DS95/DS94)*100</f>
        <v>0</v>
      </c>
      <c r="DT96" s="618">
        <f>IF(DT94=0,0,DT95/DT94)*100</f>
        <v>0</v>
      </c>
      <c r="DU96" s="712"/>
      <c r="DV96" s="618">
        <f>IF(DV94=0,0,DV95/DV94)*100</f>
        <v>0</v>
      </c>
      <c r="DW96" s="618">
        <f>IF(DW94=0,0,DW95/DW94)*100</f>
        <v>0</v>
      </c>
      <c r="DX96" s="712"/>
      <c r="DY96" s="618">
        <f>IF(DY94=0,0,DY95/DY94)*100</f>
        <v>0</v>
      </c>
      <c r="DZ96" s="618">
        <f>IF(DZ94=0,0,DZ95/DZ94)*100</f>
        <v>0</v>
      </c>
      <c r="EA96" s="712"/>
      <c r="EB96" s="618">
        <f>IF(EB94=0,0,EB95/EB94)*100</f>
        <v>0</v>
      </c>
      <c r="EC96" s="618">
        <f>IF(EC94=0,0,EC95/EC94)*100</f>
        <v>0</v>
      </c>
      <c r="ED96" s="712"/>
      <c r="EE96" s="618">
        <f>IF(EE94=0,0,EE95/EE94)*100</f>
        <v>0</v>
      </c>
      <c r="EF96" s="618">
        <f>IF(EF94=0,0,EF95/EF94)*100</f>
        <v>0</v>
      </c>
      <c r="EG96" s="712"/>
      <c r="EH96" s="618">
        <f>IF(EH94=0,0,EH95/EH94)*100</f>
        <v>0</v>
      </c>
      <c r="EI96" s="618">
        <f>IF(EI94=0,0,EI95/EI94)*100</f>
        <v>0</v>
      </c>
      <c r="EJ96" s="712"/>
      <c r="EK96" s="618">
        <f>IF(EK94=0,0,EK95/EK94)*100</f>
        <v>0</v>
      </c>
      <c r="EL96" s="618">
        <f>IF(EL94=0,0,EL95/EL94)*100</f>
        <v>0</v>
      </c>
      <c r="EM96" s="712"/>
      <c r="EN96" s="618">
        <f>IF(EN94=0,0,EN95/EN94)*100</f>
        <v>0</v>
      </c>
      <c r="EO96" s="618">
        <f>IF(EO94=0,0,EO95/EO94)*100</f>
        <v>0</v>
      </c>
      <c r="EP96" s="712"/>
      <c r="EQ96" s="618">
        <f>IF(EQ94=0,0,EQ95/EQ94)*100</f>
        <v>0</v>
      </c>
      <c r="ER96" s="618">
        <f>IF(ER94=0,0,ER95/ER94)*100</f>
        <v>0</v>
      </c>
      <c r="ES96" s="712"/>
      <c r="ET96" s="618">
        <f>IF(ET94=0,0,ET95/ET94)*100</f>
        <v>0</v>
      </c>
      <c r="EU96" s="618">
        <f>IF(EU94=0,0,EU95/EU94)*100</f>
        <v>0</v>
      </c>
      <c r="EV96" s="712"/>
      <c r="EW96" s="618">
        <f>IF(EW94=0,0,EW95/EW94)*100</f>
        <v>0</v>
      </c>
      <c r="EX96" s="618">
        <f>IF(EX94=0,0,EX95/EX94)*100</f>
        <v>0</v>
      </c>
      <c r="EY96" s="712"/>
      <c r="EZ96" s="618">
        <f>IF(EZ94=0,0,EZ95/EZ94)*100</f>
        <v>0</v>
      </c>
      <c r="FA96" s="618">
        <f>IF(FA94=0,0,FA95/FA94)*100</f>
        <v>0</v>
      </c>
      <c r="FB96" s="712"/>
      <c r="FC96" s="618">
        <f>IF(FC94=0,0,FC95/FC94)*100</f>
        <v>0</v>
      </c>
      <c r="FD96" s="618">
        <f>IF(FD94=0,0,FD95/FD94)*100</f>
        <v>0</v>
      </c>
      <c r="FE96" s="712"/>
      <c r="FF96" s="618">
        <f>IF(FF94=0,0,FF95/FF94)*100</f>
        <v>0</v>
      </c>
      <c r="FG96" s="618">
        <f>IF(FG94=0,0,FG95/FG94)*100</f>
        <v>0</v>
      </c>
      <c r="FH96" s="712"/>
      <c r="FI96" s="618">
        <f>IF(FI94=0,0,FI95/FI94)*100</f>
        <v>0</v>
      </c>
      <c r="FJ96" s="618">
        <f>IF(FJ94=0,0,FJ95/FJ94)*100</f>
        <v>0</v>
      </c>
      <c r="FK96" s="712"/>
      <c r="FL96" s="618">
        <f>IF(FL94=0,0,FL95/FL94)*100</f>
        <v>0</v>
      </c>
      <c r="FM96" s="618">
        <f>IF(FM94=0,0,FM95/FM94)*100</f>
        <v>0</v>
      </c>
      <c r="FN96" s="712"/>
      <c r="FO96" s="618">
        <f>IF(FO94=0,0,FO95/FO94)*100</f>
        <v>0</v>
      </c>
      <c r="FP96" s="618">
        <f>IF(FP94=0,0,FP95/FP94)*100</f>
        <v>0</v>
      </c>
      <c r="FQ96" s="712"/>
      <c r="FR96" s="618">
        <f>IF(FR94=0,0,FR95/FR94)*100</f>
        <v>0</v>
      </c>
      <c r="FS96" s="618">
        <f>IF(FS94=0,0,FS95/FS94)*100</f>
        <v>0</v>
      </c>
      <c r="FT96" s="712"/>
      <c r="FU96" s="618">
        <f>IF(FU94=0,0,FU95/FU94)*100</f>
        <v>0</v>
      </c>
      <c r="FV96" s="618">
        <f>IF(FV94=0,0,FV95/FV94)*100</f>
        <v>0</v>
      </c>
      <c r="FW96" s="712"/>
      <c r="FX96" s="203"/>
      <c r="FZ96" s="689" t="s">
        <v>1668</v>
      </c>
    </row>
    <row r="97" spans="1:186" ht="33.950000000000003" customHeight="1">
      <c r="A97" s="59"/>
      <c r="B97" s="611" t="b" cm="1">
        <f t="array" ref="B97">B96</f>
        <v>1</v>
      </c>
      <c r="C97" s="59"/>
      <c r="D97" s="59"/>
      <c r="E97" s="460">
        <v>15</v>
      </c>
      <c r="F97" s="3" t="str" cm="1">
        <f t="array" aca="1" ref="F97" ca="1">OFFSET(E97,-1,1)</f>
        <v>1</v>
      </c>
      <c r="G97" s="25" t="s">
        <v>1669</v>
      </c>
      <c r="H97" s="59" t="s">
        <v>514</v>
      </c>
      <c r="I97" s="59" t="s">
        <v>1667</v>
      </c>
      <c r="J97" s="59"/>
      <c r="K97" s="59"/>
      <c r="L97" s="59"/>
      <c r="M97" s="59"/>
      <c r="N97" s="59"/>
      <c r="O97" s="59"/>
      <c r="P97" s="59"/>
      <c r="Q97" s="592"/>
      <c r="R97" s="59"/>
      <c r="S97" s="59"/>
      <c r="T97" s="351" t="b" cm="1">
        <f t="array" ref="T97">T96</f>
        <v>1</v>
      </c>
      <c r="U97" s="59"/>
      <c r="V97" s="59"/>
      <c r="W97" s="59"/>
      <c r="X97" s="1046"/>
      <c r="Y97" s="59"/>
      <c r="Z97" s="1007"/>
      <c r="AA97" s="59"/>
      <c r="AB97" s="54" t="s">
        <v>1670</v>
      </c>
      <c r="AC97" s="12" t="s">
        <v>585</v>
      </c>
      <c r="AD97" s="190">
        <f ca="1">IF(AND(method_reg="Метод индексации",god&lt;&gt;first_year),SUMIFS(INDEX('Калькуляция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(МИ)'!$AJ$25:$BC$315,,MATCH(AD$8,'Калькуляция (МИ)'!$AJ$8:$BC$8,0)),'Калькуляция (МИ)'!$F$25:$F$315,$F97,'Калькуляция (МИ)'!$G$25:$G$315,$G97))))</f>
        <v>3499.105</v>
      </c>
      <c r="AE97" s="190">
        <f ca="1">IF(AND(method_reg="Метод индексации",god&lt;&gt;first_year),SUMIFS(INDEX('Калькуляция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(МИ)'!$AJ$25:$BC$315,,MATCH(AE$8,'Калькуляция (МИ)'!$AJ$8:$BC$8,0)),'Калькуляция (МИ)'!$F$25:$F$315,$F97,'Калькуляция (МИ)'!$G$25:$G$315,$G97))))</f>
        <v>3499.1053299999999</v>
      </c>
      <c r="AF97" s="713">
        <f ca="1">IF(AD97=0,0,(AE97-AD97)/AD97*100)</f>
        <v>9.4309830613528649E-6</v>
      </c>
      <c r="AG97" s="190">
        <f ca="1">IF(AND(method_reg="Метод индексации",god&lt;&gt;first_year),SUMIFS(INDEX('Калькуляция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(МИ)'!$AJ$25:$BC$315,,MATCH(AG$8,'Калькуляция (МИ)'!$AJ$8:$BC$8,0)),'Калькуляция (МИ)'!$F$25:$F$315,$F97,'Калькуляция (МИ)'!$G$25:$G$315,$G97))))</f>
        <v>3499.105</v>
      </c>
      <c r="AH97" s="190">
        <f ca="1">IF(AND(method_reg="Метод индексации",god&lt;&gt;first_year),SUMIFS(INDEX('Калькуляция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(МИ)'!$AJ$25:$BC$315,,MATCH(AH$8,'Калькуляция (МИ)'!$AJ$8:$BC$8,0)),'Калькуляция (МИ)'!$F$25:$F$315,$F97,'Калькуляция (МИ)'!$G$25:$G$315,$G97))))</f>
        <v>3499.1053299999999</v>
      </c>
      <c r="AI97" s="713">
        <f ca="1">IF(AG97=0,0,(AH97-AG97)/AG97*100)</f>
        <v>9.4309830613528649E-6</v>
      </c>
      <c r="AJ97" s="190">
        <f ca="1">IF(AND(method_reg="Метод индексации",god&lt;&gt;first_year),SUMIFS(INDEX('Калькуляция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(МИ)'!$AJ$25:$BC$315,,MATCH(AJ$8,'Калькуляция (МИ)'!$AJ$8:$BC$8,0)),'Калькуляция (МИ)'!$F$25:$F$315,$F97,'Калькуляция (МИ)'!$G$25:$G$315,$G97))))</f>
        <v>3499.105</v>
      </c>
      <c r="AK97" s="190">
        <f ca="1">IF(AND(method_reg="Метод индексации",god&lt;&gt;first_year),SUMIFS(INDEX('Калькуляция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(МИ)'!$AJ$25:$BC$315,,MATCH(AK$8,'Калькуляция (МИ)'!$AJ$8:$BC$8,0)),'Калькуляция (МИ)'!$F$25:$F$315,$F97,'Калькуляция (МИ)'!$G$25:$G$315,$G97))))</f>
        <v>3499.1053299999999</v>
      </c>
      <c r="AL97" s="713">
        <f ca="1">IF(AJ97=0,0,(AK97-AJ97)/AJ97*100)</f>
        <v>9.4309830613528649E-6</v>
      </c>
      <c r="AM97" s="190">
        <f ca="1">IF(AND(method_reg="Метод индексации",god&lt;&gt;first_year),SUMIFS(INDEX('Калькуляция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(МИ)'!$AJ$25:$BC$315,,MATCH(AM$8,'Калькуляция (МИ)'!$AJ$8:$BC$8,0)),'Калькуляция (МИ)'!$F$25:$F$315,$F97,'Калькуляция (МИ)'!$G$25:$G$315,$G97))))</f>
        <v>0</v>
      </c>
      <c r="AN97" s="190">
        <f ca="1">IF(AND(method_reg="Метод индексации",god&lt;&gt;first_year),SUMIFS(INDEX('Калькуляция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(МИ)'!$AJ$25:$BC$315,,MATCH(AN$8,'Калькуляция (МИ)'!$AJ$8:$BC$8,0)),'Калькуляция (МИ)'!$F$25:$F$315,$F97,'Калькуляция (МИ)'!$G$25:$G$315,$G97))))</f>
        <v>0</v>
      </c>
      <c r="AO97" s="713">
        <f ca="1">IF(AM97=0,0,(AN97-AM97)/AM97*100)</f>
        <v>0</v>
      </c>
      <c r="AP97" s="190">
        <f ca="1">IF(AND(method_reg="Метод индексации",god&lt;&gt;first_year),SUMIFS(INDEX('Калькуляция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(МИ)'!$AJ$25:$BC$315,,MATCH(AP$8,'Калькуляция (МИ)'!$AJ$8:$BC$8,0)),'Калькуляция (МИ)'!$F$25:$F$315,$F97,'Калькуляция (МИ)'!$G$25:$G$315,$G97))))</f>
        <v>0</v>
      </c>
      <c r="AQ97" s="190">
        <f ca="1">IF(AND(method_reg="Метод индексации",god&lt;&gt;first_year),SUMIFS(INDEX('Калькуляция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(МИ)'!$AJ$25:$BC$315,,MATCH(AQ$8,'Калькуляция (МИ)'!$AJ$8:$BC$8,0)),'Калькуляция (МИ)'!$F$25:$F$315,$F97,'Калькуляция (МИ)'!$G$25:$G$315,$G97))))</f>
        <v>0</v>
      </c>
      <c r="AR97" s="713">
        <f ca="1">IF(AP97=0,0,(AQ97-AP97)/AP97*100)</f>
        <v>0</v>
      </c>
      <c r="AS97" s="190">
        <f ca="1">IF(AND(method_reg="Метод индексации",god&lt;&gt;first_year),SUMIFS(INDEX('Калькуляция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(МИ)'!$AJ$25:$BC$315,,MATCH(AS$8,'Калькуляция (МИ)'!$AJ$8:$BC$8,0)),'Калькуляция (МИ)'!$F$25:$F$315,$F97,'Калькуляция (МИ)'!$G$25:$G$315,$G97))))</f>
        <v>0</v>
      </c>
      <c r="AT97" s="190">
        <f ca="1">IF(AND(method_reg="Метод индексации",god&lt;&gt;first_year),SUMIFS(INDEX('Калькуляция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(МИ)'!$AJ$25:$BC$315,,MATCH(AT$8,'Калькуляция (МИ)'!$AJ$8:$BC$8,0)),'Калькуляция (МИ)'!$F$25:$F$315,$F97,'Калькуляция (МИ)'!$G$25:$G$315,$G97))))</f>
        <v>0</v>
      </c>
      <c r="AU97" s="713">
        <f ca="1">IF(AS97=0,0,(AT97-AS97)/AS97*100)</f>
        <v>0</v>
      </c>
      <c r="AV97" s="190">
        <f ca="1">IF(AND(method_reg="Метод индексации",god&lt;&gt;first_year),SUMIFS(INDEX('Калькуляция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(МИ)'!$AJ$25:$BC$315,,MATCH(AV$8,'Калькуляция (МИ)'!$AJ$8:$BC$8,0)),'Калькуляция (МИ)'!$F$25:$F$315,$F97,'Калькуляция (МИ)'!$G$25:$G$315,$G97))))</f>
        <v>0</v>
      </c>
      <c r="AW97" s="190">
        <f ca="1">IF(AND(method_reg="Метод индексации",god&lt;&gt;first_year),SUMIFS(INDEX('Калькуляция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(МИ)'!$AJ$25:$BC$315,,MATCH(AW$8,'Калькуляция (МИ)'!$AJ$8:$BC$8,0)),'Калькуляция (МИ)'!$F$25:$F$315,$F97,'Калькуляция (МИ)'!$G$25:$G$315,$G97))))</f>
        <v>0</v>
      </c>
      <c r="AX97" s="713">
        <f ca="1">IF(AV97=0,0,(AW97-AV97)/AV97*100)</f>
        <v>0</v>
      </c>
      <c r="AY97" s="190">
        <f ca="1">IF(AND(method_reg="Метод индексации",god&lt;&gt;first_year),SUMIFS(INDEX('Калькуляция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(МИ)'!$AJ$25:$BC$315,,MATCH(AY$8,'Калькуляция (МИ)'!$AJ$8:$BC$8,0)),'Калькуляция (МИ)'!$F$25:$F$315,$F97,'Калькуляция (МИ)'!$G$25:$G$315,$G97))))</f>
        <v>0</v>
      </c>
      <c r="AZ97" s="190">
        <f ca="1">IF(AND(method_reg="Метод индексации",god&lt;&gt;first_year),SUMIFS(INDEX('Калькуляция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(МИ)'!$AJ$25:$BC$315,,MATCH(AZ$8,'Калькуляция (МИ)'!$AJ$8:$BC$8,0)),'Калькуляция (МИ)'!$F$25:$F$315,$F97,'Калькуляция (МИ)'!$G$25:$G$315,$G97))))</f>
        <v>0</v>
      </c>
      <c r="BA97" s="713">
        <f ca="1">IF(AY97=0,0,(AZ97-AY97)/AY97*100)</f>
        <v>0</v>
      </c>
      <c r="BB97" s="190">
        <f ca="1">IF(AND(method_reg="Метод индексации",god&lt;&gt;first_year),SUMIFS(INDEX('Калькуляция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(МИ)'!$AJ$25:$BC$315,,MATCH(BB$8,'Калькуляция (МИ)'!$AJ$8:$BC$8,0)),'Калькуляция (МИ)'!$F$25:$F$315,$F97,'Калькуляция (МИ)'!$G$25:$G$315,$G97))))</f>
        <v>0</v>
      </c>
      <c r="BC97" s="190">
        <f ca="1">IF(AND(method_reg="Метод индексации",god&lt;&gt;first_year),SUMIFS(INDEX('Калькуляция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(МИ)'!$AJ$25:$BC$315,,MATCH(BC$8,'Калькуляция (МИ)'!$AJ$8:$BC$8,0)),'Калькуляция (МИ)'!$F$25:$F$315,$F97,'Калькуляция (МИ)'!$G$25:$G$315,$G97))))</f>
        <v>0</v>
      </c>
      <c r="BD97" s="713">
        <f ca="1">IF(BB97=0,0,(BC97-BB97)/BB97*100)</f>
        <v>0</v>
      </c>
      <c r="BE97" s="190">
        <f ca="1">IF(AND(method_reg="Метод индексации",god&lt;&gt;first_year),SUMIFS(INDEX('Калькуляция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(МИ)'!$AJ$25:$BC$315,,MATCH(BE$8,'Калькуляция (МИ)'!$AJ$8:$BC$8,0)),'Калькуляция (МИ)'!$F$25:$F$315,$F97,'Калькуляция (МИ)'!$G$25:$G$315,$G97))))</f>
        <v>0</v>
      </c>
      <c r="BF97" s="190">
        <f ca="1">IF(AND(method_reg="Метод индексации",god&lt;&gt;first_year),SUMIFS(INDEX('Калькуляция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(МИ)'!$AJ$25:$BC$315,,MATCH(BF$8,'Калькуляция (МИ)'!$AJ$8:$BC$8,0)),'Калькуляция (МИ)'!$F$25:$F$315,$F97,'Калькуляция (МИ)'!$G$25:$G$315,$G97))))</f>
        <v>0</v>
      </c>
      <c r="BG97" s="713">
        <f ca="1">IF(BE97=0,0,(BF97-BE97)/BE97*100)</f>
        <v>0</v>
      </c>
      <c r="BH97" s="190"/>
      <c r="BI97" s="190"/>
      <c r="BJ97" s="713">
        <f>IF(BH97=0,0,(BI97-BH97)/BH97*100)</f>
        <v>0</v>
      </c>
      <c r="BK97" s="190"/>
      <c r="BL97" s="190"/>
      <c r="BM97" s="713">
        <f>IF(BK97=0,0,(BL97-BK97)/BK97*100)</f>
        <v>0</v>
      </c>
      <c r="BN97" s="190"/>
      <c r="BO97" s="190"/>
      <c r="BP97" s="713">
        <f>IF(BN97=0,0,(BO97-BN97)/BN97*100)</f>
        <v>0</v>
      </c>
      <c r="BQ97" s="190"/>
      <c r="BR97" s="190"/>
      <c r="BS97" s="713">
        <f>IF(BQ97=0,0,(BR97-BQ97)/BQ97*100)</f>
        <v>0</v>
      </c>
      <c r="BT97" s="190"/>
      <c r="BU97" s="190"/>
      <c r="BV97" s="713">
        <f>IF(BT97=0,0,(BU97-BT97)/BT97*100)</f>
        <v>0</v>
      </c>
      <c r="BW97" s="190"/>
      <c r="BX97" s="190"/>
      <c r="BY97" s="713">
        <f>IF(BW97=0,0,(BX97-BW97)/BW97*100)</f>
        <v>0</v>
      </c>
      <c r="BZ97" s="190"/>
      <c r="CA97" s="190"/>
      <c r="CB97" s="713">
        <f>IF(BZ97=0,0,(CA97-BZ97)/BZ97*100)</f>
        <v>0</v>
      </c>
      <c r="CC97" s="190"/>
      <c r="CD97" s="190"/>
      <c r="CE97" s="713">
        <f>IF(CC97=0,0,(CD97-CC97)/CC97*100)</f>
        <v>0</v>
      </c>
      <c r="CF97" s="190"/>
      <c r="CG97" s="190"/>
      <c r="CH97" s="713">
        <f>IF(CF97=0,0,(CG97-CF97)/CF97*100)</f>
        <v>0</v>
      </c>
      <c r="CI97" s="190"/>
      <c r="CJ97" s="190"/>
      <c r="CK97" s="713">
        <f>IF(CI97=0,0,(CJ97-CI97)/CI97*100)</f>
        <v>0</v>
      </c>
      <c r="CL97" s="190"/>
      <c r="CM97" s="190"/>
      <c r="CN97" s="713">
        <f>IF(CL97=0,0,(CM97-CL97)/CL97*100)</f>
        <v>0</v>
      </c>
      <c r="CO97" s="190"/>
      <c r="CP97" s="190"/>
      <c r="CQ97" s="713">
        <f>IF(CO97=0,0,(CP97-CO97)/CO97*100)</f>
        <v>0</v>
      </c>
      <c r="CR97" s="190"/>
      <c r="CS97" s="190"/>
      <c r="CT97" s="713">
        <f>IF(CR97=0,0,(CS97-CR97)/CR97*100)</f>
        <v>0</v>
      </c>
      <c r="CU97" s="190"/>
      <c r="CV97" s="190"/>
      <c r="CW97" s="713">
        <f>IF(CU97=0,0,(CV97-CU97)/CU97*100)</f>
        <v>0</v>
      </c>
      <c r="CX97" s="190"/>
      <c r="CY97" s="190"/>
      <c r="CZ97" s="713">
        <f>IF(CX97=0,0,(CY97-CX97)/CX97*100)</f>
        <v>0</v>
      </c>
      <c r="DA97" s="190"/>
      <c r="DB97" s="190"/>
      <c r="DC97" s="713">
        <f>IF(DA97=0,0,(DB97-DA97)/DA97*100)</f>
        <v>0</v>
      </c>
      <c r="DD97" s="190"/>
      <c r="DE97" s="190"/>
      <c r="DF97" s="713">
        <f>IF(DD97=0,0,(DE97-DD97)/DD97*100)</f>
        <v>0</v>
      </c>
      <c r="DG97" s="190"/>
      <c r="DH97" s="190"/>
      <c r="DI97" s="713">
        <f>IF(DG97=0,0,(DH97-DG97)/DG97*100)</f>
        <v>0</v>
      </c>
      <c r="DJ97" s="190"/>
      <c r="DK97" s="190"/>
      <c r="DL97" s="713">
        <f>IF(DJ97=0,0,(DK97-DJ97)/DJ97*100)</f>
        <v>0</v>
      </c>
      <c r="DM97" s="190"/>
      <c r="DN97" s="190"/>
      <c r="DO97" s="713">
        <f>IF(DM97=0,0,(DN97-DM97)/DM97*100)</f>
        <v>0</v>
      </c>
      <c r="DP97" s="190"/>
      <c r="DQ97" s="190"/>
      <c r="DR97" s="713">
        <f>IF(DP97=0,0,(DQ97-DP97)/DP97*100)</f>
        <v>0</v>
      </c>
      <c r="DS97" s="190"/>
      <c r="DT97" s="190"/>
      <c r="DU97" s="713">
        <f>IF(DS97=0,0,(DT97-DS97)/DS97*100)</f>
        <v>0</v>
      </c>
      <c r="DV97" s="190"/>
      <c r="DW97" s="190"/>
      <c r="DX97" s="713">
        <f>IF(DV97=0,0,(DW97-DV97)/DV97*100)</f>
        <v>0</v>
      </c>
      <c r="DY97" s="190"/>
      <c r="DZ97" s="190"/>
      <c r="EA97" s="713">
        <f>IF(DY97=0,0,(DZ97-DY97)/DY97*100)</f>
        <v>0</v>
      </c>
      <c r="EB97" s="190"/>
      <c r="EC97" s="190"/>
      <c r="ED97" s="713">
        <f>IF(EB97=0,0,(EC97-EB97)/EB97*100)</f>
        <v>0</v>
      </c>
      <c r="EE97" s="190"/>
      <c r="EF97" s="190"/>
      <c r="EG97" s="713">
        <f>IF(EE97=0,0,(EF97-EE97)/EE97*100)</f>
        <v>0</v>
      </c>
      <c r="EH97" s="190"/>
      <c r="EI97" s="190"/>
      <c r="EJ97" s="713">
        <f>IF(EH97=0,0,(EI97-EH97)/EH97*100)</f>
        <v>0</v>
      </c>
      <c r="EK97" s="190"/>
      <c r="EL97" s="190"/>
      <c r="EM97" s="713">
        <f>IF(EK97=0,0,(EL97-EK97)/EK97*100)</f>
        <v>0</v>
      </c>
      <c r="EN97" s="190"/>
      <c r="EO97" s="190"/>
      <c r="EP97" s="713">
        <f>IF(EN97=0,0,(EO97-EN97)/EN97*100)</f>
        <v>0</v>
      </c>
      <c r="EQ97" s="190"/>
      <c r="ER97" s="190"/>
      <c r="ES97" s="713">
        <f>IF(EQ97=0,0,(ER97-EQ97)/EQ97*100)</f>
        <v>0</v>
      </c>
      <c r="ET97" s="190"/>
      <c r="EU97" s="190"/>
      <c r="EV97" s="713">
        <f>IF(ET97=0,0,(EU97-ET97)/ET97*100)</f>
        <v>0</v>
      </c>
      <c r="EW97" s="190"/>
      <c r="EX97" s="190"/>
      <c r="EY97" s="713">
        <f>IF(EW97=0,0,(EX97-EW97)/EW97*100)</f>
        <v>0</v>
      </c>
      <c r="EZ97" s="190"/>
      <c r="FA97" s="190"/>
      <c r="FB97" s="713">
        <f>IF(EZ97=0,0,(FA97-EZ97)/EZ97*100)</f>
        <v>0</v>
      </c>
      <c r="FC97" s="190"/>
      <c r="FD97" s="190"/>
      <c r="FE97" s="713">
        <f>IF(FC97=0,0,(FD97-FC97)/FC97*100)</f>
        <v>0</v>
      </c>
      <c r="FF97" s="190"/>
      <c r="FG97" s="190"/>
      <c r="FH97" s="713">
        <f>IF(FF97=0,0,(FG97-FF97)/FF97*100)</f>
        <v>0</v>
      </c>
      <c r="FI97" s="190"/>
      <c r="FJ97" s="190"/>
      <c r="FK97" s="713">
        <f>IF(FI97=0,0,(FJ97-FI97)/FI97*100)</f>
        <v>0</v>
      </c>
      <c r="FL97" s="190"/>
      <c r="FM97" s="190"/>
      <c r="FN97" s="713">
        <f>IF(FL97=0,0,(FM97-FL97)/FL97*100)</f>
        <v>0</v>
      </c>
      <c r="FO97" s="190"/>
      <c r="FP97" s="190"/>
      <c r="FQ97" s="713">
        <f>IF(FO97=0,0,(FP97-FO97)/FO97*100)</f>
        <v>0</v>
      </c>
      <c r="FR97" s="190"/>
      <c r="FS97" s="190"/>
      <c r="FT97" s="713">
        <f>IF(FR97=0,0,(FS97-FR97)/FR97*100)</f>
        <v>0</v>
      </c>
      <c r="FU97" s="190"/>
      <c r="FV97" s="190"/>
      <c r="FW97" s="713">
        <f>IF(FU97=0,0,(FV97-FU97)/FU97*100)</f>
        <v>0</v>
      </c>
      <c r="FX97" s="203"/>
      <c r="FZ97" s="689" t="s">
        <v>1671</v>
      </c>
    </row>
    <row r="98" spans="1:186" ht="18" hidden="1" customHeight="1">
      <c r="A98" s="59"/>
      <c r="B98" s="611" t="b" cm="1">
        <f t="array" ref="B98">B97</f>
        <v>1</v>
      </c>
      <c r="C98" s="59"/>
      <c r="D98" s="59"/>
      <c r="E98" s="460">
        <v>18.75</v>
      </c>
      <c r="F98" s="3" t="str" cm="1">
        <f t="array" aca="1" ref="F98" ca="1">OFFSET(E98,-1,1)</f>
        <v>1</v>
      </c>
      <c r="G98" s="59"/>
      <c r="H98" s="59" t="s">
        <v>507</v>
      </c>
      <c r="I98" s="59" cm="1">
        <f t="array" ref="I98">AB98</f>
        <v>0</v>
      </c>
      <c r="J98" s="59"/>
      <c r="K98" s="59"/>
      <c r="L98" s="59"/>
      <c r="M98" s="59"/>
      <c r="N98" s="59"/>
      <c r="O98" s="59"/>
      <c r="P98" s="59"/>
      <c r="Q98" s="592"/>
      <c r="R98" s="59"/>
      <c r="S98" s="59"/>
      <c r="T98" s="351" t="b">
        <f ca="1">AND(F98&gt;0,Y98&gt;0)</f>
        <v>0</v>
      </c>
      <c r="U98" s="59"/>
      <c r="V98" s="59"/>
      <c r="W98" s="59" t="s">
        <v>171</v>
      </c>
      <c r="X98" s="1046"/>
      <c r="Y98" s="1046">
        <v>0</v>
      </c>
      <c r="Z98" s="1007"/>
      <c r="AA98" s="995" t="s">
        <v>172</v>
      </c>
      <c r="AB98" s="897"/>
      <c r="AC98" s="12" t="s">
        <v>1647</v>
      </c>
      <c r="AD98" s="817"/>
      <c r="AE98" s="898"/>
      <c r="AF98" s="712">
        <f>IF(AD98=0,0,(AE98-AD98)/AD98*100)</f>
        <v>0</v>
      </c>
      <c r="AG98" s="57"/>
      <c r="AH98" s="714"/>
      <c r="AI98" s="712">
        <f>IF(AG98=0,0,(AH98-AG98)/AG98*100)</f>
        <v>0</v>
      </c>
      <c r="AJ98" s="57"/>
      <c r="AK98" s="714"/>
      <c r="AL98" s="712">
        <f>IF(AJ98=0,0,(AK98-AJ98)/AJ98*100)</f>
        <v>0</v>
      </c>
      <c r="AM98" s="817"/>
      <c r="AN98" s="898"/>
      <c r="AO98" s="712">
        <f>IF(AM98=0,0,(AN98-AM98)/AM98*100)</f>
        <v>0</v>
      </c>
      <c r="AP98" s="817"/>
      <c r="AQ98" s="898"/>
      <c r="AR98" s="712">
        <f>IF(AP98=0,0,(AQ98-AP98)/AP98*100)</f>
        <v>0</v>
      </c>
      <c r="AS98" s="817"/>
      <c r="AT98" s="898"/>
      <c r="AU98" s="712">
        <f>IF(AS98=0,0,(AT98-AS98)/AS98*100)</f>
        <v>0</v>
      </c>
      <c r="AV98" s="817"/>
      <c r="AW98" s="898"/>
      <c r="AX98" s="712">
        <f>IF(AV98=0,0,(AW98-AV98)/AV98*100)</f>
        <v>0</v>
      </c>
      <c r="AY98" s="817"/>
      <c r="AZ98" s="898"/>
      <c r="BA98" s="712">
        <f>IF(AY98=0,0,(AZ98-AY98)/AY98*100)</f>
        <v>0</v>
      </c>
      <c r="BB98" s="817"/>
      <c r="BC98" s="898"/>
      <c r="BD98" s="712">
        <f>IF(BB98=0,0,(BC98-BB98)/BB98*100)</f>
        <v>0</v>
      </c>
      <c r="BE98" s="817"/>
      <c r="BF98" s="898"/>
      <c r="BG98" s="712">
        <f>IF(BE98=0,0,(BF98-BE98)/BE98*100)</f>
        <v>0</v>
      </c>
      <c r="BH98" s="817"/>
      <c r="BI98" s="898"/>
      <c r="BJ98" s="712">
        <f>IF(BH98=0,0,(BI98-BH98)/BH98*100)</f>
        <v>0</v>
      </c>
      <c r="BK98" s="817"/>
      <c r="BL98" s="898"/>
      <c r="BM98" s="712">
        <f>IF(BK98=0,0,(BL98-BK98)/BK98*100)</f>
        <v>0</v>
      </c>
      <c r="BN98" s="817"/>
      <c r="BO98" s="898"/>
      <c r="BP98" s="712">
        <f>IF(BN98=0,0,(BO98-BN98)/BN98*100)</f>
        <v>0</v>
      </c>
      <c r="BQ98" s="817"/>
      <c r="BR98" s="898"/>
      <c r="BS98" s="712">
        <f>IF(BQ98=0,0,(BR98-BQ98)/BQ98*100)</f>
        <v>0</v>
      </c>
      <c r="BT98" s="817"/>
      <c r="BU98" s="898"/>
      <c r="BV98" s="712">
        <f>IF(BT98=0,0,(BU98-BT98)/BT98*100)</f>
        <v>0</v>
      </c>
      <c r="BW98" s="817"/>
      <c r="BX98" s="898"/>
      <c r="BY98" s="712">
        <f>IF(BW98=0,0,(BX98-BW98)/BW98*100)</f>
        <v>0</v>
      </c>
      <c r="BZ98" s="817"/>
      <c r="CA98" s="898"/>
      <c r="CB98" s="712">
        <f>IF(BZ98=0,0,(CA98-BZ98)/BZ98*100)</f>
        <v>0</v>
      </c>
      <c r="CC98" s="817"/>
      <c r="CD98" s="898"/>
      <c r="CE98" s="712">
        <f>IF(CC98=0,0,(CD98-CC98)/CC98*100)</f>
        <v>0</v>
      </c>
      <c r="CF98" s="817"/>
      <c r="CG98" s="898"/>
      <c r="CH98" s="712">
        <f>IF(CF98=0,0,(CG98-CF98)/CF98*100)</f>
        <v>0</v>
      </c>
      <c r="CI98" s="817"/>
      <c r="CJ98" s="898"/>
      <c r="CK98" s="712">
        <f>IF(CI98=0,0,(CJ98-CI98)/CI98*100)</f>
        <v>0</v>
      </c>
      <c r="CL98" s="817"/>
      <c r="CM98" s="898"/>
      <c r="CN98" s="712">
        <f>IF(CL98=0,0,(CM98-CL98)/CL98*100)</f>
        <v>0</v>
      </c>
      <c r="CO98" s="817"/>
      <c r="CP98" s="898"/>
      <c r="CQ98" s="712">
        <f>IF(CO98=0,0,(CP98-CO98)/CO98*100)</f>
        <v>0</v>
      </c>
      <c r="CR98" s="817"/>
      <c r="CS98" s="898"/>
      <c r="CT98" s="712">
        <f>IF(CR98=0,0,(CS98-CR98)/CR98*100)</f>
        <v>0</v>
      </c>
      <c r="CU98" s="817"/>
      <c r="CV98" s="898"/>
      <c r="CW98" s="712">
        <f>IF(CU98=0,0,(CV98-CU98)/CU98*100)</f>
        <v>0</v>
      </c>
      <c r="CX98" s="817"/>
      <c r="CY98" s="898"/>
      <c r="CZ98" s="712">
        <f>IF(CX98=0,0,(CY98-CX98)/CX98*100)</f>
        <v>0</v>
      </c>
      <c r="DA98" s="817"/>
      <c r="DB98" s="898"/>
      <c r="DC98" s="712">
        <f>IF(DA98=0,0,(DB98-DA98)/DA98*100)</f>
        <v>0</v>
      </c>
      <c r="DD98" s="817"/>
      <c r="DE98" s="898"/>
      <c r="DF98" s="712">
        <f>IF(DD98=0,0,(DE98-DD98)/DD98*100)</f>
        <v>0</v>
      </c>
      <c r="DG98" s="817"/>
      <c r="DH98" s="898"/>
      <c r="DI98" s="712">
        <f>IF(DG98=0,0,(DH98-DG98)/DG98*100)</f>
        <v>0</v>
      </c>
      <c r="DJ98" s="817"/>
      <c r="DK98" s="898"/>
      <c r="DL98" s="712">
        <f>IF(DJ98=0,0,(DK98-DJ98)/DJ98*100)</f>
        <v>0</v>
      </c>
      <c r="DM98" s="817"/>
      <c r="DN98" s="898"/>
      <c r="DO98" s="712">
        <f>IF(DM98=0,0,(DN98-DM98)/DM98*100)</f>
        <v>0</v>
      </c>
      <c r="DP98" s="817"/>
      <c r="DQ98" s="898"/>
      <c r="DR98" s="712">
        <f>IF(DP98=0,0,(DQ98-DP98)/DP98*100)</f>
        <v>0</v>
      </c>
      <c r="DS98" s="817"/>
      <c r="DT98" s="898"/>
      <c r="DU98" s="712">
        <f>IF(DS98=0,0,(DT98-DS98)/DS98*100)</f>
        <v>0</v>
      </c>
      <c r="DV98" s="817"/>
      <c r="DW98" s="898"/>
      <c r="DX98" s="712">
        <f>IF(DV98=0,0,(DW98-DV98)/DV98*100)</f>
        <v>0</v>
      </c>
      <c r="DY98" s="817"/>
      <c r="DZ98" s="898"/>
      <c r="EA98" s="712">
        <f>IF(DY98=0,0,(DZ98-DY98)/DY98*100)</f>
        <v>0</v>
      </c>
      <c r="EB98" s="817"/>
      <c r="EC98" s="898"/>
      <c r="ED98" s="712">
        <f>IF(EB98=0,0,(EC98-EB98)/EB98*100)</f>
        <v>0</v>
      </c>
      <c r="EE98" s="817"/>
      <c r="EF98" s="898"/>
      <c r="EG98" s="712">
        <f>IF(EE98=0,0,(EF98-EE98)/EE98*100)</f>
        <v>0</v>
      </c>
      <c r="EH98" s="817"/>
      <c r="EI98" s="898"/>
      <c r="EJ98" s="712">
        <f>IF(EH98=0,0,(EI98-EH98)/EH98*100)</f>
        <v>0</v>
      </c>
      <c r="EK98" s="817"/>
      <c r="EL98" s="898"/>
      <c r="EM98" s="712">
        <f>IF(EK98=0,0,(EL98-EK98)/EK98*100)</f>
        <v>0</v>
      </c>
      <c r="EN98" s="817"/>
      <c r="EO98" s="898"/>
      <c r="EP98" s="712">
        <f>IF(EN98=0,0,(EO98-EN98)/EN98*100)</f>
        <v>0</v>
      </c>
      <c r="EQ98" s="817"/>
      <c r="ER98" s="898"/>
      <c r="ES98" s="712">
        <f>IF(EQ98=0,0,(ER98-EQ98)/EQ98*100)</f>
        <v>0</v>
      </c>
      <c r="ET98" s="817"/>
      <c r="EU98" s="898"/>
      <c r="EV98" s="712">
        <f>IF(ET98=0,0,(EU98-ET98)/ET98*100)</f>
        <v>0</v>
      </c>
      <c r="EW98" s="817"/>
      <c r="EX98" s="898"/>
      <c r="EY98" s="712">
        <f>IF(EW98=0,0,(EX98-EW98)/EW98*100)</f>
        <v>0</v>
      </c>
      <c r="EZ98" s="817"/>
      <c r="FA98" s="898"/>
      <c r="FB98" s="712">
        <f>IF(EZ98=0,0,(FA98-EZ98)/EZ98*100)</f>
        <v>0</v>
      </c>
      <c r="FC98" s="817"/>
      <c r="FD98" s="898"/>
      <c r="FE98" s="712">
        <f>IF(FC98=0,0,(FD98-FC98)/FC98*100)</f>
        <v>0</v>
      </c>
      <c r="FF98" s="817"/>
      <c r="FG98" s="898"/>
      <c r="FH98" s="712">
        <f>IF(FF98=0,0,(FG98-FF98)/FF98*100)</f>
        <v>0</v>
      </c>
      <c r="FI98" s="817"/>
      <c r="FJ98" s="898"/>
      <c r="FK98" s="712">
        <f>IF(FI98=0,0,(FJ98-FI98)/FI98*100)</f>
        <v>0</v>
      </c>
      <c r="FL98" s="817"/>
      <c r="FM98" s="898"/>
      <c r="FN98" s="712">
        <f>IF(FL98=0,0,(FM98-FL98)/FL98*100)</f>
        <v>0</v>
      </c>
      <c r="FO98" s="817"/>
      <c r="FP98" s="898"/>
      <c r="FQ98" s="712">
        <f>IF(FO98=0,0,(FP98-FO98)/FO98*100)</f>
        <v>0</v>
      </c>
      <c r="FR98" s="817"/>
      <c r="FS98" s="898"/>
      <c r="FT98" s="712">
        <f>IF(FR98=0,0,(FS98-FR98)/FR98*100)</f>
        <v>0</v>
      </c>
      <c r="FU98" s="817"/>
      <c r="FV98" s="898"/>
      <c r="FW98" s="712">
        <f>IF(FU98=0,0,(FV98-FU98)/FU98*100)</f>
        <v>0</v>
      </c>
      <c r="FX98" s="203"/>
      <c r="FZ98" s="689" t="s">
        <v>1672</v>
      </c>
      <c r="GA98" s="669" t="s">
        <v>1673</v>
      </c>
      <c r="GB98" s="669" cm="1">
        <f t="array" ref="GB98">AB98</f>
        <v>0</v>
      </c>
      <c r="GD98" s="459" t="b">
        <v>1</v>
      </c>
    </row>
    <row r="99" spans="1:186" ht="14.25" hidden="1" customHeight="1">
      <c r="A99" s="59"/>
      <c r="B99" s="611" t="b" cm="1">
        <f t="array" ref="B99">B98</f>
        <v>1</v>
      </c>
      <c r="C99" s="59"/>
      <c r="D99" s="59"/>
      <c r="E99" s="460">
        <v>15</v>
      </c>
      <c r="F99" s="3" t="str" cm="1">
        <f t="array" aca="1" ref="F99" ca="1">OFFSET(E99,-1,1)</f>
        <v>1</v>
      </c>
      <c r="G99" s="59"/>
      <c r="H99" s="59" t="s">
        <v>514</v>
      </c>
      <c r="I99" s="59" cm="1">
        <f t="array" ref="I99">I98</f>
        <v>0</v>
      </c>
      <c r="J99" s="59"/>
      <c r="K99" s="59"/>
      <c r="L99" s="59"/>
      <c r="M99" s="59"/>
      <c r="N99" s="59"/>
      <c r="O99" s="59"/>
      <c r="P99" s="59"/>
      <c r="Q99" s="592"/>
      <c r="R99" s="59"/>
      <c r="S99" s="59"/>
      <c r="T99" s="351" t="b" cm="1">
        <f t="array" aca="1" ref="T99" ca="1">T98</f>
        <v>0</v>
      </c>
      <c r="U99" s="59"/>
      <c r="V99" s="59"/>
      <c r="W99" s="59"/>
      <c r="X99" s="1046"/>
      <c r="Y99" s="1046"/>
      <c r="Z99" s="1007"/>
      <c r="AA99" s="995"/>
      <c r="AB99" s="54" t="s">
        <v>1674</v>
      </c>
      <c r="AC99" s="7" t="s">
        <v>585</v>
      </c>
      <c r="AD99" s="833"/>
      <c r="AE99" s="833"/>
      <c r="AF99" s="713">
        <f>IF(AD99=0,0,(AE99-AD99)/AD99*100)</f>
        <v>0</v>
      </c>
      <c r="AG99" s="190"/>
      <c r="AH99" s="190"/>
      <c r="AI99" s="713">
        <f>IF(AG99=0,0,(AH99-AG99)/AG99*100)</f>
        <v>0</v>
      </c>
      <c r="AJ99" s="190"/>
      <c r="AK99" s="190"/>
      <c r="AL99" s="713">
        <f>IF(AJ99=0,0,(AK99-AJ99)/AJ99*100)</f>
        <v>0</v>
      </c>
      <c r="AM99" s="833"/>
      <c r="AN99" s="833"/>
      <c r="AO99" s="713">
        <f>IF(AM99=0,0,(AN99-AM99)/AM99*100)</f>
        <v>0</v>
      </c>
      <c r="AP99" s="833"/>
      <c r="AQ99" s="833"/>
      <c r="AR99" s="713">
        <f>IF(AP99=0,0,(AQ99-AP99)/AP99*100)</f>
        <v>0</v>
      </c>
      <c r="AS99" s="833"/>
      <c r="AT99" s="833"/>
      <c r="AU99" s="713">
        <f>IF(AS99=0,0,(AT99-AS99)/AS99*100)</f>
        <v>0</v>
      </c>
      <c r="AV99" s="833"/>
      <c r="AW99" s="833"/>
      <c r="AX99" s="713">
        <f>IF(AV99=0,0,(AW99-AV99)/AV99*100)</f>
        <v>0</v>
      </c>
      <c r="AY99" s="833"/>
      <c r="AZ99" s="833"/>
      <c r="BA99" s="713">
        <f>IF(AY99=0,0,(AZ99-AY99)/AY99*100)</f>
        <v>0</v>
      </c>
      <c r="BB99" s="833"/>
      <c r="BC99" s="833"/>
      <c r="BD99" s="713">
        <f>IF(BB99=0,0,(BC99-BB99)/BB99*100)</f>
        <v>0</v>
      </c>
      <c r="BE99" s="833"/>
      <c r="BF99" s="833"/>
      <c r="BG99" s="713">
        <f>IF(BE99=0,0,(BF99-BE99)/BE99*100)</f>
        <v>0</v>
      </c>
      <c r="BH99" s="833"/>
      <c r="BI99" s="833"/>
      <c r="BJ99" s="713">
        <f>IF(BH99=0,0,(BI99-BH99)/BH99*100)</f>
        <v>0</v>
      </c>
      <c r="BK99" s="833"/>
      <c r="BL99" s="833"/>
      <c r="BM99" s="713">
        <f>IF(BK99=0,0,(BL99-BK99)/BK99*100)</f>
        <v>0</v>
      </c>
      <c r="BN99" s="833"/>
      <c r="BO99" s="833"/>
      <c r="BP99" s="713">
        <f>IF(BN99=0,0,(BO99-BN99)/BN99*100)</f>
        <v>0</v>
      </c>
      <c r="BQ99" s="833"/>
      <c r="BR99" s="833"/>
      <c r="BS99" s="713">
        <f>IF(BQ99=0,0,(BR99-BQ99)/BQ99*100)</f>
        <v>0</v>
      </c>
      <c r="BT99" s="833"/>
      <c r="BU99" s="833"/>
      <c r="BV99" s="713">
        <f>IF(BT99=0,0,(BU99-BT99)/BT99*100)</f>
        <v>0</v>
      </c>
      <c r="BW99" s="833"/>
      <c r="BX99" s="833"/>
      <c r="BY99" s="713">
        <f>IF(BW99=0,0,(BX99-BW99)/BW99*100)</f>
        <v>0</v>
      </c>
      <c r="BZ99" s="833"/>
      <c r="CA99" s="833"/>
      <c r="CB99" s="713">
        <f>IF(BZ99=0,0,(CA99-BZ99)/BZ99*100)</f>
        <v>0</v>
      </c>
      <c r="CC99" s="833"/>
      <c r="CD99" s="833"/>
      <c r="CE99" s="713">
        <f>IF(CC99=0,0,(CD99-CC99)/CC99*100)</f>
        <v>0</v>
      </c>
      <c r="CF99" s="833"/>
      <c r="CG99" s="833"/>
      <c r="CH99" s="713">
        <f>IF(CF99=0,0,(CG99-CF99)/CF99*100)</f>
        <v>0</v>
      </c>
      <c r="CI99" s="833"/>
      <c r="CJ99" s="833"/>
      <c r="CK99" s="713">
        <f>IF(CI99=0,0,(CJ99-CI99)/CI99*100)</f>
        <v>0</v>
      </c>
      <c r="CL99" s="833"/>
      <c r="CM99" s="833"/>
      <c r="CN99" s="713">
        <f>IF(CL99=0,0,(CM99-CL99)/CL99*100)</f>
        <v>0</v>
      </c>
      <c r="CO99" s="833"/>
      <c r="CP99" s="833"/>
      <c r="CQ99" s="713">
        <f>IF(CO99=0,0,(CP99-CO99)/CO99*100)</f>
        <v>0</v>
      </c>
      <c r="CR99" s="833"/>
      <c r="CS99" s="833"/>
      <c r="CT99" s="713">
        <f>IF(CR99=0,0,(CS99-CR99)/CR99*100)</f>
        <v>0</v>
      </c>
      <c r="CU99" s="833"/>
      <c r="CV99" s="833"/>
      <c r="CW99" s="713">
        <f>IF(CU99=0,0,(CV99-CU99)/CU99*100)</f>
        <v>0</v>
      </c>
      <c r="CX99" s="833"/>
      <c r="CY99" s="833"/>
      <c r="CZ99" s="713">
        <f>IF(CX99=0,0,(CY99-CX99)/CX99*100)</f>
        <v>0</v>
      </c>
      <c r="DA99" s="833"/>
      <c r="DB99" s="833"/>
      <c r="DC99" s="713">
        <f>IF(DA99=0,0,(DB99-DA99)/DA99*100)</f>
        <v>0</v>
      </c>
      <c r="DD99" s="833"/>
      <c r="DE99" s="833"/>
      <c r="DF99" s="713">
        <f>IF(DD99=0,0,(DE99-DD99)/DD99*100)</f>
        <v>0</v>
      </c>
      <c r="DG99" s="833"/>
      <c r="DH99" s="833"/>
      <c r="DI99" s="713">
        <f>IF(DG99=0,0,(DH99-DG99)/DG99*100)</f>
        <v>0</v>
      </c>
      <c r="DJ99" s="833"/>
      <c r="DK99" s="833"/>
      <c r="DL99" s="713">
        <f>IF(DJ99=0,0,(DK99-DJ99)/DJ99*100)</f>
        <v>0</v>
      </c>
      <c r="DM99" s="833"/>
      <c r="DN99" s="833"/>
      <c r="DO99" s="713">
        <f>IF(DM99=0,0,(DN99-DM99)/DM99*100)</f>
        <v>0</v>
      </c>
      <c r="DP99" s="833"/>
      <c r="DQ99" s="833"/>
      <c r="DR99" s="713">
        <f>IF(DP99=0,0,(DQ99-DP99)/DP99*100)</f>
        <v>0</v>
      </c>
      <c r="DS99" s="833"/>
      <c r="DT99" s="833"/>
      <c r="DU99" s="713">
        <f>IF(DS99=0,0,(DT99-DS99)/DS99*100)</f>
        <v>0</v>
      </c>
      <c r="DV99" s="833"/>
      <c r="DW99" s="833"/>
      <c r="DX99" s="713">
        <f>IF(DV99=0,0,(DW99-DV99)/DV99*100)</f>
        <v>0</v>
      </c>
      <c r="DY99" s="833"/>
      <c r="DZ99" s="833"/>
      <c r="EA99" s="713">
        <f>IF(DY99=0,0,(DZ99-DY99)/DY99*100)</f>
        <v>0</v>
      </c>
      <c r="EB99" s="833"/>
      <c r="EC99" s="833"/>
      <c r="ED99" s="713">
        <f>IF(EB99=0,0,(EC99-EB99)/EB99*100)</f>
        <v>0</v>
      </c>
      <c r="EE99" s="833"/>
      <c r="EF99" s="833"/>
      <c r="EG99" s="713">
        <f>IF(EE99=0,0,(EF99-EE99)/EE99*100)</f>
        <v>0</v>
      </c>
      <c r="EH99" s="833"/>
      <c r="EI99" s="833"/>
      <c r="EJ99" s="713">
        <f>IF(EH99=0,0,(EI99-EH99)/EH99*100)</f>
        <v>0</v>
      </c>
      <c r="EK99" s="833"/>
      <c r="EL99" s="833"/>
      <c r="EM99" s="713">
        <f>IF(EK99=0,0,(EL99-EK99)/EK99*100)</f>
        <v>0</v>
      </c>
      <c r="EN99" s="833"/>
      <c r="EO99" s="833"/>
      <c r="EP99" s="713">
        <f>IF(EN99=0,0,(EO99-EN99)/EN99*100)</f>
        <v>0</v>
      </c>
      <c r="EQ99" s="833"/>
      <c r="ER99" s="833"/>
      <c r="ES99" s="713">
        <f>IF(EQ99=0,0,(ER99-EQ99)/EQ99*100)</f>
        <v>0</v>
      </c>
      <c r="ET99" s="833"/>
      <c r="EU99" s="833"/>
      <c r="EV99" s="713">
        <f>IF(ET99=0,0,(EU99-ET99)/ET99*100)</f>
        <v>0</v>
      </c>
      <c r="EW99" s="833"/>
      <c r="EX99" s="833"/>
      <c r="EY99" s="713">
        <f>IF(EW99=0,0,(EX99-EW99)/EW99*100)</f>
        <v>0</v>
      </c>
      <c r="EZ99" s="833"/>
      <c r="FA99" s="833"/>
      <c r="FB99" s="713">
        <f>IF(EZ99=0,0,(FA99-EZ99)/EZ99*100)</f>
        <v>0</v>
      </c>
      <c r="FC99" s="833"/>
      <c r="FD99" s="833"/>
      <c r="FE99" s="713">
        <f>IF(FC99=0,0,(FD99-FC99)/FC99*100)</f>
        <v>0</v>
      </c>
      <c r="FF99" s="833"/>
      <c r="FG99" s="833"/>
      <c r="FH99" s="713">
        <f>IF(FF99=0,0,(FG99-FF99)/FF99*100)</f>
        <v>0</v>
      </c>
      <c r="FI99" s="833"/>
      <c r="FJ99" s="833"/>
      <c r="FK99" s="713">
        <f>IF(FI99=0,0,(FJ99-FI99)/FI99*100)</f>
        <v>0</v>
      </c>
      <c r="FL99" s="833"/>
      <c r="FM99" s="833"/>
      <c r="FN99" s="713">
        <f>IF(FL99=0,0,(FM99-FL99)/FL99*100)</f>
        <v>0</v>
      </c>
      <c r="FO99" s="833"/>
      <c r="FP99" s="833"/>
      <c r="FQ99" s="713">
        <f>IF(FO99=0,0,(FP99-FO99)/FO99*100)</f>
        <v>0</v>
      </c>
      <c r="FR99" s="833"/>
      <c r="FS99" s="833"/>
      <c r="FT99" s="713">
        <f>IF(FR99=0,0,(FS99-FR99)/FR99*100)</f>
        <v>0</v>
      </c>
      <c r="FU99" s="833"/>
      <c r="FV99" s="833"/>
      <c r="FW99" s="713">
        <f>IF(FU99=0,0,(FV99-FU99)/FU99*100)</f>
        <v>0</v>
      </c>
      <c r="FX99" s="203"/>
      <c r="FZ99" s="689" t="s">
        <v>1675</v>
      </c>
      <c r="GA99" s="669" t="s">
        <v>1673</v>
      </c>
      <c r="GB99" s="669" cm="1">
        <f t="array" ref="GB99">GB98</f>
        <v>0</v>
      </c>
    </row>
    <row r="100" spans="1:186" ht="14.25" customHeight="1">
      <c r="A100" s="59"/>
      <c r="B100" s="611" t="b" cm="1">
        <f t="array" ref="B100">B99</f>
        <v>1</v>
      </c>
      <c r="C100" s="59"/>
      <c r="D100" s="59"/>
      <c r="E100" s="460">
        <v>15</v>
      </c>
      <c r="F100" s="3" t="str" cm="1">
        <f t="array" aca="1" ref="F100" ca="1">OFFSET(E100,-1,1)</f>
        <v>1</v>
      </c>
      <c r="G100" s="59"/>
      <c r="H100" s="59"/>
      <c r="I100" s="17" t="s">
        <v>1676</v>
      </c>
      <c r="J100" s="59"/>
      <c r="K100" s="59"/>
      <c r="L100" s="59"/>
      <c r="M100" s="59"/>
      <c r="N100" s="59"/>
      <c r="O100" s="59"/>
      <c r="P100" s="59"/>
      <c r="Q100" s="59"/>
      <c r="R100" s="4"/>
      <c r="S100" s="59"/>
      <c r="T100" s="351" t="b">
        <f ca="1">F100&gt;0</f>
        <v>1</v>
      </c>
      <c r="U100" s="59"/>
      <c r="W100" s="515" t="s">
        <v>1677</v>
      </c>
      <c r="X100" s="1046"/>
      <c r="Z100" s="1007"/>
      <c r="AB100" s="171" t="s">
        <v>175</v>
      </c>
      <c r="AC100" s="175"/>
      <c r="AD100" s="715"/>
      <c r="AE100" s="715"/>
      <c r="AF100" s="715"/>
      <c r="AG100" s="715"/>
      <c r="AH100" s="715"/>
      <c r="AI100" s="715"/>
      <c r="AJ100" s="715"/>
      <c r="AK100" s="715"/>
      <c r="AL100" s="715"/>
      <c r="AM100" s="715"/>
      <c r="AN100" s="715"/>
      <c r="AO100" s="715"/>
      <c r="AP100" s="715"/>
      <c r="AQ100" s="715"/>
      <c r="AR100" s="715"/>
      <c r="AS100" s="715"/>
      <c r="AT100" s="715"/>
      <c r="AU100" s="715"/>
      <c r="AV100" s="715"/>
      <c r="AW100" s="715"/>
      <c r="AX100" s="715"/>
      <c r="AY100" s="715"/>
      <c r="AZ100" s="715"/>
      <c r="BA100" s="715"/>
      <c r="BB100" s="715"/>
      <c r="BC100" s="715"/>
      <c r="BD100" s="715"/>
      <c r="BE100" s="715"/>
      <c r="BF100" s="715"/>
      <c r="BG100" s="715"/>
      <c r="BH100" s="715"/>
      <c r="BI100" s="715"/>
      <c r="BJ100" s="715"/>
      <c r="BK100" s="715"/>
      <c r="BL100" s="715"/>
      <c r="BM100" s="715"/>
      <c r="BN100" s="715"/>
      <c r="BO100" s="715"/>
      <c r="BP100" s="715"/>
      <c r="BQ100" s="715"/>
      <c r="BR100" s="715"/>
      <c r="BS100" s="715"/>
      <c r="BT100" s="715"/>
      <c r="BU100" s="715"/>
      <c r="BV100" s="715"/>
      <c r="BW100" s="715"/>
      <c r="BX100" s="715"/>
      <c r="BY100" s="715"/>
      <c r="BZ100" s="715"/>
      <c r="CA100" s="715"/>
      <c r="CB100" s="715"/>
      <c r="CC100" s="715"/>
      <c r="CD100" s="715"/>
      <c r="CE100" s="715"/>
      <c r="CF100" s="715"/>
      <c r="CG100" s="715"/>
      <c r="CH100" s="715"/>
      <c r="CI100" s="715"/>
      <c r="CJ100" s="715"/>
      <c r="CK100" s="715"/>
      <c r="CL100" s="715"/>
      <c r="CM100" s="715"/>
      <c r="CN100" s="715"/>
      <c r="CO100" s="715"/>
      <c r="CP100" s="715"/>
      <c r="CQ100" s="715"/>
      <c r="CR100" s="715"/>
      <c r="CS100" s="715"/>
      <c r="CT100" s="715"/>
      <c r="CU100" s="715"/>
      <c r="CV100" s="715"/>
      <c r="CW100" s="715"/>
      <c r="CX100" s="715"/>
      <c r="CY100" s="715"/>
      <c r="CZ100" s="715"/>
      <c r="DA100" s="715"/>
      <c r="DB100" s="715"/>
      <c r="DC100" s="715"/>
      <c r="DD100" s="715"/>
      <c r="DE100" s="715"/>
      <c r="DF100" s="715"/>
      <c r="DG100" s="715"/>
      <c r="DH100" s="715"/>
      <c r="DI100" s="715"/>
      <c r="DJ100" s="715"/>
      <c r="DK100" s="715"/>
      <c r="DL100" s="715"/>
      <c r="DM100" s="715"/>
      <c r="DN100" s="715"/>
      <c r="DO100" s="715"/>
      <c r="DP100" s="715"/>
      <c r="DQ100" s="715"/>
      <c r="DR100" s="715"/>
      <c r="DS100" s="715"/>
      <c r="DT100" s="715"/>
      <c r="DU100" s="715"/>
      <c r="DV100" s="715"/>
      <c r="DW100" s="715"/>
      <c r="DX100" s="715"/>
      <c r="DY100" s="715"/>
      <c r="DZ100" s="715"/>
      <c r="EA100" s="715"/>
      <c r="EB100" s="715"/>
      <c r="EC100" s="715"/>
      <c r="ED100" s="715"/>
      <c r="EE100" s="715"/>
      <c r="EF100" s="715"/>
      <c r="EG100" s="715"/>
      <c r="EH100" s="715"/>
      <c r="EI100" s="715"/>
      <c r="EJ100" s="715"/>
      <c r="EK100" s="715"/>
      <c r="EL100" s="715"/>
      <c r="EM100" s="715"/>
      <c r="EN100" s="715"/>
      <c r="EO100" s="715"/>
      <c r="EP100" s="715"/>
      <c r="EQ100" s="715"/>
      <c r="ER100" s="715"/>
      <c r="ES100" s="715"/>
      <c r="ET100" s="715"/>
      <c r="EU100" s="715"/>
      <c r="EV100" s="715"/>
      <c r="EW100" s="715"/>
      <c r="EX100" s="715"/>
      <c r="EY100" s="715"/>
      <c r="EZ100" s="715"/>
      <c r="FA100" s="715"/>
      <c r="FB100" s="715"/>
      <c r="FC100" s="715"/>
      <c r="FD100" s="715"/>
      <c r="FE100" s="715"/>
      <c r="FF100" s="715"/>
      <c r="FG100" s="715"/>
      <c r="FH100" s="715"/>
      <c r="FI100" s="715"/>
      <c r="FJ100" s="715"/>
      <c r="FK100" s="715"/>
      <c r="FL100" s="715"/>
      <c r="FM100" s="715"/>
      <c r="FN100" s="715"/>
      <c r="FO100" s="715"/>
      <c r="FP100" s="715"/>
      <c r="FQ100" s="715"/>
      <c r="FR100" s="715"/>
      <c r="FS100" s="715"/>
      <c r="FT100" s="715"/>
      <c r="FU100" s="715"/>
      <c r="FV100" s="715"/>
      <c r="FW100" s="716"/>
      <c r="FZ100" s="689" t="s">
        <v>124</v>
      </c>
      <c r="GC100" s="459" t="s">
        <v>1673</v>
      </c>
    </row>
    <row r="101" spans="1:186" ht="14.25" hidden="1" customHeight="1">
      <c r="A101" s="59"/>
      <c r="B101" s="611" t="b">
        <f>AND(R85="двухставочный",NOT(S85))</f>
        <v>0</v>
      </c>
      <c r="C101" s="59"/>
      <c r="D101" s="59"/>
      <c r="E101" s="460">
        <v>15</v>
      </c>
      <c r="F101" s="3" t="str" cm="1">
        <f t="array" aca="1" ref="F101" ca="1">OFFSET(E101,-1,1)</f>
        <v>1</v>
      </c>
      <c r="G101" s="59"/>
      <c r="H101" s="59"/>
      <c r="I101" s="59"/>
      <c r="J101" s="59"/>
      <c r="K101" s="59"/>
      <c r="L101" s="59"/>
      <c r="M101" s="59"/>
      <c r="N101" s="59"/>
      <c r="O101" s="59"/>
      <c r="P101" s="59"/>
      <c r="Q101" s="59"/>
      <c r="R101" s="4"/>
      <c r="S101" s="59"/>
      <c r="T101" s="351" t="b" cm="1">
        <f t="array" aca="1" ref="T101" ca="1">T100</f>
        <v>1</v>
      </c>
      <c r="U101" s="59"/>
      <c r="V101" s="59"/>
      <c r="W101" s="59"/>
      <c r="X101" s="1046"/>
      <c r="Y101" s="59"/>
      <c r="Z101" s="1007"/>
      <c r="AA101" s="59"/>
      <c r="AB101" s="590" t="s">
        <v>1678</v>
      </c>
      <c r="AC101" s="591"/>
      <c r="AD101" s="201"/>
      <c r="AE101" s="201"/>
      <c r="AF101" s="201"/>
      <c r="AG101" s="201"/>
      <c r="AH101" s="201"/>
      <c r="AI101" s="201"/>
      <c r="AJ101" s="201"/>
      <c r="AK101" s="201"/>
      <c r="AL101" s="201"/>
      <c r="AM101" s="201"/>
      <c r="AN101" s="201"/>
      <c r="AO101" s="201"/>
      <c r="AP101" s="201"/>
      <c r="AQ101" s="201"/>
      <c r="AR101" s="201"/>
      <c r="AS101" s="201"/>
      <c r="AT101" s="201"/>
      <c r="AU101" s="201"/>
      <c r="AV101" s="201"/>
      <c r="AW101" s="201"/>
      <c r="AX101" s="201"/>
      <c r="AY101" s="201"/>
      <c r="AZ101" s="201"/>
      <c r="BA101" s="201"/>
      <c r="BB101" s="201"/>
      <c r="BC101" s="201"/>
      <c r="BD101" s="201"/>
      <c r="BE101" s="201"/>
      <c r="BF101" s="201"/>
      <c r="BG101" s="201"/>
      <c r="BH101" s="201"/>
      <c r="BI101" s="201"/>
      <c r="BJ101" s="201"/>
      <c r="BK101" s="201"/>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c r="EX101" s="201"/>
      <c r="EY101" s="201"/>
      <c r="EZ101" s="201"/>
      <c r="FA101" s="201"/>
      <c r="FB101" s="201"/>
      <c r="FC101" s="201"/>
      <c r="FD101" s="201"/>
      <c r="FE101" s="201"/>
      <c r="FF101" s="201"/>
      <c r="FG101" s="201"/>
      <c r="FH101" s="201"/>
      <c r="FI101" s="201"/>
      <c r="FJ101" s="201"/>
      <c r="FK101" s="201"/>
      <c r="FL101" s="201"/>
      <c r="FM101" s="201"/>
      <c r="FN101" s="201"/>
      <c r="FO101" s="201"/>
      <c r="FP101" s="201"/>
      <c r="FQ101" s="201"/>
      <c r="FR101" s="201"/>
      <c r="FS101" s="201"/>
      <c r="FT101" s="201"/>
      <c r="FU101" s="201"/>
      <c r="FV101" s="201"/>
      <c r="FW101" s="202"/>
      <c r="FZ101" s="689" t="s">
        <v>124</v>
      </c>
    </row>
    <row r="102" spans="1:186" ht="23.25" hidden="1" customHeight="1">
      <c r="A102" s="59"/>
      <c r="B102" s="611" t="b" cm="1">
        <f t="array" ref="B102">B101</f>
        <v>0</v>
      </c>
      <c r="C102" s="59"/>
      <c r="D102" s="59"/>
      <c r="E102" s="460">
        <v>24.5</v>
      </c>
      <c r="F102" s="3" t="str" cm="1">
        <f t="array" aca="1" ref="F102" ca="1">OFFSET(E102,-1,1)</f>
        <v>1</v>
      </c>
      <c r="G102" s="59"/>
      <c r="H102" s="59"/>
      <c r="I102" s="59"/>
      <c r="J102" s="59"/>
      <c r="K102" s="59"/>
      <c r="L102" s="59"/>
      <c r="M102" s="59"/>
      <c r="N102" s="59"/>
      <c r="O102" s="59"/>
      <c r="P102" s="59"/>
      <c r="Q102" s="59"/>
      <c r="R102" s="59"/>
      <c r="S102" s="59"/>
      <c r="T102" s="351" t="b" cm="1">
        <f t="array" aca="1" ref="T102" ca="1">T101</f>
        <v>1</v>
      </c>
      <c r="U102" s="59"/>
      <c r="V102" s="59"/>
      <c r="W102" s="59"/>
      <c r="X102" s="1046"/>
      <c r="Y102" s="59"/>
      <c r="Z102" s="1007"/>
      <c r="AA102" s="59"/>
      <c r="AB102" s="204" t="s">
        <v>1679</v>
      </c>
      <c r="AC102" s="595"/>
      <c r="AD102" s="717"/>
      <c r="AE102" s="717"/>
      <c r="AF102" s="717"/>
      <c r="AG102" s="717"/>
      <c r="AH102" s="717"/>
      <c r="AI102" s="717"/>
      <c r="AJ102" s="717"/>
      <c r="AK102" s="717"/>
      <c r="AL102" s="717"/>
      <c r="AM102" s="717"/>
      <c r="AN102" s="717"/>
      <c r="AO102" s="717"/>
      <c r="AP102" s="717"/>
      <c r="AQ102" s="717"/>
      <c r="AR102" s="717"/>
      <c r="AS102" s="717"/>
      <c r="AT102" s="717"/>
      <c r="AU102" s="717"/>
      <c r="AV102" s="717"/>
      <c r="AW102" s="717"/>
      <c r="AX102" s="717"/>
      <c r="AY102" s="717"/>
      <c r="AZ102" s="717"/>
      <c r="BA102" s="717"/>
      <c r="BB102" s="717"/>
      <c r="BC102" s="717"/>
      <c r="BD102" s="717"/>
      <c r="BE102" s="717"/>
      <c r="BF102" s="717"/>
      <c r="BG102" s="717"/>
      <c r="BH102" s="717"/>
      <c r="BI102" s="717"/>
      <c r="BJ102" s="717"/>
      <c r="BK102" s="717"/>
      <c r="BL102" s="717"/>
      <c r="BM102" s="717"/>
      <c r="BN102" s="717"/>
      <c r="BO102" s="717"/>
      <c r="BP102" s="717"/>
      <c r="BQ102" s="717"/>
      <c r="BR102" s="717"/>
      <c r="BS102" s="717"/>
      <c r="BT102" s="717"/>
      <c r="BU102" s="717"/>
      <c r="BV102" s="717"/>
      <c r="BW102" s="717"/>
      <c r="BX102" s="717"/>
      <c r="BY102" s="717"/>
      <c r="BZ102" s="717"/>
      <c r="CA102" s="717"/>
      <c r="CB102" s="717"/>
      <c r="CC102" s="717"/>
      <c r="CD102" s="717"/>
      <c r="CE102" s="717"/>
      <c r="CF102" s="717"/>
      <c r="CG102" s="717"/>
      <c r="CH102" s="717"/>
      <c r="CI102" s="717"/>
      <c r="CJ102" s="717"/>
      <c r="CK102" s="717"/>
      <c r="CL102" s="717"/>
      <c r="CM102" s="717"/>
      <c r="CN102" s="717"/>
      <c r="CO102" s="717"/>
      <c r="CP102" s="717"/>
      <c r="CQ102" s="717"/>
      <c r="CR102" s="717"/>
      <c r="CS102" s="717"/>
      <c r="CT102" s="717"/>
      <c r="CU102" s="717"/>
      <c r="CV102" s="717"/>
      <c r="CW102" s="717"/>
      <c r="CX102" s="717"/>
      <c r="CY102" s="717"/>
      <c r="CZ102" s="717"/>
      <c r="DA102" s="717"/>
      <c r="DB102" s="717"/>
      <c r="DC102" s="717"/>
      <c r="DD102" s="717"/>
      <c r="DE102" s="717"/>
      <c r="DF102" s="717"/>
      <c r="DG102" s="717"/>
      <c r="DH102" s="717"/>
      <c r="DI102" s="717"/>
      <c r="DJ102" s="717"/>
      <c r="DK102" s="717"/>
      <c r="DL102" s="717"/>
      <c r="DM102" s="717"/>
      <c r="DN102" s="717"/>
      <c r="DO102" s="717"/>
      <c r="DP102" s="717"/>
      <c r="DQ102" s="717"/>
      <c r="DR102" s="717"/>
      <c r="DS102" s="717"/>
      <c r="DT102" s="717"/>
      <c r="DU102" s="717"/>
      <c r="DV102" s="717"/>
      <c r="DW102" s="717"/>
      <c r="DX102" s="717"/>
      <c r="DY102" s="717"/>
      <c r="DZ102" s="717"/>
      <c r="EA102" s="717"/>
      <c r="EB102" s="717"/>
      <c r="EC102" s="717"/>
      <c r="ED102" s="717"/>
      <c r="EE102" s="717"/>
      <c r="EF102" s="717"/>
      <c r="EG102" s="717"/>
      <c r="EH102" s="717"/>
      <c r="EI102" s="717"/>
      <c r="EJ102" s="717"/>
      <c r="EK102" s="717"/>
      <c r="EL102" s="717"/>
      <c r="EM102" s="717"/>
      <c r="EN102" s="717"/>
      <c r="EO102" s="717"/>
      <c r="EP102" s="717"/>
      <c r="EQ102" s="717"/>
      <c r="ER102" s="717"/>
      <c r="ES102" s="717"/>
      <c r="ET102" s="717"/>
      <c r="EU102" s="717"/>
      <c r="EV102" s="717"/>
      <c r="EW102" s="717"/>
      <c r="EX102" s="717"/>
      <c r="EY102" s="717"/>
      <c r="EZ102" s="717"/>
      <c r="FA102" s="717"/>
      <c r="FB102" s="717"/>
      <c r="FC102" s="717"/>
      <c r="FD102" s="717"/>
      <c r="FE102" s="717"/>
      <c r="FF102" s="717"/>
      <c r="FG102" s="717"/>
      <c r="FH102" s="717"/>
      <c r="FI102" s="717"/>
      <c r="FJ102" s="717"/>
      <c r="FK102" s="717"/>
      <c r="FL102" s="717"/>
      <c r="FM102" s="717"/>
      <c r="FN102" s="717"/>
      <c r="FO102" s="717"/>
      <c r="FP102" s="717"/>
      <c r="FQ102" s="717"/>
      <c r="FR102" s="717"/>
      <c r="FS102" s="717"/>
      <c r="FT102" s="717"/>
      <c r="FU102" s="717"/>
      <c r="FV102" s="717"/>
      <c r="FW102" s="718"/>
      <c r="FZ102" s="689" t="s">
        <v>124</v>
      </c>
    </row>
    <row r="103" spans="1:186" ht="14.25" hidden="1" customHeight="1">
      <c r="A103" s="59"/>
      <c r="B103" s="611" t="b" cm="1">
        <f t="array" ref="B103">B102</f>
        <v>0</v>
      </c>
      <c r="C103" s="59"/>
      <c r="D103" s="59"/>
      <c r="E103" s="460">
        <v>15</v>
      </c>
      <c r="F103" s="3" t="str" cm="1">
        <f t="array" aca="1" ref="F103" ca="1">OFFSET(E103,-1,1)</f>
        <v>1</v>
      </c>
      <c r="G103" s="59"/>
      <c r="H103" s="59" t="s">
        <v>1604</v>
      </c>
      <c r="I103" s="59" t="s">
        <v>1645</v>
      </c>
      <c r="J103" s="59"/>
      <c r="K103" s="59"/>
      <c r="L103" s="59"/>
      <c r="M103" s="59"/>
      <c r="N103" s="59"/>
      <c r="O103" s="59"/>
      <c r="P103" s="59"/>
      <c r="Q103" s="59"/>
      <c r="R103" s="59"/>
      <c r="S103" s="59"/>
      <c r="T103" s="351" t="b" cm="1">
        <f t="array" aca="1" ref="T103" ca="1">T102</f>
        <v>1</v>
      </c>
      <c r="U103" s="59"/>
      <c r="V103" s="59"/>
      <c r="W103" s="59"/>
      <c r="X103" s="1046"/>
      <c r="Y103" s="59"/>
      <c r="Z103" s="1007"/>
      <c r="AA103" s="59"/>
      <c r="AB103" s="105" t="s">
        <v>1680</v>
      </c>
      <c r="AC103" s="12" t="s">
        <v>1647</v>
      </c>
      <c r="AD103" s="817">
        <f ca="1">IF(AD105=0,0,(AD104*AD105+AD106*AD107*IF(god=2026,9,6))/AD105)</f>
        <v>0</v>
      </c>
      <c r="AE103" s="817">
        <f ca="1">IF(AE105=0,0,(AE104*AE105+AE106*AE107*IF(god=2026,9,6))/AE105)</f>
        <v>0</v>
      </c>
      <c r="AF103" s="712">
        <f ca="1">IF(AD103=0,0,(AE103-AD103)/AD103*100)</f>
        <v>0</v>
      </c>
      <c r="AG103" s="57">
        <f ca="1">IF(AG105=0,0,(AG104*AG105+AG106*AG107*IF(god=2025,9,6))/AG105)</f>
        <v>0</v>
      </c>
      <c r="AH103" s="57">
        <f ca="1">IF(AH105=0,0,(AH104*AH105+AH106*AH107*IF(god=2025,9,6))/AH105)</f>
        <v>0</v>
      </c>
      <c r="AI103" s="712">
        <f ca="1">IF(AG103=0,0,(AH103-AG103)/AG103*100)</f>
        <v>0</v>
      </c>
      <c r="AJ103" s="57">
        <f ca="1">IF(AJ105=0,0,(AJ104*AJ105+AJ106*AJ107*6)/AJ105)</f>
        <v>0</v>
      </c>
      <c r="AK103" s="57">
        <f ca="1">IF(AK105=0,0,(AK104*AK105+AK106*AK107*6)/AK105)</f>
        <v>0</v>
      </c>
      <c r="AL103" s="712">
        <f ca="1">IF(AJ103=0,0,(AK103-AJ103)/AJ103*100)</f>
        <v>0</v>
      </c>
      <c r="AM103" s="817">
        <f ca="1">IF(AM105=0,0,(AM104*AM105+AM106*AM107*6)/AM105)</f>
        <v>0</v>
      </c>
      <c r="AN103" s="817">
        <f ca="1">IF(AN105=0,0,(AN104*AN105+AN106*AN107*6)/AN105)</f>
        <v>0</v>
      </c>
      <c r="AO103" s="712">
        <f ca="1">IF(AM103=0,0,(AN103-AM103)/AM103*100)</f>
        <v>0</v>
      </c>
      <c r="AP103" s="817">
        <f ca="1">IF(AP105=0,0,(AP104*AP105+AP106*AP107*6)/AP105)</f>
        <v>0</v>
      </c>
      <c r="AQ103" s="817">
        <f ca="1">IF(AQ105=0,0,(AQ104*AQ105+AQ106*AQ107*6)/AQ105)</f>
        <v>0</v>
      </c>
      <c r="AR103" s="712">
        <f ca="1">IF(AP103=0,0,(AQ103-AP103)/AP103*100)</f>
        <v>0</v>
      </c>
      <c r="AS103" s="817">
        <f ca="1">IF(AS105=0,0,(AS104*AS105+AS106*AS107*6)/AS105)</f>
        <v>0</v>
      </c>
      <c r="AT103" s="817">
        <f ca="1">IF(AT105=0,0,(AT104*AT105+AT106*AT107*6)/AT105)</f>
        <v>0</v>
      </c>
      <c r="AU103" s="712">
        <f ca="1">IF(AS103=0,0,(AT103-AS103)/AS103*100)</f>
        <v>0</v>
      </c>
      <c r="AV103" s="817">
        <f ca="1">IF(AV105=0,0,(AV104*AV105+AV106*AV107*6)/AV105)</f>
        <v>0</v>
      </c>
      <c r="AW103" s="817">
        <f ca="1">IF(AW105=0,0,(AW104*AW105+AW106*AW107*6)/AW105)</f>
        <v>0</v>
      </c>
      <c r="AX103" s="712">
        <f ca="1">IF(AV103=0,0,(AW103-AV103)/AV103*100)</f>
        <v>0</v>
      </c>
      <c r="AY103" s="817">
        <f ca="1">IF(AY105=0,0,(AY104*AY105+AY106*AY107*6)/AY105)</f>
        <v>0</v>
      </c>
      <c r="AZ103" s="817">
        <f ca="1">IF(AZ105=0,0,(AZ104*AZ105+AZ106*AZ107*6)/AZ105)</f>
        <v>0</v>
      </c>
      <c r="BA103" s="712">
        <f ca="1">IF(AY103=0,0,(AZ103-AY103)/AY103*100)</f>
        <v>0</v>
      </c>
      <c r="BB103" s="817">
        <f ca="1">IF(BB105=0,0,(BB104*BB105+BB106*BB107*6)/BB105)</f>
        <v>0</v>
      </c>
      <c r="BC103" s="817">
        <f ca="1">IF(BC105=0,0,(BC104*BC105+BC106*BC107*6)/BC105)</f>
        <v>0</v>
      </c>
      <c r="BD103" s="712">
        <f ca="1">IF(BB103=0,0,(BC103-BB103)/BB103*100)</f>
        <v>0</v>
      </c>
      <c r="BE103" s="817">
        <f ca="1">IF(BE105=0,0,(BE104*BE105+BE106*BE107*6)/BE105)</f>
        <v>0</v>
      </c>
      <c r="BF103" s="817">
        <f ca="1">IF(BF105=0,0,(BF104*BF105+BF106*BF107*6)/BF105)</f>
        <v>0</v>
      </c>
      <c r="BG103" s="712">
        <f ca="1">IF(BE103=0,0,(BF103-BE103)/BE103*100)</f>
        <v>0</v>
      </c>
      <c r="BH103" s="817">
        <f>IF(BH105=0,0,(BH104*BH105+BH106*BH107*6)/BH105)</f>
        <v>0</v>
      </c>
      <c r="BI103" s="817">
        <f>IF(BI105=0,0,(BI104*BI105+BI106*BI107*6)/BI105)</f>
        <v>0</v>
      </c>
      <c r="BJ103" s="712">
        <f>IF(BH103=0,0,(BI103-BH103)/BH103*100)</f>
        <v>0</v>
      </c>
      <c r="BK103" s="817">
        <f>IF(BK105=0,0,(BK104*BK105+BK106*BK107*6)/BK105)</f>
        <v>0</v>
      </c>
      <c r="BL103" s="817">
        <f>IF(BL105=0,0,(BL104*BL105+BL106*BL107*6)/BL105)</f>
        <v>0</v>
      </c>
      <c r="BM103" s="712">
        <f>IF(BK103=0,0,(BL103-BK103)/BK103*100)</f>
        <v>0</v>
      </c>
      <c r="BN103" s="817">
        <f>IF(BN105=0,0,(BN104*BN105+BN106*BN107*6)/BN105)</f>
        <v>0</v>
      </c>
      <c r="BO103" s="817">
        <f>IF(BO105=0,0,(BO104*BO105+BO106*BO107*6)/BO105)</f>
        <v>0</v>
      </c>
      <c r="BP103" s="712">
        <f>IF(BN103=0,0,(BO103-BN103)/BN103*100)</f>
        <v>0</v>
      </c>
      <c r="BQ103" s="817">
        <f>IF(BQ105=0,0,(BQ104*BQ105+BQ106*BQ107*6)/BQ105)</f>
        <v>0</v>
      </c>
      <c r="BR103" s="817">
        <f>IF(BR105=0,0,(BR104*BR105+BR106*BR107*6)/BR105)</f>
        <v>0</v>
      </c>
      <c r="BS103" s="712">
        <f>IF(BQ103=0,0,(BR103-BQ103)/BQ103*100)</f>
        <v>0</v>
      </c>
      <c r="BT103" s="817">
        <f>IF(BT105=0,0,(BT104*BT105+BT106*BT107*6)/BT105)</f>
        <v>0</v>
      </c>
      <c r="BU103" s="817">
        <f>IF(BU105=0,0,(BU104*BU105+BU106*BU107*6)/BU105)</f>
        <v>0</v>
      </c>
      <c r="BV103" s="712">
        <f>IF(BT103=0,0,(BU103-BT103)/BT103*100)</f>
        <v>0</v>
      </c>
      <c r="BW103" s="817">
        <f>IF(BW105=0,0,(BW104*BW105+BW106*BW107*6)/BW105)</f>
        <v>0</v>
      </c>
      <c r="BX103" s="817">
        <f>IF(BX105=0,0,(BX104*BX105+BX106*BX107*6)/BX105)</f>
        <v>0</v>
      </c>
      <c r="BY103" s="712">
        <f>IF(BW103=0,0,(BX103-BW103)/BW103*100)</f>
        <v>0</v>
      </c>
      <c r="BZ103" s="817">
        <f>IF(BZ105=0,0,(BZ104*BZ105+BZ106*BZ107*6)/BZ105)</f>
        <v>0</v>
      </c>
      <c r="CA103" s="817">
        <f>IF(CA105=0,0,(CA104*CA105+CA106*CA107*6)/CA105)</f>
        <v>0</v>
      </c>
      <c r="CB103" s="712">
        <f>IF(BZ103=0,0,(CA103-BZ103)/BZ103*100)</f>
        <v>0</v>
      </c>
      <c r="CC103" s="817">
        <f>IF(CC105=0,0,(CC104*CC105+CC106*CC107*6)/CC105)</f>
        <v>0</v>
      </c>
      <c r="CD103" s="817">
        <f>IF(CD105=0,0,(CD104*CD105+CD106*CD107*6)/CD105)</f>
        <v>0</v>
      </c>
      <c r="CE103" s="712">
        <f>IF(CC103=0,0,(CD103-CC103)/CC103*100)</f>
        <v>0</v>
      </c>
      <c r="CF103" s="817">
        <f>IF(CF105=0,0,(CF104*CF105+CF106*CF107*6)/CF105)</f>
        <v>0</v>
      </c>
      <c r="CG103" s="817">
        <f>IF(CG105=0,0,(CG104*CG105+CG106*CG107*6)/CG105)</f>
        <v>0</v>
      </c>
      <c r="CH103" s="712">
        <f>IF(CF103=0,0,(CG103-CF103)/CF103*100)</f>
        <v>0</v>
      </c>
      <c r="CI103" s="817">
        <f>IF(CI105=0,0,(CI104*CI105+CI106*CI107*6)/CI105)</f>
        <v>0</v>
      </c>
      <c r="CJ103" s="817">
        <f>IF(CJ105=0,0,(CJ104*CJ105+CJ106*CJ107*6)/CJ105)</f>
        <v>0</v>
      </c>
      <c r="CK103" s="712">
        <f>IF(CI103=0,0,(CJ103-CI103)/CI103*100)</f>
        <v>0</v>
      </c>
      <c r="CL103" s="817">
        <f>IF(CL105=0,0,(CL104*CL105+CL106*CL107*6)/CL105)</f>
        <v>0</v>
      </c>
      <c r="CM103" s="817">
        <f>IF(CM105=0,0,(CM104*CM105+CM106*CM107*6)/CM105)</f>
        <v>0</v>
      </c>
      <c r="CN103" s="712">
        <f>IF(CL103=0,0,(CM103-CL103)/CL103*100)</f>
        <v>0</v>
      </c>
      <c r="CO103" s="817">
        <f>IF(CO105=0,0,(CO104*CO105+CO106*CO107*6)/CO105)</f>
        <v>0</v>
      </c>
      <c r="CP103" s="817">
        <f>IF(CP105=0,0,(CP104*CP105+CP106*CP107*6)/CP105)</f>
        <v>0</v>
      </c>
      <c r="CQ103" s="712">
        <f>IF(CO103=0,0,(CP103-CO103)/CO103*100)</f>
        <v>0</v>
      </c>
      <c r="CR103" s="817">
        <f>IF(CR105=0,0,(CR104*CR105+CR106*CR107*6)/CR105)</f>
        <v>0</v>
      </c>
      <c r="CS103" s="817">
        <f>IF(CS105=0,0,(CS104*CS105+CS106*CS107*6)/CS105)</f>
        <v>0</v>
      </c>
      <c r="CT103" s="712">
        <f>IF(CR103=0,0,(CS103-CR103)/CR103*100)</f>
        <v>0</v>
      </c>
      <c r="CU103" s="817">
        <f>IF(CU105=0,0,(CU104*CU105+CU106*CU107*6)/CU105)</f>
        <v>0</v>
      </c>
      <c r="CV103" s="817">
        <f>IF(CV105=0,0,(CV104*CV105+CV106*CV107*6)/CV105)</f>
        <v>0</v>
      </c>
      <c r="CW103" s="712">
        <f>IF(CU103=0,0,(CV103-CU103)/CU103*100)</f>
        <v>0</v>
      </c>
      <c r="CX103" s="817">
        <f>IF(CX105=0,0,(CX104*CX105+CX106*CX107*6)/CX105)</f>
        <v>0</v>
      </c>
      <c r="CY103" s="817">
        <f>IF(CY105=0,0,(CY104*CY105+CY106*CY107*6)/CY105)</f>
        <v>0</v>
      </c>
      <c r="CZ103" s="712">
        <f>IF(CX103=0,0,(CY103-CX103)/CX103*100)</f>
        <v>0</v>
      </c>
      <c r="DA103" s="817">
        <f>IF(DA105=0,0,(DA104*DA105+DA106*DA107*6)/DA105)</f>
        <v>0</v>
      </c>
      <c r="DB103" s="817">
        <f>IF(DB105=0,0,(DB104*DB105+DB106*DB107*6)/DB105)</f>
        <v>0</v>
      </c>
      <c r="DC103" s="712">
        <f>IF(DA103=0,0,(DB103-DA103)/DA103*100)</f>
        <v>0</v>
      </c>
      <c r="DD103" s="817">
        <f>IF(DD105=0,0,(DD104*DD105+DD106*DD107*6)/DD105)</f>
        <v>0</v>
      </c>
      <c r="DE103" s="817">
        <f>IF(DE105=0,0,(DE104*DE105+DE106*DE107*6)/DE105)</f>
        <v>0</v>
      </c>
      <c r="DF103" s="712">
        <f>IF(DD103=0,0,(DE103-DD103)/DD103*100)</f>
        <v>0</v>
      </c>
      <c r="DG103" s="817">
        <f>IF(DG105=0,0,(DG104*DG105+DG106*DG107*6)/DG105)</f>
        <v>0</v>
      </c>
      <c r="DH103" s="817">
        <f>IF(DH105=0,0,(DH104*DH105+DH106*DH107*6)/DH105)</f>
        <v>0</v>
      </c>
      <c r="DI103" s="712">
        <f>IF(DG103=0,0,(DH103-DG103)/DG103*100)</f>
        <v>0</v>
      </c>
      <c r="DJ103" s="817">
        <f>IF(DJ105=0,0,(DJ104*DJ105+DJ106*DJ107*6)/DJ105)</f>
        <v>0</v>
      </c>
      <c r="DK103" s="817">
        <f>IF(DK105=0,0,(DK104*DK105+DK106*DK107*6)/DK105)</f>
        <v>0</v>
      </c>
      <c r="DL103" s="712">
        <f>IF(DJ103=0,0,(DK103-DJ103)/DJ103*100)</f>
        <v>0</v>
      </c>
      <c r="DM103" s="817">
        <f>IF(DM105=0,0,(DM104*DM105+DM106*DM107*6)/DM105)</f>
        <v>0</v>
      </c>
      <c r="DN103" s="817">
        <f>IF(DN105=0,0,(DN104*DN105+DN106*DN107*6)/DN105)</f>
        <v>0</v>
      </c>
      <c r="DO103" s="712">
        <f>IF(DM103=0,0,(DN103-DM103)/DM103*100)</f>
        <v>0</v>
      </c>
      <c r="DP103" s="817">
        <f>IF(DP105=0,0,(DP104*DP105+DP106*DP107*6)/DP105)</f>
        <v>0</v>
      </c>
      <c r="DQ103" s="817">
        <f>IF(DQ105=0,0,(DQ104*DQ105+DQ106*DQ107*6)/DQ105)</f>
        <v>0</v>
      </c>
      <c r="DR103" s="712">
        <f>IF(DP103=0,0,(DQ103-DP103)/DP103*100)</f>
        <v>0</v>
      </c>
      <c r="DS103" s="817">
        <f>IF(DS105=0,0,(DS104*DS105+DS106*DS107*6)/DS105)</f>
        <v>0</v>
      </c>
      <c r="DT103" s="817">
        <f>IF(DT105=0,0,(DT104*DT105+DT106*DT107*6)/DT105)</f>
        <v>0</v>
      </c>
      <c r="DU103" s="712">
        <f>IF(DS103=0,0,(DT103-DS103)/DS103*100)</f>
        <v>0</v>
      </c>
      <c r="DV103" s="817">
        <f>IF(DV105=0,0,(DV104*DV105+DV106*DV107*6)/DV105)</f>
        <v>0</v>
      </c>
      <c r="DW103" s="817">
        <f>IF(DW105=0,0,(DW104*DW105+DW106*DW107*6)/DW105)</f>
        <v>0</v>
      </c>
      <c r="DX103" s="712">
        <f>IF(DV103=0,0,(DW103-DV103)/DV103*100)</f>
        <v>0</v>
      </c>
      <c r="DY103" s="817">
        <f>IF(DY105=0,0,(DY104*DY105+DY106*DY107*6)/DY105)</f>
        <v>0</v>
      </c>
      <c r="DZ103" s="817">
        <f>IF(DZ105=0,0,(DZ104*DZ105+DZ106*DZ107*6)/DZ105)</f>
        <v>0</v>
      </c>
      <c r="EA103" s="712">
        <f>IF(DY103=0,0,(DZ103-DY103)/DY103*100)</f>
        <v>0</v>
      </c>
      <c r="EB103" s="817">
        <f>IF(EB105=0,0,(EB104*EB105+EB106*EB107*6)/EB105)</f>
        <v>0</v>
      </c>
      <c r="EC103" s="817">
        <f>IF(EC105=0,0,(EC104*EC105+EC106*EC107*6)/EC105)</f>
        <v>0</v>
      </c>
      <c r="ED103" s="712">
        <f>IF(EB103=0,0,(EC103-EB103)/EB103*100)</f>
        <v>0</v>
      </c>
      <c r="EE103" s="817">
        <f>IF(EE105=0,0,(EE104*EE105+EE106*EE107*6)/EE105)</f>
        <v>0</v>
      </c>
      <c r="EF103" s="817">
        <f>IF(EF105=0,0,(EF104*EF105+EF106*EF107*6)/EF105)</f>
        <v>0</v>
      </c>
      <c r="EG103" s="712">
        <f>IF(EE103=0,0,(EF103-EE103)/EE103*100)</f>
        <v>0</v>
      </c>
      <c r="EH103" s="817">
        <f>IF(EH105=0,0,(EH104*EH105+EH106*EH107*6)/EH105)</f>
        <v>0</v>
      </c>
      <c r="EI103" s="817">
        <f>IF(EI105=0,0,(EI104*EI105+EI106*EI107*6)/EI105)</f>
        <v>0</v>
      </c>
      <c r="EJ103" s="712">
        <f>IF(EH103=0,0,(EI103-EH103)/EH103*100)</f>
        <v>0</v>
      </c>
      <c r="EK103" s="817">
        <f>IF(EK105=0,0,(EK104*EK105+EK106*EK107*6)/EK105)</f>
        <v>0</v>
      </c>
      <c r="EL103" s="817">
        <f>IF(EL105=0,0,(EL104*EL105+EL106*EL107*6)/EL105)</f>
        <v>0</v>
      </c>
      <c r="EM103" s="712">
        <f>IF(EK103=0,0,(EL103-EK103)/EK103*100)</f>
        <v>0</v>
      </c>
      <c r="EN103" s="817">
        <f>IF(EN105=0,0,(EN104*EN105+EN106*EN107*6)/EN105)</f>
        <v>0</v>
      </c>
      <c r="EO103" s="817">
        <f>IF(EO105=0,0,(EO104*EO105+EO106*EO107*6)/EO105)</f>
        <v>0</v>
      </c>
      <c r="EP103" s="712">
        <f>IF(EN103=0,0,(EO103-EN103)/EN103*100)</f>
        <v>0</v>
      </c>
      <c r="EQ103" s="817">
        <f>IF(EQ105=0,0,(EQ104*EQ105+EQ106*EQ107*6)/EQ105)</f>
        <v>0</v>
      </c>
      <c r="ER103" s="817">
        <f>IF(ER105=0,0,(ER104*ER105+ER106*ER107*6)/ER105)</f>
        <v>0</v>
      </c>
      <c r="ES103" s="712">
        <f>IF(EQ103=0,0,(ER103-EQ103)/EQ103*100)</f>
        <v>0</v>
      </c>
      <c r="ET103" s="817">
        <f>IF(ET105=0,0,(ET104*ET105+ET106*ET107*6)/ET105)</f>
        <v>0</v>
      </c>
      <c r="EU103" s="817">
        <f>IF(EU105=0,0,(EU104*EU105+EU106*EU107*6)/EU105)</f>
        <v>0</v>
      </c>
      <c r="EV103" s="712">
        <f>IF(ET103=0,0,(EU103-ET103)/ET103*100)</f>
        <v>0</v>
      </c>
      <c r="EW103" s="817">
        <f>IF(EW105=0,0,(EW104*EW105+EW106*EW107*6)/EW105)</f>
        <v>0</v>
      </c>
      <c r="EX103" s="817">
        <f>IF(EX105=0,0,(EX104*EX105+EX106*EX107*6)/EX105)</f>
        <v>0</v>
      </c>
      <c r="EY103" s="712">
        <f>IF(EW103=0,0,(EX103-EW103)/EW103*100)</f>
        <v>0</v>
      </c>
      <c r="EZ103" s="817">
        <f>IF(EZ105=0,0,(EZ104*EZ105+EZ106*EZ107*6)/EZ105)</f>
        <v>0</v>
      </c>
      <c r="FA103" s="817">
        <f>IF(FA105=0,0,(FA104*FA105+FA106*FA107*6)/FA105)</f>
        <v>0</v>
      </c>
      <c r="FB103" s="712">
        <f>IF(EZ103=0,0,(FA103-EZ103)/EZ103*100)</f>
        <v>0</v>
      </c>
      <c r="FC103" s="817">
        <f>IF(FC105=0,0,(FC104*FC105+FC106*FC107*6)/FC105)</f>
        <v>0</v>
      </c>
      <c r="FD103" s="817">
        <f>IF(FD105=0,0,(FD104*FD105+FD106*FD107*6)/FD105)</f>
        <v>0</v>
      </c>
      <c r="FE103" s="712">
        <f>IF(FC103=0,0,(FD103-FC103)/FC103*100)</f>
        <v>0</v>
      </c>
      <c r="FF103" s="817">
        <f>IF(FF105=0,0,(FF104*FF105+FF106*FF107*6)/FF105)</f>
        <v>0</v>
      </c>
      <c r="FG103" s="817">
        <f>IF(FG105=0,0,(FG104*FG105+FG106*FG107*6)/FG105)</f>
        <v>0</v>
      </c>
      <c r="FH103" s="712">
        <f>IF(FF103=0,0,(FG103-FF103)/FF103*100)</f>
        <v>0</v>
      </c>
      <c r="FI103" s="817">
        <f>IF(FI105=0,0,(FI104*FI105+FI106*FI107*6)/FI105)</f>
        <v>0</v>
      </c>
      <c r="FJ103" s="817">
        <f>IF(FJ105=0,0,(FJ104*FJ105+FJ106*FJ107*6)/FJ105)</f>
        <v>0</v>
      </c>
      <c r="FK103" s="712">
        <f>IF(FI103=0,0,(FJ103-FI103)/FI103*100)</f>
        <v>0</v>
      </c>
      <c r="FL103" s="817">
        <f>IF(FL105=0,0,(FL104*FL105+FL106*FL107*6)/FL105)</f>
        <v>0</v>
      </c>
      <c r="FM103" s="817">
        <f>IF(FM105=0,0,(FM104*FM105+FM106*FM107*6)/FM105)</f>
        <v>0</v>
      </c>
      <c r="FN103" s="712">
        <f>IF(FL103=0,0,(FM103-FL103)/FL103*100)</f>
        <v>0</v>
      </c>
      <c r="FO103" s="817">
        <f>IF(FO105=0,0,(FO104*FO105+FO106*FO107*6)/FO105)</f>
        <v>0</v>
      </c>
      <c r="FP103" s="817">
        <f>IF(FP105=0,0,(FP104*FP105+FP106*FP107*6)/FP105)</f>
        <v>0</v>
      </c>
      <c r="FQ103" s="712">
        <f>IF(FO103=0,0,(FP103-FO103)/FO103*100)</f>
        <v>0</v>
      </c>
      <c r="FR103" s="817">
        <f>IF(FR105=0,0,(FR104*FR105+FR106*FR107*6)/FR105)</f>
        <v>0</v>
      </c>
      <c r="FS103" s="817">
        <f>IF(FS105=0,0,(FS104*FS105+FS106*FS107*6)/FS105)</f>
        <v>0</v>
      </c>
      <c r="FT103" s="712">
        <f>IF(FR103=0,0,(FS103-FR103)/FR103*100)</f>
        <v>0</v>
      </c>
      <c r="FU103" s="817">
        <f>IF(FU105=0,0,(FU104*FU105+FU106*FU107*6)/FU105)</f>
        <v>0</v>
      </c>
      <c r="FV103" s="817">
        <f>IF(FV105=0,0,(FV104*FV105+FV106*FV107*6)/FV105)</f>
        <v>0</v>
      </c>
      <c r="FW103" s="712">
        <f>IF(FU103=0,0,(FV103-FU103)/FU103*100)</f>
        <v>0</v>
      </c>
      <c r="FZ103" s="689" t="s">
        <v>1681</v>
      </c>
    </row>
    <row r="104" spans="1:186" ht="14.25" hidden="1" customHeight="1">
      <c r="A104" s="59"/>
      <c r="B104" s="611" t="b" cm="1">
        <f t="array" ref="B104">B103</f>
        <v>0</v>
      </c>
      <c r="C104" s="59"/>
      <c r="D104" s="59"/>
      <c r="E104" s="460">
        <v>15</v>
      </c>
      <c r="F104" s="3" t="str" cm="1">
        <f t="array" aca="1" ref="F104" ca="1">OFFSET(E104,-1,1)</f>
        <v>1</v>
      </c>
      <c r="G104" s="59"/>
      <c r="H104" s="59" t="s">
        <v>1608</v>
      </c>
      <c r="I104" s="59" t="s">
        <v>1645</v>
      </c>
      <c r="J104" s="59"/>
      <c r="K104" s="59"/>
      <c r="L104" s="59"/>
      <c r="M104" s="59"/>
      <c r="N104" s="59"/>
      <c r="O104" s="59"/>
      <c r="P104" s="59"/>
      <c r="Q104" s="59"/>
      <c r="R104" s="59"/>
      <c r="S104" s="59"/>
      <c r="T104" s="351" t="b" cm="1">
        <f t="array" aca="1" ref="T104" ca="1">T103</f>
        <v>1</v>
      </c>
      <c r="U104" s="59"/>
      <c r="V104" s="59"/>
      <c r="W104" s="59"/>
      <c r="X104" s="1046"/>
      <c r="Y104" s="59"/>
      <c r="Z104" s="1007"/>
      <c r="AA104" s="59"/>
      <c r="AB104"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12" t="s">
        <v>1647</v>
      </c>
      <c r="AD104" s="817"/>
      <c r="AE104" s="817"/>
      <c r="AF104" s="712">
        <f>IF(AD104=0,0,(AE104-AD104)/AD104*100)</f>
        <v>0</v>
      </c>
      <c r="AG104" s="57"/>
      <c r="AH104" s="57"/>
      <c r="AI104" s="712">
        <f>IF(AG104=0,0,(AH104-AG104)/AG104*100)</f>
        <v>0</v>
      </c>
      <c r="AJ104" s="57"/>
      <c r="AK104" s="57"/>
      <c r="AL104" s="712">
        <f>IF(AJ104=0,0,(AK104-AJ104)/AJ104*100)</f>
        <v>0</v>
      </c>
      <c r="AM104" s="817"/>
      <c r="AN104" s="817"/>
      <c r="AO104" s="712">
        <f>IF(AM104=0,0,(AN104-AM104)/AM104*100)</f>
        <v>0</v>
      </c>
      <c r="AP104" s="817"/>
      <c r="AQ104" s="817"/>
      <c r="AR104" s="712">
        <f>IF(AP104=0,0,(AQ104-AP104)/AP104*100)</f>
        <v>0</v>
      </c>
      <c r="AS104" s="817"/>
      <c r="AT104" s="817"/>
      <c r="AU104" s="712">
        <f>IF(AS104=0,0,(AT104-AS104)/AS104*100)</f>
        <v>0</v>
      </c>
      <c r="AV104" s="817"/>
      <c r="AW104" s="817"/>
      <c r="AX104" s="712">
        <f>IF(AV104=0,0,(AW104-AV104)/AV104*100)</f>
        <v>0</v>
      </c>
      <c r="AY104" s="817"/>
      <c r="AZ104" s="817"/>
      <c r="BA104" s="712">
        <f>IF(AY104=0,0,(AZ104-AY104)/AY104*100)</f>
        <v>0</v>
      </c>
      <c r="BB104" s="817"/>
      <c r="BC104" s="817"/>
      <c r="BD104" s="712">
        <f>IF(BB104=0,0,(BC104-BB104)/BB104*100)</f>
        <v>0</v>
      </c>
      <c r="BE104" s="817"/>
      <c r="BF104" s="817"/>
      <c r="BG104" s="712">
        <f>IF(BE104=0,0,(BF104-BE104)/BE104*100)</f>
        <v>0</v>
      </c>
      <c r="BH104" s="817"/>
      <c r="BI104" s="817"/>
      <c r="BJ104" s="712">
        <f>IF(BH104=0,0,(BI104-BH104)/BH104*100)</f>
        <v>0</v>
      </c>
      <c r="BK104" s="817"/>
      <c r="BL104" s="817"/>
      <c r="BM104" s="712">
        <f>IF(BK104=0,0,(BL104-BK104)/BK104*100)</f>
        <v>0</v>
      </c>
      <c r="BN104" s="817"/>
      <c r="BO104" s="817"/>
      <c r="BP104" s="712">
        <f>IF(BN104=0,0,(BO104-BN104)/BN104*100)</f>
        <v>0</v>
      </c>
      <c r="BQ104" s="817"/>
      <c r="BR104" s="817"/>
      <c r="BS104" s="712">
        <f>IF(BQ104=0,0,(BR104-BQ104)/BQ104*100)</f>
        <v>0</v>
      </c>
      <c r="BT104" s="817"/>
      <c r="BU104" s="817"/>
      <c r="BV104" s="712">
        <f>IF(BT104=0,0,(BU104-BT104)/BT104*100)</f>
        <v>0</v>
      </c>
      <c r="BW104" s="817"/>
      <c r="BX104" s="817"/>
      <c r="BY104" s="712">
        <f>IF(BW104=0,0,(BX104-BW104)/BW104*100)</f>
        <v>0</v>
      </c>
      <c r="BZ104" s="817"/>
      <c r="CA104" s="817"/>
      <c r="CB104" s="712">
        <f>IF(BZ104=0,0,(CA104-BZ104)/BZ104*100)</f>
        <v>0</v>
      </c>
      <c r="CC104" s="817"/>
      <c r="CD104" s="817"/>
      <c r="CE104" s="712">
        <f>IF(CC104=0,0,(CD104-CC104)/CC104*100)</f>
        <v>0</v>
      </c>
      <c r="CF104" s="817"/>
      <c r="CG104" s="817"/>
      <c r="CH104" s="712">
        <f>IF(CF104=0,0,(CG104-CF104)/CF104*100)</f>
        <v>0</v>
      </c>
      <c r="CI104" s="817"/>
      <c r="CJ104" s="817"/>
      <c r="CK104" s="712">
        <f>IF(CI104=0,0,(CJ104-CI104)/CI104*100)</f>
        <v>0</v>
      </c>
      <c r="CL104" s="817"/>
      <c r="CM104" s="817"/>
      <c r="CN104" s="712">
        <f>IF(CL104=0,0,(CM104-CL104)/CL104*100)</f>
        <v>0</v>
      </c>
      <c r="CO104" s="817"/>
      <c r="CP104" s="817"/>
      <c r="CQ104" s="712">
        <f>IF(CO104=0,0,(CP104-CO104)/CO104*100)</f>
        <v>0</v>
      </c>
      <c r="CR104" s="817"/>
      <c r="CS104" s="817"/>
      <c r="CT104" s="712">
        <f>IF(CR104=0,0,(CS104-CR104)/CR104*100)</f>
        <v>0</v>
      </c>
      <c r="CU104" s="817"/>
      <c r="CV104" s="817"/>
      <c r="CW104" s="712">
        <f>IF(CU104=0,0,(CV104-CU104)/CU104*100)</f>
        <v>0</v>
      </c>
      <c r="CX104" s="817"/>
      <c r="CY104" s="817"/>
      <c r="CZ104" s="712">
        <f>IF(CX104=0,0,(CY104-CX104)/CX104*100)</f>
        <v>0</v>
      </c>
      <c r="DA104" s="817"/>
      <c r="DB104" s="817"/>
      <c r="DC104" s="712">
        <f>IF(DA104=0,0,(DB104-DA104)/DA104*100)</f>
        <v>0</v>
      </c>
      <c r="DD104" s="817"/>
      <c r="DE104" s="817"/>
      <c r="DF104" s="712">
        <f>IF(DD104=0,0,(DE104-DD104)/DD104*100)</f>
        <v>0</v>
      </c>
      <c r="DG104" s="817"/>
      <c r="DH104" s="817"/>
      <c r="DI104" s="712">
        <f>IF(DG104=0,0,(DH104-DG104)/DG104*100)</f>
        <v>0</v>
      </c>
      <c r="DJ104" s="817"/>
      <c r="DK104" s="817"/>
      <c r="DL104" s="712">
        <f>IF(DJ104=0,0,(DK104-DJ104)/DJ104*100)</f>
        <v>0</v>
      </c>
      <c r="DM104" s="817"/>
      <c r="DN104" s="817"/>
      <c r="DO104" s="712">
        <f>IF(DM104=0,0,(DN104-DM104)/DM104*100)</f>
        <v>0</v>
      </c>
      <c r="DP104" s="817"/>
      <c r="DQ104" s="817"/>
      <c r="DR104" s="712">
        <f>IF(DP104=0,0,(DQ104-DP104)/DP104*100)</f>
        <v>0</v>
      </c>
      <c r="DS104" s="817"/>
      <c r="DT104" s="817"/>
      <c r="DU104" s="712">
        <f>IF(DS104=0,0,(DT104-DS104)/DS104*100)</f>
        <v>0</v>
      </c>
      <c r="DV104" s="817"/>
      <c r="DW104" s="817"/>
      <c r="DX104" s="712">
        <f>IF(DV104=0,0,(DW104-DV104)/DV104*100)</f>
        <v>0</v>
      </c>
      <c r="DY104" s="817"/>
      <c r="DZ104" s="817"/>
      <c r="EA104" s="712">
        <f>IF(DY104=0,0,(DZ104-DY104)/DY104*100)</f>
        <v>0</v>
      </c>
      <c r="EB104" s="817"/>
      <c r="EC104" s="817"/>
      <c r="ED104" s="712">
        <f>IF(EB104=0,0,(EC104-EB104)/EB104*100)</f>
        <v>0</v>
      </c>
      <c r="EE104" s="817"/>
      <c r="EF104" s="817"/>
      <c r="EG104" s="712">
        <f>IF(EE104=0,0,(EF104-EE104)/EE104*100)</f>
        <v>0</v>
      </c>
      <c r="EH104" s="817"/>
      <c r="EI104" s="817"/>
      <c r="EJ104" s="712">
        <f>IF(EH104=0,0,(EI104-EH104)/EH104*100)</f>
        <v>0</v>
      </c>
      <c r="EK104" s="817"/>
      <c r="EL104" s="817"/>
      <c r="EM104" s="712">
        <f>IF(EK104=0,0,(EL104-EK104)/EK104*100)</f>
        <v>0</v>
      </c>
      <c r="EN104" s="817"/>
      <c r="EO104" s="817"/>
      <c r="EP104" s="712">
        <f>IF(EN104=0,0,(EO104-EN104)/EN104*100)</f>
        <v>0</v>
      </c>
      <c r="EQ104" s="817"/>
      <c r="ER104" s="817"/>
      <c r="ES104" s="712">
        <f>IF(EQ104=0,0,(ER104-EQ104)/EQ104*100)</f>
        <v>0</v>
      </c>
      <c r="ET104" s="817"/>
      <c r="EU104" s="817"/>
      <c r="EV104" s="712">
        <f>IF(ET104=0,0,(EU104-ET104)/ET104*100)</f>
        <v>0</v>
      </c>
      <c r="EW104" s="817"/>
      <c r="EX104" s="817"/>
      <c r="EY104" s="712">
        <f>IF(EW104=0,0,(EX104-EW104)/EW104*100)</f>
        <v>0</v>
      </c>
      <c r="EZ104" s="817"/>
      <c r="FA104" s="817"/>
      <c r="FB104" s="712">
        <f>IF(EZ104=0,0,(FA104-EZ104)/EZ104*100)</f>
        <v>0</v>
      </c>
      <c r="FC104" s="817"/>
      <c r="FD104" s="817"/>
      <c r="FE104" s="712">
        <f>IF(FC104=0,0,(FD104-FC104)/FC104*100)</f>
        <v>0</v>
      </c>
      <c r="FF104" s="817"/>
      <c r="FG104" s="817"/>
      <c r="FH104" s="712">
        <f>IF(FF104=0,0,(FG104-FF104)/FF104*100)</f>
        <v>0</v>
      </c>
      <c r="FI104" s="817"/>
      <c r="FJ104" s="817"/>
      <c r="FK104" s="712">
        <f>IF(FI104=0,0,(FJ104-FI104)/FI104*100)</f>
        <v>0</v>
      </c>
      <c r="FL104" s="817"/>
      <c r="FM104" s="817"/>
      <c r="FN104" s="712">
        <f>IF(FL104=0,0,(FM104-FL104)/FL104*100)</f>
        <v>0</v>
      </c>
      <c r="FO104" s="817"/>
      <c r="FP104" s="817"/>
      <c r="FQ104" s="712">
        <f>IF(FO104=0,0,(FP104-FO104)/FO104*100)</f>
        <v>0</v>
      </c>
      <c r="FR104" s="817"/>
      <c r="FS104" s="817"/>
      <c r="FT104" s="712">
        <f>IF(FR104=0,0,(FS104-FR104)/FR104*100)</f>
        <v>0</v>
      </c>
      <c r="FU104" s="817"/>
      <c r="FV104" s="817"/>
      <c r="FW104" s="712">
        <f>IF(FU104=0,0,(FV104-FU104)/FU104*100)</f>
        <v>0</v>
      </c>
      <c r="FZ104" s="689" t="s">
        <v>1682</v>
      </c>
    </row>
    <row r="105" spans="1:186" ht="14.25" hidden="1" customHeight="1">
      <c r="A105" s="59"/>
      <c r="B105" s="611" t="b" cm="1">
        <f t="array" ref="B105">B104</f>
        <v>0</v>
      </c>
      <c r="C105" s="59"/>
      <c r="D105" s="59"/>
      <c r="E105" s="460">
        <v>15</v>
      </c>
      <c r="F105" s="3" t="str" cm="1">
        <f t="array" aca="1" ref="F105" ca="1">OFFSET(E105,-1,1)</f>
        <v>1</v>
      </c>
      <c r="G105" s="25" t="s">
        <v>1683</v>
      </c>
      <c r="H105" s="59" t="s">
        <v>1684</v>
      </c>
      <c r="I105" s="59" t="s">
        <v>1645</v>
      </c>
      <c r="J105" s="59"/>
      <c r="K105" s="59"/>
      <c r="L105" s="59"/>
      <c r="M105" s="59"/>
      <c r="N105" s="59"/>
      <c r="O105" s="59"/>
      <c r="P105" s="59"/>
      <c r="Q105" s="59"/>
      <c r="R105" s="59"/>
      <c r="S105" s="59"/>
      <c r="T105" s="351" t="b" cm="1">
        <f t="array" aca="1" ref="T105" ca="1">T104</f>
        <v>1</v>
      </c>
      <c r="U105" s="59"/>
      <c r="V105" s="59"/>
      <c r="W105" s="59"/>
      <c r="X105" s="1046"/>
      <c r="Y105" s="59"/>
      <c r="Z105" s="1007"/>
      <c r="AA105" s="59"/>
      <c r="AB105" s="105" t="str">
        <f>"объём "&amp;IF(Q85="Водоснабжение","потребления холодной воды","водоотведения")</f>
        <v>объём потребления холодной воды</v>
      </c>
      <c r="AC105" s="12" t="s">
        <v>585</v>
      </c>
      <c r="AD105" s="833">
        <f ca="1">IF(AND(method_reg="Метод индексации",god&lt;&gt;first_year),SUMIFS(INDEX('Калькуляция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(МИ)'!$AJ$25:$BC$315,,MATCH(AD$8,'Калькуляция (МИ)'!$AJ$8:$BC$8,0)),'Калькуляция (МИ)'!$F$25:$F$315,$F105,'Калькуляция (МИ)'!$G$25:$G$315,$G105))))</f>
        <v>2497.6334999999999</v>
      </c>
      <c r="AE105" s="833">
        <f ca="1">IF(AND(method_reg="Метод индексации",god&lt;&gt;first_year),SUMIFS(INDEX('Калькуляция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(МИ)'!$AJ$25:$BC$315,,MATCH(AE$8,'Калькуляция (МИ)'!$AJ$8:$BC$8,0)),'Калькуляция (МИ)'!$F$25:$F$315,$F105,'Калькуляция (МИ)'!$G$25:$G$315,$G105))))</f>
        <v>3746.4500024999998</v>
      </c>
      <c r="AF105" s="713">
        <f ca="1">IF(AD105=0,0,(AE105-AD105)/AD105*100)</f>
        <v>49.999990090619775</v>
      </c>
      <c r="AG105" s="190">
        <f ca="1">IF(AND(method_reg="Метод индексации",god&lt;&gt;first_year),SUMIFS(INDEX('Калькуляция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(МИ)'!$AJ$25:$BC$315,,MATCH(AG$8,'Калькуляция (МИ)'!$AJ$8:$BC$8,0)),'Калькуляция (МИ)'!$F$25:$F$315,$F105,'Калькуляция (МИ)'!$G$25:$G$315,$G105))))</f>
        <v>2497.6334999999999</v>
      </c>
      <c r="AH105" s="190">
        <f ca="1">IF(AND(method_reg="Метод индексации",god&lt;&gt;first_year),SUMIFS(INDEX('Калькуляция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(МИ)'!$AJ$25:$BC$315,,MATCH(AH$8,'Калькуляция (МИ)'!$AJ$8:$BC$8,0)),'Калькуляция (МИ)'!$F$25:$F$315,$F105,'Калькуляция (МИ)'!$G$25:$G$315,$G105))))</f>
        <v>2497.633335</v>
      </c>
      <c r="AI105" s="713">
        <f ca="1">IF(AG105=0,0,(AH105-AG105)/AG105*100)</f>
        <v>-6.6062534765198969E-6</v>
      </c>
      <c r="AJ105" s="190">
        <f ca="1">IF(AND(method_reg="Метод индексации",god&lt;&gt;first_year),SUMIFS(INDEX('Калькуляция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(МИ)'!$AJ$25:$BC$315,,MATCH(AJ$8,'Калькуляция (МИ)'!$AJ$8:$BC$8,0)),'Калькуляция (МИ)'!$F$25:$F$315,$F105,'Калькуляция (МИ)'!$G$25:$G$315,$G105))))</f>
        <v>2497.6334999999999</v>
      </c>
      <c r="AK105" s="190">
        <f ca="1">IF(AND(method_reg="Метод индексации",god&lt;&gt;first_year),SUMIFS(INDEX('Калькуляция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(МИ)'!$AJ$25:$BC$315,,MATCH(AK$8,'Калькуляция (МИ)'!$AJ$8:$BC$8,0)),'Калькуляция (МИ)'!$F$25:$F$315,$F105,'Калькуляция (МИ)'!$G$25:$G$315,$G105))))</f>
        <v>2497.633335</v>
      </c>
      <c r="AL105" s="713">
        <f ca="1">IF(AJ105=0,0,(AK105-AJ105)/AJ105*100)</f>
        <v>-6.6062534765198969E-6</v>
      </c>
      <c r="AM105" s="833">
        <f ca="1">IF(AND(method_reg="Метод индексации",god&lt;&gt;first_year),SUMIFS(INDEX('Калькуляция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(МИ)'!$AJ$25:$BC$315,,MATCH(AM$8,'Калькуляция (МИ)'!$AJ$8:$BC$8,0)),'Калькуляция (МИ)'!$F$25:$F$315,$F105,'Калькуляция (МИ)'!$G$25:$G$315,$G105))))</f>
        <v>0</v>
      </c>
      <c r="AN105" s="833">
        <f ca="1">IF(AND(method_reg="Метод индексации",god&lt;&gt;first_year),SUMIFS(INDEX('Калькуляция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(МИ)'!$AJ$25:$BC$315,,MATCH(AN$8,'Калькуляция (МИ)'!$AJ$8:$BC$8,0)),'Калькуляция (МИ)'!$F$25:$F$315,$F105,'Калькуляция (МИ)'!$G$25:$G$315,$G105))))</f>
        <v>0</v>
      </c>
      <c r="AO105" s="713">
        <f ca="1">IF(AM105=0,0,(AN105-AM105)/AM105*100)</f>
        <v>0</v>
      </c>
      <c r="AP105" s="833">
        <f ca="1">IF(AND(method_reg="Метод индексации",god&lt;&gt;first_year),SUMIFS(INDEX('Калькуляция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(МИ)'!$AJ$25:$BC$315,,MATCH(AP$8,'Калькуляция (МИ)'!$AJ$8:$BC$8,0)),'Калькуляция (МИ)'!$F$25:$F$315,$F105,'Калькуляция (МИ)'!$G$25:$G$315,$G105))))</f>
        <v>0</v>
      </c>
      <c r="AQ105" s="833">
        <f ca="1">IF(AND(method_reg="Метод индексации",god&lt;&gt;first_year),SUMIFS(INDEX('Калькуляция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(МИ)'!$AJ$25:$BC$315,,MATCH(AQ$8,'Калькуляция (МИ)'!$AJ$8:$BC$8,0)),'Калькуляция (МИ)'!$F$25:$F$315,$F105,'Калькуляция (МИ)'!$G$25:$G$315,$G105))))</f>
        <v>0</v>
      </c>
      <c r="AR105" s="713">
        <f ca="1">IF(AP105=0,0,(AQ105-AP105)/AP105*100)</f>
        <v>0</v>
      </c>
      <c r="AS105" s="833">
        <f ca="1">IF(AND(method_reg="Метод индексации",god&lt;&gt;first_year),SUMIFS(INDEX('Калькуляция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(МИ)'!$AJ$25:$BC$315,,MATCH(AS$8,'Калькуляция (МИ)'!$AJ$8:$BC$8,0)),'Калькуляция (МИ)'!$F$25:$F$315,$F105,'Калькуляция (МИ)'!$G$25:$G$315,$G105))))</f>
        <v>0</v>
      </c>
      <c r="AT105" s="833">
        <f ca="1">IF(AND(method_reg="Метод индексации",god&lt;&gt;first_year),SUMIFS(INDEX('Калькуляция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(МИ)'!$AJ$25:$BC$315,,MATCH(AT$8,'Калькуляция (МИ)'!$AJ$8:$BC$8,0)),'Калькуляция (МИ)'!$F$25:$F$315,$F105,'Калькуляция (МИ)'!$G$25:$G$315,$G105))))</f>
        <v>0</v>
      </c>
      <c r="AU105" s="713">
        <f ca="1">IF(AS105=0,0,(AT105-AS105)/AS105*100)</f>
        <v>0</v>
      </c>
      <c r="AV105" s="833">
        <f ca="1">IF(AND(method_reg="Метод индексации",god&lt;&gt;first_year),SUMIFS(INDEX('Калькуляция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(МИ)'!$AJ$25:$BC$315,,MATCH(AV$8,'Калькуляция (МИ)'!$AJ$8:$BC$8,0)),'Калькуляция (МИ)'!$F$25:$F$315,$F105,'Калькуляция (МИ)'!$G$25:$G$315,$G105))))</f>
        <v>0</v>
      </c>
      <c r="AW105" s="833">
        <f ca="1">IF(AND(method_reg="Метод индексации",god&lt;&gt;first_year),SUMIFS(INDEX('Калькуляция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(МИ)'!$AJ$25:$BC$315,,MATCH(AW$8,'Калькуляция (МИ)'!$AJ$8:$BC$8,0)),'Калькуляция (МИ)'!$F$25:$F$315,$F105,'Калькуляция (МИ)'!$G$25:$G$315,$G105))))</f>
        <v>0</v>
      </c>
      <c r="AX105" s="713">
        <f ca="1">IF(AV105=0,0,(AW105-AV105)/AV105*100)</f>
        <v>0</v>
      </c>
      <c r="AY105" s="833">
        <f ca="1">IF(AND(method_reg="Метод индексации",god&lt;&gt;first_year),SUMIFS(INDEX('Калькуляция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(МИ)'!$AJ$25:$BC$315,,MATCH(AY$8,'Калькуляция (МИ)'!$AJ$8:$BC$8,0)),'Калькуляция (МИ)'!$F$25:$F$315,$F105,'Калькуляция (МИ)'!$G$25:$G$315,$G105))))</f>
        <v>0</v>
      </c>
      <c r="AZ105" s="833">
        <f ca="1">IF(AND(method_reg="Метод индексации",god&lt;&gt;first_year),SUMIFS(INDEX('Калькуляция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(МИ)'!$AJ$25:$BC$315,,MATCH(AZ$8,'Калькуляция (МИ)'!$AJ$8:$BC$8,0)),'Калькуляция (МИ)'!$F$25:$F$315,$F105,'Калькуляция (МИ)'!$G$25:$G$315,$G105))))</f>
        <v>0</v>
      </c>
      <c r="BA105" s="713">
        <f ca="1">IF(AY105=0,0,(AZ105-AY105)/AY105*100)</f>
        <v>0</v>
      </c>
      <c r="BB105" s="833">
        <f ca="1">IF(AND(method_reg="Метод индексации",god&lt;&gt;first_year),SUMIFS(INDEX('Калькуляция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(МИ)'!$AJ$25:$BC$315,,MATCH(BB$8,'Калькуляция (МИ)'!$AJ$8:$BC$8,0)),'Калькуляция (МИ)'!$F$25:$F$315,$F105,'Калькуляция (МИ)'!$G$25:$G$315,$G105))))</f>
        <v>0</v>
      </c>
      <c r="BC105" s="833">
        <f ca="1">IF(AND(method_reg="Метод индексации",god&lt;&gt;first_year),SUMIFS(INDEX('Калькуляция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(МИ)'!$AJ$25:$BC$315,,MATCH(BC$8,'Калькуляция (МИ)'!$AJ$8:$BC$8,0)),'Калькуляция (МИ)'!$F$25:$F$315,$F105,'Калькуляция (МИ)'!$G$25:$G$315,$G105))))</f>
        <v>0</v>
      </c>
      <c r="BD105" s="713">
        <f ca="1">IF(BB105=0,0,(BC105-BB105)/BB105*100)</f>
        <v>0</v>
      </c>
      <c r="BE105" s="833">
        <f ca="1">IF(AND(method_reg="Метод индексации",god&lt;&gt;first_year),SUMIFS(INDEX('Калькуляция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(МИ)'!$AJ$25:$BC$315,,MATCH(BE$8,'Калькуляция (МИ)'!$AJ$8:$BC$8,0)),'Калькуляция (МИ)'!$F$25:$F$315,$F105,'Калькуляция (МИ)'!$G$25:$G$315,$G105))))</f>
        <v>0</v>
      </c>
      <c r="BF105" s="833">
        <f ca="1">IF(AND(method_reg="Метод индексации",god&lt;&gt;first_year),SUMIFS(INDEX('Калькуляция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(МИ)'!$AJ$25:$BC$315,,MATCH(BF$8,'Калькуляция (МИ)'!$AJ$8:$BC$8,0)),'Калькуляция (МИ)'!$F$25:$F$315,$F105,'Калькуляция (МИ)'!$G$25:$G$315,$G105))))</f>
        <v>0</v>
      </c>
      <c r="BG105" s="713">
        <f ca="1">IF(BE105=0,0,(BF105-BE105)/BE105*100)</f>
        <v>0</v>
      </c>
      <c r="BH105" s="833"/>
      <c r="BI105" s="833"/>
      <c r="BJ105" s="713">
        <f>IF(BH105=0,0,(BI105-BH105)/BH105*100)</f>
        <v>0</v>
      </c>
      <c r="BK105" s="833"/>
      <c r="BL105" s="833"/>
      <c r="BM105" s="713">
        <f>IF(BK105=0,0,(BL105-BK105)/BK105*100)</f>
        <v>0</v>
      </c>
      <c r="BN105" s="833"/>
      <c r="BO105" s="833"/>
      <c r="BP105" s="713">
        <f>IF(BN105=0,0,(BO105-BN105)/BN105*100)</f>
        <v>0</v>
      </c>
      <c r="BQ105" s="833"/>
      <c r="BR105" s="833"/>
      <c r="BS105" s="713">
        <f>IF(BQ105=0,0,(BR105-BQ105)/BQ105*100)</f>
        <v>0</v>
      </c>
      <c r="BT105" s="833"/>
      <c r="BU105" s="833"/>
      <c r="BV105" s="713">
        <f>IF(BT105=0,0,(BU105-BT105)/BT105*100)</f>
        <v>0</v>
      </c>
      <c r="BW105" s="833"/>
      <c r="BX105" s="833"/>
      <c r="BY105" s="713">
        <f>IF(BW105=0,0,(BX105-BW105)/BW105*100)</f>
        <v>0</v>
      </c>
      <c r="BZ105" s="833"/>
      <c r="CA105" s="833"/>
      <c r="CB105" s="713">
        <f>IF(BZ105=0,0,(CA105-BZ105)/BZ105*100)</f>
        <v>0</v>
      </c>
      <c r="CC105" s="833"/>
      <c r="CD105" s="833"/>
      <c r="CE105" s="713">
        <f>IF(CC105=0,0,(CD105-CC105)/CC105*100)</f>
        <v>0</v>
      </c>
      <c r="CF105" s="833"/>
      <c r="CG105" s="833"/>
      <c r="CH105" s="713">
        <f>IF(CF105=0,0,(CG105-CF105)/CF105*100)</f>
        <v>0</v>
      </c>
      <c r="CI105" s="833"/>
      <c r="CJ105" s="833"/>
      <c r="CK105" s="713">
        <f>IF(CI105=0,0,(CJ105-CI105)/CI105*100)</f>
        <v>0</v>
      </c>
      <c r="CL105" s="833"/>
      <c r="CM105" s="833"/>
      <c r="CN105" s="713">
        <f>IF(CL105=0,0,(CM105-CL105)/CL105*100)</f>
        <v>0</v>
      </c>
      <c r="CO105" s="833"/>
      <c r="CP105" s="833"/>
      <c r="CQ105" s="713">
        <f>IF(CO105=0,0,(CP105-CO105)/CO105*100)</f>
        <v>0</v>
      </c>
      <c r="CR105" s="833"/>
      <c r="CS105" s="833"/>
      <c r="CT105" s="713">
        <f>IF(CR105=0,0,(CS105-CR105)/CR105*100)</f>
        <v>0</v>
      </c>
      <c r="CU105" s="833"/>
      <c r="CV105" s="833"/>
      <c r="CW105" s="713">
        <f>IF(CU105=0,0,(CV105-CU105)/CU105*100)</f>
        <v>0</v>
      </c>
      <c r="CX105" s="833"/>
      <c r="CY105" s="833"/>
      <c r="CZ105" s="713">
        <f>IF(CX105=0,0,(CY105-CX105)/CX105*100)</f>
        <v>0</v>
      </c>
      <c r="DA105" s="833"/>
      <c r="DB105" s="833"/>
      <c r="DC105" s="713">
        <f>IF(DA105=0,0,(DB105-DA105)/DA105*100)</f>
        <v>0</v>
      </c>
      <c r="DD105" s="833"/>
      <c r="DE105" s="833"/>
      <c r="DF105" s="713">
        <f>IF(DD105=0,0,(DE105-DD105)/DD105*100)</f>
        <v>0</v>
      </c>
      <c r="DG105" s="833"/>
      <c r="DH105" s="833"/>
      <c r="DI105" s="713">
        <f>IF(DG105=0,0,(DH105-DG105)/DG105*100)</f>
        <v>0</v>
      </c>
      <c r="DJ105" s="833"/>
      <c r="DK105" s="833"/>
      <c r="DL105" s="713">
        <f>IF(DJ105=0,0,(DK105-DJ105)/DJ105*100)</f>
        <v>0</v>
      </c>
      <c r="DM105" s="833"/>
      <c r="DN105" s="833"/>
      <c r="DO105" s="713">
        <f>IF(DM105=0,0,(DN105-DM105)/DM105*100)</f>
        <v>0</v>
      </c>
      <c r="DP105" s="833"/>
      <c r="DQ105" s="833"/>
      <c r="DR105" s="713">
        <f>IF(DP105=0,0,(DQ105-DP105)/DP105*100)</f>
        <v>0</v>
      </c>
      <c r="DS105" s="833"/>
      <c r="DT105" s="833"/>
      <c r="DU105" s="713">
        <f>IF(DS105=0,0,(DT105-DS105)/DS105*100)</f>
        <v>0</v>
      </c>
      <c r="DV105" s="833"/>
      <c r="DW105" s="833"/>
      <c r="DX105" s="713">
        <f>IF(DV105=0,0,(DW105-DV105)/DV105*100)</f>
        <v>0</v>
      </c>
      <c r="DY105" s="833"/>
      <c r="DZ105" s="833"/>
      <c r="EA105" s="713">
        <f>IF(DY105=0,0,(DZ105-DY105)/DY105*100)</f>
        <v>0</v>
      </c>
      <c r="EB105" s="833"/>
      <c r="EC105" s="833"/>
      <c r="ED105" s="713">
        <f>IF(EB105=0,0,(EC105-EB105)/EB105*100)</f>
        <v>0</v>
      </c>
      <c r="EE105" s="833"/>
      <c r="EF105" s="833"/>
      <c r="EG105" s="713">
        <f>IF(EE105=0,0,(EF105-EE105)/EE105*100)</f>
        <v>0</v>
      </c>
      <c r="EH105" s="833"/>
      <c r="EI105" s="833"/>
      <c r="EJ105" s="713">
        <f>IF(EH105=0,0,(EI105-EH105)/EH105*100)</f>
        <v>0</v>
      </c>
      <c r="EK105" s="833"/>
      <c r="EL105" s="833"/>
      <c r="EM105" s="713">
        <f>IF(EK105=0,0,(EL105-EK105)/EK105*100)</f>
        <v>0</v>
      </c>
      <c r="EN105" s="833"/>
      <c r="EO105" s="833"/>
      <c r="EP105" s="713">
        <f>IF(EN105=0,0,(EO105-EN105)/EN105*100)</f>
        <v>0</v>
      </c>
      <c r="EQ105" s="833"/>
      <c r="ER105" s="833"/>
      <c r="ES105" s="713">
        <f>IF(EQ105=0,0,(ER105-EQ105)/EQ105*100)</f>
        <v>0</v>
      </c>
      <c r="ET105" s="833"/>
      <c r="EU105" s="833"/>
      <c r="EV105" s="713">
        <f>IF(ET105=0,0,(EU105-ET105)/ET105*100)</f>
        <v>0</v>
      </c>
      <c r="EW105" s="833"/>
      <c r="EX105" s="833"/>
      <c r="EY105" s="713">
        <f>IF(EW105=0,0,(EX105-EW105)/EW105*100)</f>
        <v>0</v>
      </c>
      <c r="EZ105" s="833"/>
      <c r="FA105" s="833"/>
      <c r="FB105" s="713">
        <f>IF(EZ105=0,0,(FA105-EZ105)/EZ105*100)</f>
        <v>0</v>
      </c>
      <c r="FC105" s="833"/>
      <c r="FD105" s="833"/>
      <c r="FE105" s="713">
        <f>IF(FC105=0,0,(FD105-FC105)/FC105*100)</f>
        <v>0</v>
      </c>
      <c r="FF105" s="833"/>
      <c r="FG105" s="833"/>
      <c r="FH105" s="713">
        <f>IF(FF105=0,0,(FG105-FF105)/FF105*100)</f>
        <v>0</v>
      </c>
      <c r="FI105" s="833"/>
      <c r="FJ105" s="833"/>
      <c r="FK105" s="713">
        <f>IF(FI105=0,0,(FJ105-FI105)/FI105*100)</f>
        <v>0</v>
      </c>
      <c r="FL105" s="833"/>
      <c r="FM105" s="833"/>
      <c r="FN105" s="713">
        <f>IF(FL105=0,0,(FM105-FL105)/FL105*100)</f>
        <v>0</v>
      </c>
      <c r="FO105" s="833"/>
      <c r="FP105" s="833"/>
      <c r="FQ105" s="713">
        <f>IF(FO105=0,0,(FP105-FO105)/FO105*100)</f>
        <v>0</v>
      </c>
      <c r="FR105" s="833"/>
      <c r="FS105" s="833"/>
      <c r="FT105" s="713">
        <f>IF(FR105=0,0,(FS105-FR105)/FR105*100)</f>
        <v>0</v>
      </c>
      <c r="FU105" s="833"/>
      <c r="FV105" s="833"/>
      <c r="FW105" s="713">
        <f>IF(FU105=0,0,(FV105-FU105)/FU105*100)</f>
        <v>0</v>
      </c>
      <c r="FZ105" s="689" t="s">
        <v>1685</v>
      </c>
    </row>
    <row r="106" spans="1:186" ht="24" hidden="1" customHeight="1">
      <c r="A106" s="59"/>
      <c r="B106" s="611" t="b" cm="1">
        <f t="array" ref="B106">B105</f>
        <v>0</v>
      </c>
      <c r="C106" s="59"/>
      <c r="D106" s="59"/>
      <c r="E106" s="460">
        <v>24.75</v>
      </c>
      <c r="F106" s="3" t="str" cm="1">
        <f t="array" aca="1" ref="F106" ca="1">OFFSET(E106,-1,1)</f>
        <v>1</v>
      </c>
      <c r="G106" s="59"/>
      <c r="H106" s="59" t="s">
        <v>1686</v>
      </c>
      <c r="I106" s="59" t="s">
        <v>1645</v>
      </c>
      <c r="J106" s="59"/>
      <c r="K106" s="59"/>
      <c r="L106" s="59"/>
      <c r="M106" s="59"/>
      <c r="N106" s="59"/>
      <c r="O106" s="59"/>
      <c r="P106" s="59"/>
      <c r="Q106" s="59"/>
      <c r="R106" s="59"/>
      <c r="S106" s="59"/>
      <c r="T106" s="351" t="b" cm="1">
        <f t="array" aca="1" ref="T106" ca="1">T105</f>
        <v>1</v>
      </c>
      <c r="U106" s="59"/>
      <c r="V106" s="59"/>
      <c r="W106" s="59"/>
      <c r="X106" s="1046"/>
      <c r="Y106" s="59"/>
      <c r="Z106" s="1007"/>
      <c r="AA106" s="59"/>
      <c r="AB106"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12" t="s">
        <v>1687</v>
      </c>
      <c r="AD106" s="817"/>
      <c r="AE106" s="817"/>
      <c r="AF106" s="712">
        <f>IF(AD106=0,0,(AE106-AD106)/AD106*100)</f>
        <v>0</v>
      </c>
      <c r="AG106" s="57"/>
      <c r="AH106" s="57"/>
      <c r="AI106" s="712">
        <f>IF(AG106=0,0,(AH106-AG106)/AG106*100)</f>
        <v>0</v>
      </c>
      <c r="AJ106" s="57"/>
      <c r="AK106" s="57"/>
      <c r="AL106" s="712">
        <f>IF(AJ106=0,0,(AK106-AJ106)/AJ106*100)</f>
        <v>0</v>
      </c>
      <c r="AM106" s="817"/>
      <c r="AN106" s="817"/>
      <c r="AO106" s="712">
        <f>IF(AM106=0,0,(AN106-AM106)/AM106*100)</f>
        <v>0</v>
      </c>
      <c r="AP106" s="817"/>
      <c r="AQ106" s="817"/>
      <c r="AR106" s="712">
        <f>IF(AP106=0,0,(AQ106-AP106)/AP106*100)</f>
        <v>0</v>
      </c>
      <c r="AS106" s="817"/>
      <c r="AT106" s="817"/>
      <c r="AU106" s="712">
        <f>IF(AS106=0,0,(AT106-AS106)/AS106*100)</f>
        <v>0</v>
      </c>
      <c r="AV106" s="817"/>
      <c r="AW106" s="817"/>
      <c r="AX106" s="712">
        <f>IF(AV106=0,0,(AW106-AV106)/AV106*100)</f>
        <v>0</v>
      </c>
      <c r="AY106" s="817"/>
      <c r="AZ106" s="817"/>
      <c r="BA106" s="712">
        <f>IF(AY106=0,0,(AZ106-AY106)/AY106*100)</f>
        <v>0</v>
      </c>
      <c r="BB106" s="817"/>
      <c r="BC106" s="817"/>
      <c r="BD106" s="712">
        <f>IF(BB106=0,0,(BC106-BB106)/BB106*100)</f>
        <v>0</v>
      </c>
      <c r="BE106" s="817"/>
      <c r="BF106" s="817"/>
      <c r="BG106" s="712">
        <f>IF(BE106=0,0,(BF106-BE106)/BE106*100)</f>
        <v>0</v>
      </c>
      <c r="BH106" s="817"/>
      <c r="BI106" s="817"/>
      <c r="BJ106" s="712">
        <f>IF(BH106=0,0,(BI106-BH106)/BH106*100)</f>
        <v>0</v>
      </c>
      <c r="BK106" s="817"/>
      <c r="BL106" s="817"/>
      <c r="BM106" s="712">
        <f>IF(BK106=0,0,(BL106-BK106)/BK106*100)</f>
        <v>0</v>
      </c>
      <c r="BN106" s="817"/>
      <c r="BO106" s="817"/>
      <c r="BP106" s="712">
        <f>IF(BN106=0,0,(BO106-BN106)/BN106*100)</f>
        <v>0</v>
      </c>
      <c r="BQ106" s="817"/>
      <c r="BR106" s="817"/>
      <c r="BS106" s="712">
        <f>IF(BQ106=0,0,(BR106-BQ106)/BQ106*100)</f>
        <v>0</v>
      </c>
      <c r="BT106" s="817"/>
      <c r="BU106" s="817"/>
      <c r="BV106" s="712">
        <f>IF(BT106=0,0,(BU106-BT106)/BT106*100)</f>
        <v>0</v>
      </c>
      <c r="BW106" s="817"/>
      <c r="BX106" s="817"/>
      <c r="BY106" s="712">
        <f>IF(BW106=0,0,(BX106-BW106)/BW106*100)</f>
        <v>0</v>
      </c>
      <c r="BZ106" s="817"/>
      <c r="CA106" s="817"/>
      <c r="CB106" s="712">
        <f>IF(BZ106=0,0,(CA106-BZ106)/BZ106*100)</f>
        <v>0</v>
      </c>
      <c r="CC106" s="817"/>
      <c r="CD106" s="817"/>
      <c r="CE106" s="712">
        <f>IF(CC106=0,0,(CD106-CC106)/CC106*100)</f>
        <v>0</v>
      </c>
      <c r="CF106" s="817"/>
      <c r="CG106" s="817"/>
      <c r="CH106" s="712">
        <f>IF(CF106=0,0,(CG106-CF106)/CF106*100)</f>
        <v>0</v>
      </c>
      <c r="CI106" s="817"/>
      <c r="CJ106" s="817"/>
      <c r="CK106" s="712">
        <f>IF(CI106=0,0,(CJ106-CI106)/CI106*100)</f>
        <v>0</v>
      </c>
      <c r="CL106" s="817"/>
      <c r="CM106" s="817"/>
      <c r="CN106" s="712">
        <f>IF(CL106=0,0,(CM106-CL106)/CL106*100)</f>
        <v>0</v>
      </c>
      <c r="CO106" s="817"/>
      <c r="CP106" s="817"/>
      <c r="CQ106" s="712">
        <f>IF(CO106=0,0,(CP106-CO106)/CO106*100)</f>
        <v>0</v>
      </c>
      <c r="CR106" s="817"/>
      <c r="CS106" s="817"/>
      <c r="CT106" s="712">
        <f>IF(CR106=0,0,(CS106-CR106)/CR106*100)</f>
        <v>0</v>
      </c>
      <c r="CU106" s="817"/>
      <c r="CV106" s="817"/>
      <c r="CW106" s="712">
        <f>IF(CU106=0,0,(CV106-CU106)/CU106*100)</f>
        <v>0</v>
      </c>
      <c r="CX106" s="817"/>
      <c r="CY106" s="817"/>
      <c r="CZ106" s="712">
        <f>IF(CX106=0,0,(CY106-CX106)/CX106*100)</f>
        <v>0</v>
      </c>
      <c r="DA106" s="817"/>
      <c r="DB106" s="817"/>
      <c r="DC106" s="712">
        <f>IF(DA106=0,0,(DB106-DA106)/DA106*100)</f>
        <v>0</v>
      </c>
      <c r="DD106" s="817"/>
      <c r="DE106" s="817"/>
      <c r="DF106" s="712">
        <f>IF(DD106=0,0,(DE106-DD106)/DD106*100)</f>
        <v>0</v>
      </c>
      <c r="DG106" s="817"/>
      <c r="DH106" s="817"/>
      <c r="DI106" s="712">
        <f>IF(DG106=0,0,(DH106-DG106)/DG106*100)</f>
        <v>0</v>
      </c>
      <c r="DJ106" s="817"/>
      <c r="DK106" s="817"/>
      <c r="DL106" s="712">
        <f>IF(DJ106=0,0,(DK106-DJ106)/DJ106*100)</f>
        <v>0</v>
      </c>
      <c r="DM106" s="817"/>
      <c r="DN106" s="817"/>
      <c r="DO106" s="712">
        <f>IF(DM106=0,0,(DN106-DM106)/DM106*100)</f>
        <v>0</v>
      </c>
      <c r="DP106" s="817"/>
      <c r="DQ106" s="817"/>
      <c r="DR106" s="712">
        <f>IF(DP106=0,0,(DQ106-DP106)/DP106*100)</f>
        <v>0</v>
      </c>
      <c r="DS106" s="817"/>
      <c r="DT106" s="817"/>
      <c r="DU106" s="712">
        <f>IF(DS106=0,0,(DT106-DS106)/DS106*100)</f>
        <v>0</v>
      </c>
      <c r="DV106" s="817"/>
      <c r="DW106" s="817"/>
      <c r="DX106" s="712">
        <f>IF(DV106=0,0,(DW106-DV106)/DV106*100)</f>
        <v>0</v>
      </c>
      <c r="DY106" s="817"/>
      <c r="DZ106" s="817"/>
      <c r="EA106" s="712">
        <f>IF(DY106=0,0,(DZ106-DY106)/DY106*100)</f>
        <v>0</v>
      </c>
      <c r="EB106" s="817"/>
      <c r="EC106" s="817"/>
      <c r="ED106" s="712">
        <f>IF(EB106=0,0,(EC106-EB106)/EB106*100)</f>
        <v>0</v>
      </c>
      <c r="EE106" s="817"/>
      <c r="EF106" s="817"/>
      <c r="EG106" s="712">
        <f>IF(EE106=0,0,(EF106-EE106)/EE106*100)</f>
        <v>0</v>
      </c>
      <c r="EH106" s="817"/>
      <c r="EI106" s="817"/>
      <c r="EJ106" s="712">
        <f>IF(EH106=0,0,(EI106-EH106)/EH106*100)</f>
        <v>0</v>
      </c>
      <c r="EK106" s="817"/>
      <c r="EL106" s="817"/>
      <c r="EM106" s="712">
        <f>IF(EK106=0,0,(EL106-EK106)/EK106*100)</f>
        <v>0</v>
      </c>
      <c r="EN106" s="817"/>
      <c r="EO106" s="817"/>
      <c r="EP106" s="712">
        <f>IF(EN106=0,0,(EO106-EN106)/EN106*100)</f>
        <v>0</v>
      </c>
      <c r="EQ106" s="817"/>
      <c r="ER106" s="817"/>
      <c r="ES106" s="712">
        <f>IF(EQ106=0,0,(ER106-EQ106)/EQ106*100)</f>
        <v>0</v>
      </c>
      <c r="ET106" s="817"/>
      <c r="EU106" s="817"/>
      <c r="EV106" s="712">
        <f>IF(ET106=0,0,(EU106-ET106)/ET106*100)</f>
        <v>0</v>
      </c>
      <c r="EW106" s="817"/>
      <c r="EX106" s="817"/>
      <c r="EY106" s="712">
        <f>IF(EW106=0,0,(EX106-EW106)/EW106*100)</f>
        <v>0</v>
      </c>
      <c r="EZ106" s="817"/>
      <c r="FA106" s="817"/>
      <c r="FB106" s="712">
        <f>IF(EZ106=0,0,(FA106-EZ106)/EZ106*100)</f>
        <v>0</v>
      </c>
      <c r="FC106" s="817"/>
      <c r="FD106" s="817"/>
      <c r="FE106" s="712">
        <f>IF(FC106=0,0,(FD106-FC106)/FC106*100)</f>
        <v>0</v>
      </c>
      <c r="FF106" s="817"/>
      <c r="FG106" s="817"/>
      <c r="FH106" s="712">
        <f>IF(FF106=0,0,(FG106-FF106)/FF106*100)</f>
        <v>0</v>
      </c>
      <c r="FI106" s="817"/>
      <c r="FJ106" s="817"/>
      <c r="FK106" s="712">
        <f>IF(FI106=0,0,(FJ106-FI106)/FI106*100)</f>
        <v>0</v>
      </c>
      <c r="FL106" s="817"/>
      <c r="FM106" s="817"/>
      <c r="FN106" s="712">
        <f>IF(FL106=0,0,(FM106-FL106)/FL106*100)</f>
        <v>0</v>
      </c>
      <c r="FO106" s="817"/>
      <c r="FP106" s="817"/>
      <c r="FQ106" s="712">
        <f>IF(FO106=0,0,(FP106-FO106)/FO106*100)</f>
        <v>0</v>
      </c>
      <c r="FR106" s="817"/>
      <c r="FS106" s="817"/>
      <c r="FT106" s="712">
        <f>IF(FR106=0,0,(FS106-FR106)/FR106*100)</f>
        <v>0</v>
      </c>
      <c r="FU106" s="817"/>
      <c r="FV106" s="817"/>
      <c r="FW106" s="712">
        <f>IF(FU106=0,0,(FV106-FU106)/FU106*100)</f>
        <v>0</v>
      </c>
      <c r="FZ106" s="689" t="s">
        <v>1688</v>
      </c>
    </row>
    <row r="107" spans="1:186" ht="14.25" hidden="1" customHeight="1">
      <c r="A107" s="59"/>
      <c r="B107" s="611" t="b" cm="1">
        <f t="array" ref="B107">B106</f>
        <v>0</v>
      </c>
      <c r="C107" s="59"/>
      <c r="D107" s="59"/>
      <c r="E107" s="460">
        <v>15</v>
      </c>
      <c r="F107" s="3" t="str" cm="1">
        <f t="array" aca="1" ref="F107" ca="1">OFFSET(E107,-1,1)</f>
        <v>1</v>
      </c>
      <c r="G107" s="59"/>
      <c r="H107" s="59" t="s">
        <v>1689</v>
      </c>
      <c r="I107" s="59" t="s">
        <v>1645</v>
      </c>
      <c r="J107" s="59"/>
      <c r="K107" s="59"/>
      <c r="L107" s="59"/>
      <c r="M107" s="59"/>
      <c r="N107" s="59"/>
      <c r="O107" s="59"/>
      <c r="P107" s="59"/>
      <c r="Q107" s="59"/>
      <c r="R107" s="59"/>
      <c r="S107" s="59"/>
      <c r="T107" s="351" t="b" cm="1">
        <f t="array" aca="1" ref="T107" ca="1">T106</f>
        <v>1</v>
      </c>
      <c r="U107" s="59"/>
      <c r="V107" s="59"/>
      <c r="W107" s="59"/>
      <c r="X107" s="1046"/>
      <c r="Y107" s="59"/>
      <c r="Z107" s="1007"/>
      <c r="AA107" s="59"/>
      <c r="AB107" s="105" t="s">
        <v>1690</v>
      </c>
      <c r="AC107" s="12" t="s">
        <v>1691</v>
      </c>
      <c r="AD107" s="817"/>
      <c r="AE107" s="817"/>
      <c r="AF107" s="712">
        <f>IF(AD107=0,0,(AE107-AD107)/AD107*100)</f>
        <v>0</v>
      </c>
      <c r="AG107" s="57"/>
      <c r="AH107" s="57"/>
      <c r="AI107" s="712">
        <f>IF(AG107=0,0,(AH107-AG107)/AG107*100)</f>
        <v>0</v>
      </c>
      <c r="AJ107" s="57"/>
      <c r="AK107" s="57"/>
      <c r="AL107" s="712">
        <f>IF(AJ107=0,0,(AK107-AJ107)/AJ107*100)</f>
        <v>0</v>
      </c>
      <c r="AM107" s="817"/>
      <c r="AN107" s="817"/>
      <c r="AO107" s="712">
        <f>IF(AM107=0,0,(AN107-AM107)/AM107*100)</f>
        <v>0</v>
      </c>
      <c r="AP107" s="817"/>
      <c r="AQ107" s="817"/>
      <c r="AR107" s="712">
        <f>IF(AP107=0,0,(AQ107-AP107)/AP107*100)</f>
        <v>0</v>
      </c>
      <c r="AS107" s="817"/>
      <c r="AT107" s="817"/>
      <c r="AU107" s="712">
        <f>IF(AS107=0,0,(AT107-AS107)/AS107*100)</f>
        <v>0</v>
      </c>
      <c r="AV107" s="817"/>
      <c r="AW107" s="817"/>
      <c r="AX107" s="712">
        <f>IF(AV107=0,0,(AW107-AV107)/AV107*100)</f>
        <v>0</v>
      </c>
      <c r="AY107" s="817"/>
      <c r="AZ107" s="817"/>
      <c r="BA107" s="712">
        <f>IF(AY107=0,0,(AZ107-AY107)/AY107*100)</f>
        <v>0</v>
      </c>
      <c r="BB107" s="817"/>
      <c r="BC107" s="817"/>
      <c r="BD107" s="712">
        <f>IF(BB107=0,0,(BC107-BB107)/BB107*100)</f>
        <v>0</v>
      </c>
      <c r="BE107" s="817"/>
      <c r="BF107" s="817"/>
      <c r="BG107" s="712">
        <f>IF(BE107=0,0,(BF107-BE107)/BE107*100)</f>
        <v>0</v>
      </c>
      <c r="BH107" s="817"/>
      <c r="BI107" s="817"/>
      <c r="BJ107" s="712">
        <f>IF(BH107=0,0,(BI107-BH107)/BH107*100)</f>
        <v>0</v>
      </c>
      <c r="BK107" s="817"/>
      <c r="BL107" s="817"/>
      <c r="BM107" s="712">
        <f>IF(BK107=0,0,(BL107-BK107)/BK107*100)</f>
        <v>0</v>
      </c>
      <c r="BN107" s="817"/>
      <c r="BO107" s="817"/>
      <c r="BP107" s="712">
        <f>IF(BN107=0,0,(BO107-BN107)/BN107*100)</f>
        <v>0</v>
      </c>
      <c r="BQ107" s="817"/>
      <c r="BR107" s="817"/>
      <c r="BS107" s="712">
        <f>IF(BQ107=0,0,(BR107-BQ107)/BQ107*100)</f>
        <v>0</v>
      </c>
      <c r="BT107" s="817"/>
      <c r="BU107" s="817"/>
      <c r="BV107" s="712">
        <f>IF(BT107=0,0,(BU107-BT107)/BT107*100)</f>
        <v>0</v>
      </c>
      <c r="BW107" s="817"/>
      <c r="BX107" s="817"/>
      <c r="BY107" s="712">
        <f>IF(BW107=0,0,(BX107-BW107)/BW107*100)</f>
        <v>0</v>
      </c>
      <c r="BZ107" s="817"/>
      <c r="CA107" s="817"/>
      <c r="CB107" s="712">
        <f>IF(BZ107=0,0,(CA107-BZ107)/BZ107*100)</f>
        <v>0</v>
      </c>
      <c r="CC107" s="817"/>
      <c r="CD107" s="817"/>
      <c r="CE107" s="712">
        <f>IF(CC107=0,0,(CD107-CC107)/CC107*100)</f>
        <v>0</v>
      </c>
      <c r="CF107" s="817"/>
      <c r="CG107" s="817"/>
      <c r="CH107" s="712">
        <f>IF(CF107=0,0,(CG107-CF107)/CF107*100)</f>
        <v>0</v>
      </c>
      <c r="CI107" s="817"/>
      <c r="CJ107" s="817"/>
      <c r="CK107" s="712">
        <f>IF(CI107=0,0,(CJ107-CI107)/CI107*100)</f>
        <v>0</v>
      </c>
      <c r="CL107" s="817"/>
      <c r="CM107" s="817"/>
      <c r="CN107" s="712">
        <f>IF(CL107=0,0,(CM107-CL107)/CL107*100)</f>
        <v>0</v>
      </c>
      <c r="CO107" s="817"/>
      <c r="CP107" s="817"/>
      <c r="CQ107" s="712">
        <f>IF(CO107=0,0,(CP107-CO107)/CO107*100)</f>
        <v>0</v>
      </c>
      <c r="CR107" s="817"/>
      <c r="CS107" s="817"/>
      <c r="CT107" s="712">
        <f>IF(CR107=0,0,(CS107-CR107)/CR107*100)</f>
        <v>0</v>
      </c>
      <c r="CU107" s="817"/>
      <c r="CV107" s="817"/>
      <c r="CW107" s="712">
        <f>IF(CU107=0,0,(CV107-CU107)/CU107*100)</f>
        <v>0</v>
      </c>
      <c r="CX107" s="817"/>
      <c r="CY107" s="817"/>
      <c r="CZ107" s="712">
        <f>IF(CX107=0,0,(CY107-CX107)/CX107*100)</f>
        <v>0</v>
      </c>
      <c r="DA107" s="817"/>
      <c r="DB107" s="817"/>
      <c r="DC107" s="712">
        <f>IF(DA107=0,0,(DB107-DA107)/DA107*100)</f>
        <v>0</v>
      </c>
      <c r="DD107" s="817"/>
      <c r="DE107" s="817"/>
      <c r="DF107" s="712">
        <f>IF(DD107=0,0,(DE107-DD107)/DD107*100)</f>
        <v>0</v>
      </c>
      <c r="DG107" s="817"/>
      <c r="DH107" s="817"/>
      <c r="DI107" s="712">
        <f>IF(DG107=0,0,(DH107-DG107)/DG107*100)</f>
        <v>0</v>
      </c>
      <c r="DJ107" s="817"/>
      <c r="DK107" s="817"/>
      <c r="DL107" s="712">
        <f>IF(DJ107=0,0,(DK107-DJ107)/DJ107*100)</f>
        <v>0</v>
      </c>
      <c r="DM107" s="817"/>
      <c r="DN107" s="817"/>
      <c r="DO107" s="712">
        <f>IF(DM107=0,0,(DN107-DM107)/DM107*100)</f>
        <v>0</v>
      </c>
      <c r="DP107" s="817"/>
      <c r="DQ107" s="817"/>
      <c r="DR107" s="712">
        <f>IF(DP107=0,0,(DQ107-DP107)/DP107*100)</f>
        <v>0</v>
      </c>
      <c r="DS107" s="817"/>
      <c r="DT107" s="817"/>
      <c r="DU107" s="712">
        <f>IF(DS107=0,0,(DT107-DS107)/DS107*100)</f>
        <v>0</v>
      </c>
      <c r="DV107" s="817"/>
      <c r="DW107" s="817"/>
      <c r="DX107" s="712">
        <f>IF(DV107=0,0,(DW107-DV107)/DV107*100)</f>
        <v>0</v>
      </c>
      <c r="DY107" s="817"/>
      <c r="DZ107" s="817"/>
      <c r="EA107" s="712">
        <f>IF(DY107=0,0,(DZ107-DY107)/DY107*100)</f>
        <v>0</v>
      </c>
      <c r="EB107" s="817"/>
      <c r="EC107" s="817"/>
      <c r="ED107" s="712">
        <f>IF(EB107=0,0,(EC107-EB107)/EB107*100)</f>
        <v>0</v>
      </c>
      <c r="EE107" s="817"/>
      <c r="EF107" s="817"/>
      <c r="EG107" s="712">
        <f>IF(EE107=0,0,(EF107-EE107)/EE107*100)</f>
        <v>0</v>
      </c>
      <c r="EH107" s="817"/>
      <c r="EI107" s="817"/>
      <c r="EJ107" s="712">
        <f>IF(EH107=0,0,(EI107-EH107)/EH107*100)</f>
        <v>0</v>
      </c>
      <c r="EK107" s="817"/>
      <c r="EL107" s="817"/>
      <c r="EM107" s="712">
        <f>IF(EK107=0,0,(EL107-EK107)/EK107*100)</f>
        <v>0</v>
      </c>
      <c r="EN107" s="817"/>
      <c r="EO107" s="817"/>
      <c r="EP107" s="712">
        <f>IF(EN107=0,0,(EO107-EN107)/EN107*100)</f>
        <v>0</v>
      </c>
      <c r="EQ107" s="817"/>
      <c r="ER107" s="817"/>
      <c r="ES107" s="712">
        <f>IF(EQ107=0,0,(ER107-EQ107)/EQ107*100)</f>
        <v>0</v>
      </c>
      <c r="ET107" s="817"/>
      <c r="EU107" s="817"/>
      <c r="EV107" s="712">
        <f>IF(ET107=0,0,(EU107-ET107)/ET107*100)</f>
        <v>0</v>
      </c>
      <c r="EW107" s="817"/>
      <c r="EX107" s="817"/>
      <c r="EY107" s="712">
        <f>IF(EW107=0,0,(EX107-EW107)/EW107*100)</f>
        <v>0</v>
      </c>
      <c r="EZ107" s="817"/>
      <c r="FA107" s="817"/>
      <c r="FB107" s="712">
        <f>IF(EZ107=0,0,(FA107-EZ107)/EZ107*100)</f>
        <v>0</v>
      </c>
      <c r="FC107" s="817"/>
      <c r="FD107" s="817"/>
      <c r="FE107" s="712">
        <f>IF(FC107=0,0,(FD107-FC107)/FC107*100)</f>
        <v>0</v>
      </c>
      <c r="FF107" s="817"/>
      <c r="FG107" s="817"/>
      <c r="FH107" s="712">
        <f>IF(FF107=0,0,(FG107-FF107)/FF107*100)</f>
        <v>0</v>
      </c>
      <c r="FI107" s="817"/>
      <c r="FJ107" s="817"/>
      <c r="FK107" s="712">
        <f>IF(FI107=0,0,(FJ107-FI107)/FI107*100)</f>
        <v>0</v>
      </c>
      <c r="FL107" s="817"/>
      <c r="FM107" s="817"/>
      <c r="FN107" s="712">
        <f>IF(FL107=0,0,(FM107-FL107)/FL107*100)</f>
        <v>0</v>
      </c>
      <c r="FO107" s="817"/>
      <c r="FP107" s="817"/>
      <c r="FQ107" s="712">
        <f>IF(FO107=0,0,(FP107-FO107)/FO107*100)</f>
        <v>0</v>
      </c>
      <c r="FR107" s="817"/>
      <c r="FS107" s="817"/>
      <c r="FT107" s="712">
        <f>IF(FR107=0,0,(FS107-FR107)/FR107*100)</f>
        <v>0</v>
      </c>
      <c r="FU107" s="817"/>
      <c r="FV107" s="817"/>
      <c r="FW107" s="712">
        <f>IF(FU107=0,0,(FV107-FU107)/FU107*100)</f>
        <v>0</v>
      </c>
      <c r="FZ107" s="689" t="s">
        <v>1692</v>
      </c>
    </row>
    <row r="108" spans="1:186" ht="23.25" hidden="1" customHeight="1">
      <c r="A108" s="59"/>
      <c r="B108" s="611" t="b" cm="1">
        <f t="array" ref="B108">B107</f>
        <v>0</v>
      </c>
      <c r="C108" s="59"/>
      <c r="D108" s="59"/>
      <c r="E108" s="460">
        <v>24.5</v>
      </c>
      <c r="F108" s="3" t="str" cm="1">
        <f t="array" aca="1" ref="F108" ca="1">OFFSET(E108,-1,1)</f>
        <v>1</v>
      </c>
      <c r="G108" s="59"/>
      <c r="H108" s="59"/>
      <c r="I108" s="59"/>
      <c r="J108" s="59"/>
      <c r="K108" s="59"/>
      <c r="L108" s="59"/>
      <c r="M108" s="59"/>
      <c r="N108" s="59"/>
      <c r="O108" s="59"/>
      <c r="P108" s="59"/>
      <c r="Q108" s="59"/>
      <c r="R108" s="59"/>
      <c r="S108" s="59"/>
      <c r="T108" s="351" t="b" cm="1">
        <f t="array" aca="1" ref="T108" ca="1">T107</f>
        <v>1</v>
      </c>
      <c r="U108" s="59"/>
      <c r="V108" s="59"/>
      <c r="W108" s="59"/>
      <c r="X108" s="1046"/>
      <c r="Y108" s="59"/>
      <c r="Z108" s="1007"/>
      <c r="AA108" s="59"/>
      <c r="AB108" s="204" t="s">
        <v>1693</v>
      </c>
      <c r="AC108" s="595"/>
      <c r="AD108" s="717"/>
      <c r="AE108" s="717"/>
      <c r="AF108" s="717"/>
      <c r="AG108" s="717"/>
      <c r="AH108" s="717"/>
      <c r="AI108" s="717"/>
      <c r="AJ108" s="717"/>
      <c r="AK108" s="717"/>
      <c r="AL108" s="717"/>
      <c r="AM108" s="717"/>
      <c r="AN108" s="717"/>
      <c r="AO108" s="717"/>
      <c r="AP108" s="717"/>
      <c r="AQ108" s="717"/>
      <c r="AR108" s="717"/>
      <c r="AS108" s="717"/>
      <c r="AT108" s="717"/>
      <c r="AU108" s="717"/>
      <c r="AV108" s="717"/>
      <c r="AW108" s="717"/>
      <c r="AX108" s="717"/>
      <c r="AY108" s="717"/>
      <c r="AZ108" s="717"/>
      <c r="BA108" s="717"/>
      <c r="BB108" s="717"/>
      <c r="BC108" s="717"/>
      <c r="BD108" s="717"/>
      <c r="BE108" s="717"/>
      <c r="BF108" s="717"/>
      <c r="BG108" s="717"/>
      <c r="BH108" s="717"/>
      <c r="BI108" s="717"/>
      <c r="BJ108" s="717"/>
      <c r="BK108" s="717"/>
      <c r="BL108" s="717"/>
      <c r="BM108" s="717"/>
      <c r="BN108" s="717"/>
      <c r="BO108" s="717"/>
      <c r="BP108" s="717"/>
      <c r="BQ108" s="717"/>
      <c r="BR108" s="717"/>
      <c r="BS108" s="717"/>
      <c r="BT108" s="717"/>
      <c r="BU108" s="717"/>
      <c r="BV108" s="717"/>
      <c r="BW108" s="717"/>
      <c r="BX108" s="717"/>
      <c r="BY108" s="717"/>
      <c r="BZ108" s="717"/>
      <c r="CA108" s="717"/>
      <c r="CB108" s="717"/>
      <c r="CC108" s="717"/>
      <c r="CD108" s="717"/>
      <c r="CE108" s="717"/>
      <c r="CF108" s="717"/>
      <c r="CG108" s="717"/>
      <c r="CH108" s="717"/>
      <c r="CI108" s="717"/>
      <c r="CJ108" s="717"/>
      <c r="CK108" s="717"/>
      <c r="CL108" s="717"/>
      <c r="CM108" s="717"/>
      <c r="CN108" s="717"/>
      <c r="CO108" s="717"/>
      <c r="CP108" s="717"/>
      <c r="CQ108" s="717"/>
      <c r="CR108" s="717"/>
      <c r="CS108" s="717"/>
      <c r="CT108" s="717"/>
      <c r="CU108" s="717"/>
      <c r="CV108" s="717"/>
      <c r="CW108" s="717"/>
      <c r="CX108" s="717"/>
      <c r="CY108" s="717"/>
      <c r="CZ108" s="717"/>
      <c r="DA108" s="717"/>
      <c r="DB108" s="717"/>
      <c r="DC108" s="717"/>
      <c r="DD108" s="717"/>
      <c r="DE108" s="717"/>
      <c r="DF108" s="717"/>
      <c r="DG108" s="717"/>
      <c r="DH108" s="717"/>
      <c r="DI108" s="717"/>
      <c r="DJ108" s="717"/>
      <c r="DK108" s="717"/>
      <c r="DL108" s="717"/>
      <c r="DM108" s="717"/>
      <c r="DN108" s="717"/>
      <c r="DO108" s="717"/>
      <c r="DP108" s="717"/>
      <c r="DQ108" s="717"/>
      <c r="DR108" s="717"/>
      <c r="DS108" s="717"/>
      <c r="DT108" s="717"/>
      <c r="DU108" s="717"/>
      <c r="DV108" s="717"/>
      <c r="DW108" s="717"/>
      <c r="DX108" s="717"/>
      <c r="DY108" s="717"/>
      <c r="DZ108" s="717"/>
      <c r="EA108" s="717"/>
      <c r="EB108" s="717"/>
      <c r="EC108" s="717"/>
      <c r="ED108" s="717"/>
      <c r="EE108" s="717"/>
      <c r="EF108" s="717"/>
      <c r="EG108" s="717"/>
      <c r="EH108" s="717"/>
      <c r="EI108" s="717"/>
      <c r="EJ108" s="717"/>
      <c r="EK108" s="717"/>
      <c r="EL108" s="717"/>
      <c r="EM108" s="717"/>
      <c r="EN108" s="717"/>
      <c r="EO108" s="717"/>
      <c r="EP108" s="717"/>
      <c r="EQ108" s="717"/>
      <c r="ER108" s="717"/>
      <c r="ES108" s="717"/>
      <c r="ET108" s="717"/>
      <c r="EU108" s="717"/>
      <c r="EV108" s="717"/>
      <c r="EW108" s="717"/>
      <c r="EX108" s="717"/>
      <c r="EY108" s="717"/>
      <c r="EZ108" s="717"/>
      <c r="FA108" s="717"/>
      <c r="FB108" s="717"/>
      <c r="FC108" s="717"/>
      <c r="FD108" s="717"/>
      <c r="FE108" s="717"/>
      <c r="FF108" s="717"/>
      <c r="FG108" s="717"/>
      <c r="FH108" s="717"/>
      <c r="FI108" s="717"/>
      <c r="FJ108" s="717"/>
      <c r="FK108" s="717"/>
      <c r="FL108" s="717"/>
      <c r="FM108" s="717"/>
      <c r="FN108" s="717"/>
      <c r="FO108" s="717"/>
      <c r="FP108" s="717"/>
      <c r="FQ108" s="717"/>
      <c r="FR108" s="717"/>
      <c r="FS108" s="717"/>
      <c r="FT108" s="717"/>
      <c r="FU108" s="717"/>
      <c r="FV108" s="717"/>
      <c r="FW108" s="718"/>
      <c r="FZ108" s="689"/>
    </row>
    <row r="109" spans="1:186" ht="14.25" hidden="1" customHeight="1">
      <c r="A109" s="59"/>
      <c r="B109" s="611" t="b" cm="1">
        <f t="array" ref="B109">B108</f>
        <v>0</v>
      </c>
      <c r="C109" s="59"/>
      <c r="D109" s="59"/>
      <c r="E109" s="460">
        <v>15</v>
      </c>
      <c r="F109" s="3" t="str" cm="1">
        <f t="array" aca="1" ref="F109" ca="1">OFFSET(E109,-1,1)</f>
        <v>1</v>
      </c>
      <c r="G109" s="59"/>
      <c r="H109" s="59" t="s">
        <v>1604</v>
      </c>
      <c r="I109" s="59" t="s">
        <v>1650</v>
      </c>
      <c r="J109" s="59"/>
      <c r="K109" s="59"/>
      <c r="L109" s="59"/>
      <c r="M109" s="59"/>
      <c r="N109" s="59"/>
      <c r="O109" s="59"/>
      <c r="P109" s="59"/>
      <c r="Q109" s="59"/>
      <c r="R109" s="59"/>
      <c r="S109" s="59"/>
      <c r="T109" s="351" t="b" cm="1">
        <f t="array" aca="1" ref="T109" ca="1">T108</f>
        <v>1</v>
      </c>
      <c r="U109" s="59"/>
      <c r="V109" s="59"/>
      <c r="W109" s="59"/>
      <c r="X109" s="1046"/>
      <c r="Y109" s="59"/>
      <c r="Z109" s="1007"/>
      <c r="AA109" s="59"/>
      <c r="AB109" s="105" t="s">
        <v>1680</v>
      </c>
      <c r="AC109" s="12" t="s">
        <v>1647</v>
      </c>
      <c r="AD109" s="817">
        <f ca="1">IF(AD111=0,0,(AD110*AD111+AD112*AD113*IF(god=2026,3,6))/AD111)</f>
        <v>0</v>
      </c>
      <c r="AE109" s="817">
        <f ca="1">IF(AE111=0,0,(AE110*AE111+AE112*AE113*IF(god=2026,3,6))/AE111)</f>
        <v>0</v>
      </c>
      <c r="AF109" s="712">
        <f ca="1">IF(AD109=0,0,(AE109-AD109)/AD109*100)</f>
        <v>0</v>
      </c>
      <c r="AG109" s="57">
        <f ca="1">IF(AG111=0,0,(AG110*AG111+AG112*AG113*IF(god=2025,3,6))/AG111)</f>
        <v>0</v>
      </c>
      <c r="AH109" s="57">
        <f ca="1">IF(AH111=0,0,(AH110*AH111+AH112*AH113*IF(god=2025,3,6))/AH111)</f>
        <v>0</v>
      </c>
      <c r="AI109" s="712">
        <f ca="1">IF(AG109=0,0,(AH109-AG109)/AG109*100)</f>
        <v>0</v>
      </c>
      <c r="AJ109" s="57">
        <f ca="1">IF(AJ111=0,0,(AJ110*AJ111+AJ112*AJ113*6)/AJ111)</f>
        <v>0</v>
      </c>
      <c r="AK109" s="57">
        <f ca="1">IF(AK111=0,0,(AK110*AK111+AK112*AK113*6)/AK111)</f>
        <v>0</v>
      </c>
      <c r="AL109" s="712">
        <f ca="1">IF(AJ109=0,0,(AK109-AJ109)/AJ109*100)</f>
        <v>0</v>
      </c>
      <c r="AM109" s="817">
        <f ca="1">IF(AM111=0,0,(AM110*AM111+AM112*AM113*6)/AM111)</f>
        <v>0</v>
      </c>
      <c r="AN109" s="817">
        <f ca="1">IF(AN111=0,0,(AN110*AN111+AN112*AN113*6)/AN111)</f>
        <v>0</v>
      </c>
      <c r="AO109" s="712">
        <f ca="1">IF(AM109=0,0,(AN109-AM109)/AM109*100)</f>
        <v>0</v>
      </c>
      <c r="AP109" s="817">
        <f ca="1">IF(AP111=0,0,(AP110*AP111+AP112*AP113*6)/AP111)</f>
        <v>0</v>
      </c>
      <c r="AQ109" s="817">
        <f ca="1">IF(AQ111=0,0,(AQ110*AQ111+AQ112*AQ113*6)/AQ111)</f>
        <v>0</v>
      </c>
      <c r="AR109" s="712">
        <f ca="1">IF(AP109=0,0,(AQ109-AP109)/AP109*100)</f>
        <v>0</v>
      </c>
      <c r="AS109" s="817">
        <f ca="1">IF(AS111=0,0,(AS110*AS111+AS112*AS113*6)/AS111)</f>
        <v>0</v>
      </c>
      <c r="AT109" s="817">
        <f ca="1">IF(AT111=0,0,(AT110*AT111+AT112*AT113*6)/AT111)</f>
        <v>0</v>
      </c>
      <c r="AU109" s="712">
        <f ca="1">IF(AS109=0,0,(AT109-AS109)/AS109*100)</f>
        <v>0</v>
      </c>
      <c r="AV109" s="817">
        <f ca="1">IF(AV111=0,0,(AV110*AV111+AV112*AV113*6)/AV111)</f>
        <v>0</v>
      </c>
      <c r="AW109" s="817">
        <f ca="1">IF(AW111=0,0,(AW110*AW111+AW112*AW113*6)/AW111)</f>
        <v>0</v>
      </c>
      <c r="AX109" s="712">
        <f ca="1">IF(AV109=0,0,(AW109-AV109)/AV109*100)</f>
        <v>0</v>
      </c>
      <c r="AY109" s="817">
        <f ca="1">IF(AY111=0,0,(AY110*AY111+AY112*AY113*6)/AY111)</f>
        <v>0</v>
      </c>
      <c r="AZ109" s="817">
        <f ca="1">IF(AZ111=0,0,(AZ110*AZ111+AZ112*AZ113*6)/AZ111)</f>
        <v>0</v>
      </c>
      <c r="BA109" s="712">
        <f ca="1">IF(AY109=0,0,(AZ109-AY109)/AY109*100)</f>
        <v>0</v>
      </c>
      <c r="BB109" s="817">
        <f ca="1">IF(BB111=0,0,(BB110*BB111+BB112*BB113*6)/BB111)</f>
        <v>0</v>
      </c>
      <c r="BC109" s="817">
        <f ca="1">IF(BC111=0,0,(BC110*BC111+BC112*BC113*6)/BC111)</f>
        <v>0</v>
      </c>
      <c r="BD109" s="712">
        <f ca="1">IF(BB109=0,0,(BC109-BB109)/BB109*100)</f>
        <v>0</v>
      </c>
      <c r="BE109" s="817">
        <f ca="1">IF(BE111=0,0,(BE110*BE111+BE112*BE113*6)/BE111)</f>
        <v>0</v>
      </c>
      <c r="BF109" s="817">
        <f ca="1">IF(BF111=0,0,(BF110*BF111+BF112*BF113*6)/BF111)</f>
        <v>0</v>
      </c>
      <c r="BG109" s="712">
        <f ca="1">IF(BE109=0,0,(BF109-BE109)/BE109*100)</f>
        <v>0</v>
      </c>
      <c r="BH109" s="817">
        <f>IF(BH111=0,0,(BH110*BH111+BH112*BH113*6)/BH111)</f>
        <v>0</v>
      </c>
      <c r="BI109" s="817">
        <f>IF(BI111=0,0,(BI110*BI111+BI112*BI113*6)/BI111)</f>
        <v>0</v>
      </c>
      <c r="BJ109" s="712">
        <f>IF(BH109=0,0,(BI109-BH109)/BH109*100)</f>
        <v>0</v>
      </c>
      <c r="BK109" s="817">
        <f>IF(BK111=0,0,(BK110*BK111+BK112*BK113*6)/BK111)</f>
        <v>0</v>
      </c>
      <c r="BL109" s="817">
        <f>IF(BL111=0,0,(BL110*BL111+BL112*BL113*6)/BL111)</f>
        <v>0</v>
      </c>
      <c r="BM109" s="712">
        <f>IF(BK109=0,0,(BL109-BK109)/BK109*100)</f>
        <v>0</v>
      </c>
      <c r="BN109" s="817">
        <f>IF(BN111=0,0,(BN110*BN111+BN112*BN113*6)/BN111)</f>
        <v>0</v>
      </c>
      <c r="BO109" s="817">
        <f>IF(BO111=0,0,(BO110*BO111+BO112*BO113*6)/BO111)</f>
        <v>0</v>
      </c>
      <c r="BP109" s="712">
        <f>IF(BN109=0,0,(BO109-BN109)/BN109*100)</f>
        <v>0</v>
      </c>
      <c r="BQ109" s="817">
        <f>IF(BQ111=0,0,(BQ110*BQ111+BQ112*BQ113*6)/BQ111)</f>
        <v>0</v>
      </c>
      <c r="BR109" s="817">
        <f>IF(BR111=0,0,(BR110*BR111+BR112*BR113*6)/BR111)</f>
        <v>0</v>
      </c>
      <c r="BS109" s="712">
        <f>IF(BQ109=0,0,(BR109-BQ109)/BQ109*100)</f>
        <v>0</v>
      </c>
      <c r="BT109" s="817">
        <f>IF(BT111=0,0,(BT110*BT111+BT112*BT113*6)/BT111)</f>
        <v>0</v>
      </c>
      <c r="BU109" s="817">
        <f>IF(BU111=0,0,(BU110*BU111+BU112*BU113*6)/BU111)</f>
        <v>0</v>
      </c>
      <c r="BV109" s="712">
        <f>IF(BT109=0,0,(BU109-BT109)/BT109*100)</f>
        <v>0</v>
      </c>
      <c r="BW109" s="817">
        <f>IF(BW111=0,0,(BW110*BW111+BW112*BW113*6)/BW111)</f>
        <v>0</v>
      </c>
      <c r="BX109" s="817">
        <f>IF(BX111=0,0,(BX110*BX111+BX112*BX113*6)/BX111)</f>
        <v>0</v>
      </c>
      <c r="BY109" s="712">
        <f>IF(BW109=0,0,(BX109-BW109)/BW109*100)</f>
        <v>0</v>
      </c>
      <c r="BZ109" s="817">
        <f>IF(BZ111=0,0,(BZ110*BZ111+BZ112*BZ113*6)/BZ111)</f>
        <v>0</v>
      </c>
      <c r="CA109" s="817">
        <f>IF(CA111=0,0,(CA110*CA111+CA112*CA113*6)/CA111)</f>
        <v>0</v>
      </c>
      <c r="CB109" s="712">
        <f>IF(BZ109=0,0,(CA109-BZ109)/BZ109*100)</f>
        <v>0</v>
      </c>
      <c r="CC109" s="817">
        <f>IF(CC111=0,0,(CC110*CC111+CC112*CC113*6)/CC111)</f>
        <v>0</v>
      </c>
      <c r="CD109" s="817">
        <f>IF(CD111=0,0,(CD110*CD111+CD112*CD113*6)/CD111)</f>
        <v>0</v>
      </c>
      <c r="CE109" s="712">
        <f>IF(CC109=0,0,(CD109-CC109)/CC109*100)</f>
        <v>0</v>
      </c>
      <c r="CF109" s="817">
        <f>IF(CF111=0,0,(CF110*CF111+CF112*CF113*6)/CF111)</f>
        <v>0</v>
      </c>
      <c r="CG109" s="817">
        <f>IF(CG111=0,0,(CG110*CG111+CG112*CG113*6)/CG111)</f>
        <v>0</v>
      </c>
      <c r="CH109" s="712">
        <f>IF(CF109=0,0,(CG109-CF109)/CF109*100)</f>
        <v>0</v>
      </c>
      <c r="CI109" s="817">
        <f>IF(CI111=0,0,(CI110*CI111+CI112*CI113*6)/CI111)</f>
        <v>0</v>
      </c>
      <c r="CJ109" s="817">
        <f>IF(CJ111=0,0,(CJ110*CJ111+CJ112*CJ113*6)/CJ111)</f>
        <v>0</v>
      </c>
      <c r="CK109" s="712">
        <f>IF(CI109=0,0,(CJ109-CI109)/CI109*100)</f>
        <v>0</v>
      </c>
      <c r="CL109" s="817">
        <f>IF(CL111=0,0,(CL110*CL111+CL112*CL113*6)/CL111)</f>
        <v>0</v>
      </c>
      <c r="CM109" s="817">
        <f>IF(CM111=0,0,(CM110*CM111+CM112*CM113*6)/CM111)</f>
        <v>0</v>
      </c>
      <c r="CN109" s="712">
        <f>IF(CL109=0,0,(CM109-CL109)/CL109*100)</f>
        <v>0</v>
      </c>
      <c r="CO109" s="817">
        <f>IF(CO111=0,0,(CO110*CO111+CO112*CO113*6)/CO111)</f>
        <v>0</v>
      </c>
      <c r="CP109" s="817">
        <f>IF(CP111=0,0,(CP110*CP111+CP112*CP113*6)/CP111)</f>
        <v>0</v>
      </c>
      <c r="CQ109" s="712">
        <f>IF(CO109=0,0,(CP109-CO109)/CO109*100)</f>
        <v>0</v>
      </c>
      <c r="CR109" s="817">
        <f>IF(CR111=0,0,(CR110*CR111+CR112*CR113*6)/CR111)</f>
        <v>0</v>
      </c>
      <c r="CS109" s="817">
        <f>IF(CS111=0,0,(CS110*CS111+CS112*CS113*6)/CS111)</f>
        <v>0</v>
      </c>
      <c r="CT109" s="712">
        <f>IF(CR109=0,0,(CS109-CR109)/CR109*100)</f>
        <v>0</v>
      </c>
      <c r="CU109" s="817">
        <f>IF(CU111=0,0,(CU110*CU111+CU112*CU113*6)/CU111)</f>
        <v>0</v>
      </c>
      <c r="CV109" s="817">
        <f>IF(CV111=0,0,(CV110*CV111+CV112*CV113*6)/CV111)</f>
        <v>0</v>
      </c>
      <c r="CW109" s="712">
        <f>IF(CU109=0,0,(CV109-CU109)/CU109*100)</f>
        <v>0</v>
      </c>
      <c r="CX109" s="817">
        <f>IF(CX111=0,0,(CX110*CX111+CX112*CX113*6)/CX111)</f>
        <v>0</v>
      </c>
      <c r="CY109" s="817">
        <f>IF(CY111=0,0,(CY110*CY111+CY112*CY113*6)/CY111)</f>
        <v>0</v>
      </c>
      <c r="CZ109" s="712">
        <f>IF(CX109=0,0,(CY109-CX109)/CX109*100)</f>
        <v>0</v>
      </c>
      <c r="DA109" s="817">
        <f>IF(DA111=0,0,(DA110*DA111+DA112*DA113*6)/DA111)</f>
        <v>0</v>
      </c>
      <c r="DB109" s="817">
        <f>IF(DB111=0,0,(DB110*DB111+DB112*DB113*6)/DB111)</f>
        <v>0</v>
      </c>
      <c r="DC109" s="712">
        <f>IF(DA109=0,0,(DB109-DA109)/DA109*100)</f>
        <v>0</v>
      </c>
      <c r="DD109" s="817">
        <f>IF(DD111=0,0,(DD110*DD111+DD112*DD113*6)/DD111)</f>
        <v>0</v>
      </c>
      <c r="DE109" s="817">
        <f>IF(DE111=0,0,(DE110*DE111+DE112*DE113*6)/DE111)</f>
        <v>0</v>
      </c>
      <c r="DF109" s="712">
        <f>IF(DD109=0,0,(DE109-DD109)/DD109*100)</f>
        <v>0</v>
      </c>
      <c r="DG109" s="817">
        <f>IF(DG111=0,0,(DG110*DG111+DG112*DG113*6)/DG111)</f>
        <v>0</v>
      </c>
      <c r="DH109" s="817">
        <f>IF(DH111=0,0,(DH110*DH111+DH112*DH113*6)/DH111)</f>
        <v>0</v>
      </c>
      <c r="DI109" s="712">
        <f>IF(DG109=0,0,(DH109-DG109)/DG109*100)</f>
        <v>0</v>
      </c>
      <c r="DJ109" s="817">
        <f>IF(DJ111=0,0,(DJ110*DJ111+DJ112*DJ113*6)/DJ111)</f>
        <v>0</v>
      </c>
      <c r="DK109" s="817">
        <f>IF(DK111=0,0,(DK110*DK111+DK112*DK113*6)/DK111)</f>
        <v>0</v>
      </c>
      <c r="DL109" s="712">
        <f>IF(DJ109=0,0,(DK109-DJ109)/DJ109*100)</f>
        <v>0</v>
      </c>
      <c r="DM109" s="817">
        <f>IF(DM111=0,0,(DM110*DM111+DM112*DM113*6)/DM111)</f>
        <v>0</v>
      </c>
      <c r="DN109" s="817">
        <f>IF(DN111=0,0,(DN110*DN111+DN112*DN113*6)/DN111)</f>
        <v>0</v>
      </c>
      <c r="DO109" s="712">
        <f>IF(DM109=0,0,(DN109-DM109)/DM109*100)</f>
        <v>0</v>
      </c>
      <c r="DP109" s="817">
        <f>IF(DP111=0,0,(DP110*DP111+DP112*DP113*6)/DP111)</f>
        <v>0</v>
      </c>
      <c r="DQ109" s="817">
        <f>IF(DQ111=0,0,(DQ110*DQ111+DQ112*DQ113*6)/DQ111)</f>
        <v>0</v>
      </c>
      <c r="DR109" s="712">
        <f>IF(DP109=0,0,(DQ109-DP109)/DP109*100)</f>
        <v>0</v>
      </c>
      <c r="DS109" s="817">
        <f>IF(DS111=0,0,(DS110*DS111+DS112*DS113*6)/DS111)</f>
        <v>0</v>
      </c>
      <c r="DT109" s="817">
        <f>IF(DT111=0,0,(DT110*DT111+DT112*DT113*6)/DT111)</f>
        <v>0</v>
      </c>
      <c r="DU109" s="712">
        <f>IF(DS109=0,0,(DT109-DS109)/DS109*100)</f>
        <v>0</v>
      </c>
      <c r="DV109" s="817">
        <f>IF(DV111=0,0,(DV110*DV111+DV112*DV113*6)/DV111)</f>
        <v>0</v>
      </c>
      <c r="DW109" s="817">
        <f>IF(DW111=0,0,(DW110*DW111+DW112*DW113*6)/DW111)</f>
        <v>0</v>
      </c>
      <c r="DX109" s="712">
        <f>IF(DV109=0,0,(DW109-DV109)/DV109*100)</f>
        <v>0</v>
      </c>
      <c r="DY109" s="817">
        <f>IF(DY111=0,0,(DY110*DY111+DY112*DY113*6)/DY111)</f>
        <v>0</v>
      </c>
      <c r="DZ109" s="817">
        <f>IF(DZ111=0,0,(DZ110*DZ111+DZ112*DZ113*6)/DZ111)</f>
        <v>0</v>
      </c>
      <c r="EA109" s="712">
        <f>IF(DY109=0,0,(DZ109-DY109)/DY109*100)</f>
        <v>0</v>
      </c>
      <c r="EB109" s="817">
        <f>IF(EB111=0,0,(EB110*EB111+EB112*EB113*6)/EB111)</f>
        <v>0</v>
      </c>
      <c r="EC109" s="817">
        <f>IF(EC111=0,0,(EC110*EC111+EC112*EC113*6)/EC111)</f>
        <v>0</v>
      </c>
      <c r="ED109" s="712">
        <f>IF(EB109=0,0,(EC109-EB109)/EB109*100)</f>
        <v>0</v>
      </c>
      <c r="EE109" s="817">
        <f>IF(EE111=0,0,(EE110*EE111+EE112*EE113*6)/EE111)</f>
        <v>0</v>
      </c>
      <c r="EF109" s="817">
        <f>IF(EF111=0,0,(EF110*EF111+EF112*EF113*6)/EF111)</f>
        <v>0</v>
      </c>
      <c r="EG109" s="712">
        <f>IF(EE109=0,0,(EF109-EE109)/EE109*100)</f>
        <v>0</v>
      </c>
      <c r="EH109" s="817">
        <f>IF(EH111=0,0,(EH110*EH111+EH112*EH113*6)/EH111)</f>
        <v>0</v>
      </c>
      <c r="EI109" s="817">
        <f>IF(EI111=0,0,(EI110*EI111+EI112*EI113*6)/EI111)</f>
        <v>0</v>
      </c>
      <c r="EJ109" s="712">
        <f>IF(EH109=0,0,(EI109-EH109)/EH109*100)</f>
        <v>0</v>
      </c>
      <c r="EK109" s="817">
        <f>IF(EK111=0,0,(EK110*EK111+EK112*EK113*6)/EK111)</f>
        <v>0</v>
      </c>
      <c r="EL109" s="817">
        <f>IF(EL111=0,0,(EL110*EL111+EL112*EL113*6)/EL111)</f>
        <v>0</v>
      </c>
      <c r="EM109" s="712">
        <f>IF(EK109=0,0,(EL109-EK109)/EK109*100)</f>
        <v>0</v>
      </c>
      <c r="EN109" s="817">
        <f>IF(EN111=0,0,(EN110*EN111+EN112*EN113*6)/EN111)</f>
        <v>0</v>
      </c>
      <c r="EO109" s="817">
        <f>IF(EO111=0,0,(EO110*EO111+EO112*EO113*6)/EO111)</f>
        <v>0</v>
      </c>
      <c r="EP109" s="712">
        <f>IF(EN109=0,0,(EO109-EN109)/EN109*100)</f>
        <v>0</v>
      </c>
      <c r="EQ109" s="817">
        <f>IF(EQ111=0,0,(EQ110*EQ111+EQ112*EQ113*6)/EQ111)</f>
        <v>0</v>
      </c>
      <c r="ER109" s="817">
        <f>IF(ER111=0,0,(ER110*ER111+ER112*ER113*6)/ER111)</f>
        <v>0</v>
      </c>
      <c r="ES109" s="712">
        <f>IF(EQ109=0,0,(ER109-EQ109)/EQ109*100)</f>
        <v>0</v>
      </c>
      <c r="ET109" s="817">
        <f>IF(ET111=0,0,(ET110*ET111+ET112*ET113*6)/ET111)</f>
        <v>0</v>
      </c>
      <c r="EU109" s="817">
        <f>IF(EU111=0,0,(EU110*EU111+EU112*EU113*6)/EU111)</f>
        <v>0</v>
      </c>
      <c r="EV109" s="712">
        <f>IF(ET109=0,0,(EU109-ET109)/ET109*100)</f>
        <v>0</v>
      </c>
      <c r="EW109" s="817">
        <f>IF(EW111=0,0,(EW110*EW111+EW112*EW113*6)/EW111)</f>
        <v>0</v>
      </c>
      <c r="EX109" s="817">
        <f>IF(EX111=0,0,(EX110*EX111+EX112*EX113*6)/EX111)</f>
        <v>0</v>
      </c>
      <c r="EY109" s="712">
        <f>IF(EW109=0,0,(EX109-EW109)/EW109*100)</f>
        <v>0</v>
      </c>
      <c r="EZ109" s="817">
        <f>IF(EZ111=0,0,(EZ110*EZ111+EZ112*EZ113*6)/EZ111)</f>
        <v>0</v>
      </c>
      <c r="FA109" s="817">
        <f>IF(FA111=0,0,(FA110*FA111+FA112*FA113*6)/FA111)</f>
        <v>0</v>
      </c>
      <c r="FB109" s="712">
        <f>IF(EZ109=0,0,(FA109-EZ109)/EZ109*100)</f>
        <v>0</v>
      </c>
      <c r="FC109" s="817">
        <f>IF(FC111=0,0,(FC110*FC111+FC112*FC113*6)/FC111)</f>
        <v>0</v>
      </c>
      <c r="FD109" s="817">
        <f>IF(FD111=0,0,(FD110*FD111+FD112*FD113*6)/FD111)</f>
        <v>0</v>
      </c>
      <c r="FE109" s="712">
        <f>IF(FC109=0,0,(FD109-FC109)/FC109*100)</f>
        <v>0</v>
      </c>
      <c r="FF109" s="817">
        <f>IF(FF111=0,0,(FF110*FF111+FF112*FF113*6)/FF111)</f>
        <v>0</v>
      </c>
      <c r="FG109" s="817">
        <f>IF(FG111=0,0,(FG110*FG111+FG112*FG113*6)/FG111)</f>
        <v>0</v>
      </c>
      <c r="FH109" s="712">
        <f>IF(FF109=0,0,(FG109-FF109)/FF109*100)</f>
        <v>0</v>
      </c>
      <c r="FI109" s="817">
        <f>IF(FI111=0,0,(FI110*FI111+FI112*FI113*6)/FI111)</f>
        <v>0</v>
      </c>
      <c r="FJ109" s="817">
        <f>IF(FJ111=0,0,(FJ110*FJ111+FJ112*FJ113*6)/FJ111)</f>
        <v>0</v>
      </c>
      <c r="FK109" s="712">
        <f>IF(FI109=0,0,(FJ109-FI109)/FI109*100)</f>
        <v>0</v>
      </c>
      <c r="FL109" s="817">
        <f>IF(FL111=0,0,(FL110*FL111+FL112*FL113*6)/FL111)</f>
        <v>0</v>
      </c>
      <c r="FM109" s="817">
        <f>IF(FM111=0,0,(FM110*FM111+FM112*FM113*6)/FM111)</f>
        <v>0</v>
      </c>
      <c r="FN109" s="712">
        <f>IF(FL109=0,0,(FM109-FL109)/FL109*100)</f>
        <v>0</v>
      </c>
      <c r="FO109" s="817">
        <f>IF(FO111=0,0,(FO110*FO111+FO112*FO113*6)/FO111)</f>
        <v>0</v>
      </c>
      <c r="FP109" s="817">
        <f>IF(FP111=0,0,(FP110*FP111+FP112*FP113*6)/FP111)</f>
        <v>0</v>
      </c>
      <c r="FQ109" s="712">
        <f>IF(FO109=0,0,(FP109-FO109)/FO109*100)</f>
        <v>0</v>
      </c>
      <c r="FR109" s="817">
        <f>IF(FR111=0,0,(FR110*FR111+FR112*FR113*6)/FR111)</f>
        <v>0</v>
      </c>
      <c r="FS109" s="817">
        <f>IF(FS111=0,0,(FS110*FS111+FS112*FS113*6)/FS111)</f>
        <v>0</v>
      </c>
      <c r="FT109" s="712">
        <f>IF(FR109=0,0,(FS109-FR109)/FR109*100)</f>
        <v>0</v>
      </c>
      <c r="FU109" s="817">
        <f>IF(FU111=0,0,(FU110*FU111+FU112*FU113*6)/FU111)</f>
        <v>0</v>
      </c>
      <c r="FV109" s="817">
        <f>IF(FV111=0,0,(FV110*FV111+FV112*FV113*6)/FV111)</f>
        <v>0</v>
      </c>
      <c r="FW109" s="712">
        <f>IF(FU109=0,0,(FV109-FU109)/FU109*100)</f>
        <v>0</v>
      </c>
      <c r="FZ109" s="689" t="s">
        <v>1694</v>
      </c>
    </row>
    <row r="110" spans="1:186" ht="14.25" hidden="1" customHeight="1">
      <c r="A110" s="59"/>
      <c r="B110" s="611" t="b" cm="1">
        <f t="array" ref="B110">B109</f>
        <v>0</v>
      </c>
      <c r="C110" s="59"/>
      <c r="D110" s="59"/>
      <c r="E110" s="460">
        <v>15</v>
      </c>
      <c r="F110" s="3" t="str" cm="1">
        <f t="array" aca="1" ref="F110" ca="1">OFFSET(E110,-1,1)</f>
        <v>1</v>
      </c>
      <c r="G110" s="59"/>
      <c r="H110" s="59" t="s">
        <v>1608</v>
      </c>
      <c r="I110" s="59" t="s">
        <v>1650</v>
      </c>
      <c r="J110" s="59"/>
      <c r="K110" s="59"/>
      <c r="L110" s="59"/>
      <c r="M110" s="59"/>
      <c r="N110" s="59"/>
      <c r="O110" s="59"/>
      <c r="P110" s="59"/>
      <c r="Q110" s="59"/>
      <c r="R110" s="59"/>
      <c r="S110" s="59"/>
      <c r="T110" s="351" t="b" cm="1">
        <f t="array" aca="1" ref="T110" ca="1">T109</f>
        <v>1</v>
      </c>
      <c r="U110" s="59"/>
      <c r="V110" s="59"/>
      <c r="W110" s="59"/>
      <c r="X110" s="1046"/>
      <c r="Y110" s="59"/>
      <c r="Z110" s="1007"/>
      <c r="AA110" s="59"/>
      <c r="AB110"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12" t="s">
        <v>1647</v>
      </c>
      <c r="AD110" s="817"/>
      <c r="AE110" s="817"/>
      <c r="AF110" s="712">
        <f>IF(AD110=0,0,(AE110-AD110)/AD110*100)</f>
        <v>0</v>
      </c>
      <c r="AG110" s="57"/>
      <c r="AH110" s="57"/>
      <c r="AI110" s="712">
        <f>IF(AG110=0,0,(AH110-AG110)/AG110*100)</f>
        <v>0</v>
      </c>
      <c r="AJ110" s="57"/>
      <c r="AK110" s="57"/>
      <c r="AL110" s="712">
        <f>IF(AJ110=0,0,(AK110-AJ110)/AJ110*100)</f>
        <v>0</v>
      </c>
      <c r="AM110" s="817"/>
      <c r="AN110" s="817"/>
      <c r="AO110" s="712">
        <f>IF(AM110=0,0,(AN110-AM110)/AM110*100)</f>
        <v>0</v>
      </c>
      <c r="AP110" s="817"/>
      <c r="AQ110" s="817"/>
      <c r="AR110" s="712">
        <f>IF(AP110=0,0,(AQ110-AP110)/AP110*100)</f>
        <v>0</v>
      </c>
      <c r="AS110" s="817"/>
      <c r="AT110" s="817"/>
      <c r="AU110" s="712">
        <f>IF(AS110=0,0,(AT110-AS110)/AS110*100)</f>
        <v>0</v>
      </c>
      <c r="AV110" s="817"/>
      <c r="AW110" s="817"/>
      <c r="AX110" s="712">
        <f>IF(AV110=0,0,(AW110-AV110)/AV110*100)</f>
        <v>0</v>
      </c>
      <c r="AY110" s="817"/>
      <c r="AZ110" s="817"/>
      <c r="BA110" s="712">
        <f>IF(AY110=0,0,(AZ110-AY110)/AY110*100)</f>
        <v>0</v>
      </c>
      <c r="BB110" s="817"/>
      <c r="BC110" s="817"/>
      <c r="BD110" s="712">
        <f>IF(BB110=0,0,(BC110-BB110)/BB110*100)</f>
        <v>0</v>
      </c>
      <c r="BE110" s="817"/>
      <c r="BF110" s="817"/>
      <c r="BG110" s="712">
        <f>IF(BE110=0,0,(BF110-BE110)/BE110*100)</f>
        <v>0</v>
      </c>
      <c r="BH110" s="817"/>
      <c r="BI110" s="817"/>
      <c r="BJ110" s="712">
        <f>IF(BH110=0,0,(BI110-BH110)/BH110*100)</f>
        <v>0</v>
      </c>
      <c r="BK110" s="817"/>
      <c r="BL110" s="817"/>
      <c r="BM110" s="712">
        <f>IF(BK110=0,0,(BL110-BK110)/BK110*100)</f>
        <v>0</v>
      </c>
      <c r="BN110" s="817"/>
      <c r="BO110" s="817"/>
      <c r="BP110" s="712">
        <f>IF(BN110=0,0,(BO110-BN110)/BN110*100)</f>
        <v>0</v>
      </c>
      <c r="BQ110" s="817"/>
      <c r="BR110" s="817"/>
      <c r="BS110" s="712">
        <f>IF(BQ110=0,0,(BR110-BQ110)/BQ110*100)</f>
        <v>0</v>
      </c>
      <c r="BT110" s="817"/>
      <c r="BU110" s="817"/>
      <c r="BV110" s="712">
        <f>IF(BT110=0,0,(BU110-BT110)/BT110*100)</f>
        <v>0</v>
      </c>
      <c r="BW110" s="817"/>
      <c r="BX110" s="817"/>
      <c r="BY110" s="712">
        <f>IF(BW110=0,0,(BX110-BW110)/BW110*100)</f>
        <v>0</v>
      </c>
      <c r="BZ110" s="817"/>
      <c r="CA110" s="817"/>
      <c r="CB110" s="712">
        <f>IF(BZ110=0,0,(CA110-BZ110)/BZ110*100)</f>
        <v>0</v>
      </c>
      <c r="CC110" s="817"/>
      <c r="CD110" s="817"/>
      <c r="CE110" s="712">
        <f>IF(CC110=0,0,(CD110-CC110)/CC110*100)</f>
        <v>0</v>
      </c>
      <c r="CF110" s="817"/>
      <c r="CG110" s="817"/>
      <c r="CH110" s="712">
        <f>IF(CF110=0,0,(CG110-CF110)/CF110*100)</f>
        <v>0</v>
      </c>
      <c r="CI110" s="817"/>
      <c r="CJ110" s="817"/>
      <c r="CK110" s="712">
        <f>IF(CI110=0,0,(CJ110-CI110)/CI110*100)</f>
        <v>0</v>
      </c>
      <c r="CL110" s="817"/>
      <c r="CM110" s="817"/>
      <c r="CN110" s="712">
        <f>IF(CL110=0,0,(CM110-CL110)/CL110*100)</f>
        <v>0</v>
      </c>
      <c r="CO110" s="817"/>
      <c r="CP110" s="817"/>
      <c r="CQ110" s="712">
        <f>IF(CO110=0,0,(CP110-CO110)/CO110*100)</f>
        <v>0</v>
      </c>
      <c r="CR110" s="817"/>
      <c r="CS110" s="817"/>
      <c r="CT110" s="712">
        <f>IF(CR110=0,0,(CS110-CR110)/CR110*100)</f>
        <v>0</v>
      </c>
      <c r="CU110" s="817"/>
      <c r="CV110" s="817"/>
      <c r="CW110" s="712">
        <f>IF(CU110=0,0,(CV110-CU110)/CU110*100)</f>
        <v>0</v>
      </c>
      <c r="CX110" s="817"/>
      <c r="CY110" s="817"/>
      <c r="CZ110" s="712">
        <f>IF(CX110=0,0,(CY110-CX110)/CX110*100)</f>
        <v>0</v>
      </c>
      <c r="DA110" s="817"/>
      <c r="DB110" s="817"/>
      <c r="DC110" s="712">
        <f>IF(DA110=0,0,(DB110-DA110)/DA110*100)</f>
        <v>0</v>
      </c>
      <c r="DD110" s="817"/>
      <c r="DE110" s="817"/>
      <c r="DF110" s="712">
        <f>IF(DD110=0,0,(DE110-DD110)/DD110*100)</f>
        <v>0</v>
      </c>
      <c r="DG110" s="817"/>
      <c r="DH110" s="817"/>
      <c r="DI110" s="712">
        <f>IF(DG110=0,0,(DH110-DG110)/DG110*100)</f>
        <v>0</v>
      </c>
      <c r="DJ110" s="817"/>
      <c r="DK110" s="817"/>
      <c r="DL110" s="712">
        <f>IF(DJ110=0,0,(DK110-DJ110)/DJ110*100)</f>
        <v>0</v>
      </c>
      <c r="DM110" s="817"/>
      <c r="DN110" s="817"/>
      <c r="DO110" s="712">
        <f>IF(DM110=0,0,(DN110-DM110)/DM110*100)</f>
        <v>0</v>
      </c>
      <c r="DP110" s="817"/>
      <c r="DQ110" s="817"/>
      <c r="DR110" s="712">
        <f>IF(DP110=0,0,(DQ110-DP110)/DP110*100)</f>
        <v>0</v>
      </c>
      <c r="DS110" s="817"/>
      <c r="DT110" s="817"/>
      <c r="DU110" s="712">
        <f>IF(DS110=0,0,(DT110-DS110)/DS110*100)</f>
        <v>0</v>
      </c>
      <c r="DV110" s="817"/>
      <c r="DW110" s="817"/>
      <c r="DX110" s="712">
        <f>IF(DV110=0,0,(DW110-DV110)/DV110*100)</f>
        <v>0</v>
      </c>
      <c r="DY110" s="817"/>
      <c r="DZ110" s="817"/>
      <c r="EA110" s="712">
        <f>IF(DY110=0,0,(DZ110-DY110)/DY110*100)</f>
        <v>0</v>
      </c>
      <c r="EB110" s="817"/>
      <c r="EC110" s="817"/>
      <c r="ED110" s="712">
        <f>IF(EB110=0,0,(EC110-EB110)/EB110*100)</f>
        <v>0</v>
      </c>
      <c r="EE110" s="817"/>
      <c r="EF110" s="817"/>
      <c r="EG110" s="712">
        <f>IF(EE110=0,0,(EF110-EE110)/EE110*100)</f>
        <v>0</v>
      </c>
      <c r="EH110" s="817"/>
      <c r="EI110" s="817"/>
      <c r="EJ110" s="712">
        <f>IF(EH110=0,0,(EI110-EH110)/EH110*100)</f>
        <v>0</v>
      </c>
      <c r="EK110" s="817"/>
      <c r="EL110" s="817"/>
      <c r="EM110" s="712">
        <f>IF(EK110=0,0,(EL110-EK110)/EK110*100)</f>
        <v>0</v>
      </c>
      <c r="EN110" s="817"/>
      <c r="EO110" s="817"/>
      <c r="EP110" s="712">
        <f>IF(EN110=0,0,(EO110-EN110)/EN110*100)</f>
        <v>0</v>
      </c>
      <c r="EQ110" s="817"/>
      <c r="ER110" s="817"/>
      <c r="ES110" s="712">
        <f>IF(EQ110=0,0,(ER110-EQ110)/EQ110*100)</f>
        <v>0</v>
      </c>
      <c r="ET110" s="817"/>
      <c r="EU110" s="817"/>
      <c r="EV110" s="712">
        <f>IF(ET110=0,0,(EU110-ET110)/ET110*100)</f>
        <v>0</v>
      </c>
      <c r="EW110" s="817"/>
      <c r="EX110" s="817"/>
      <c r="EY110" s="712">
        <f>IF(EW110=0,0,(EX110-EW110)/EW110*100)</f>
        <v>0</v>
      </c>
      <c r="EZ110" s="817"/>
      <c r="FA110" s="817"/>
      <c r="FB110" s="712">
        <f>IF(EZ110=0,0,(FA110-EZ110)/EZ110*100)</f>
        <v>0</v>
      </c>
      <c r="FC110" s="817"/>
      <c r="FD110" s="817"/>
      <c r="FE110" s="712">
        <f>IF(FC110=0,0,(FD110-FC110)/FC110*100)</f>
        <v>0</v>
      </c>
      <c r="FF110" s="817"/>
      <c r="FG110" s="817"/>
      <c r="FH110" s="712">
        <f>IF(FF110=0,0,(FG110-FF110)/FF110*100)</f>
        <v>0</v>
      </c>
      <c r="FI110" s="817"/>
      <c r="FJ110" s="817"/>
      <c r="FK110" s="712">
        <f>IF(FI110=0,0,(FJ110-FI110)/FI110*100)</f>
        <v>0</v>
      </c>
      <c r="FL110" s="817"/>
      <c r="FM110" s="817"/>
      <c r="FN110" s="712">
        <f>IF(FL110=0,0,(FM110-FL110)/FL110*100)</f>
        <v>0</v>
      </c>
      <c r="FO110" s="817"/>
      <c r="FP110" s="817"/>
      <c r="FQ110" s="712">
        <f>IF(FO110=0,0,(FP110-FO110)/FO110*100)</f>
        <v>0</v>
      </c>
      <c r="FR110" s="817"/>
      <c r="FS110" s="817"/>
      <c r="FT110" s="712">
        <f>IF(FR110=0,0,(FS110-FR110)/FR110*100)</f>
        <v>0</v>
      </c>
      <c r="FU110" s="817"/>
      <c r="FV110" s="817"/>
      <c r="FW110" s="712">
        <f>IF(FU110=0,0,(FV110-FU110)/FU110*100)</f>
        <v>0</v>
      </c>
      <c r="FZ110" s="689" t="s">
        <v>1695</v>
      </c>
    </row>
    <row r="111" spans="1:186" ht="14.25" hidden="1" customHeight="1">
      <c r="A111" s="59"/>
      <c r="B111" s="611" t="b" cm="1">
        <f t="array" ref="B111">B110</f>
        <v>0</v>
      </c>
      <c r="C111" s="59"/>
      <c r="D111" s="59"/>
      <c r="E111" s="460">
        <v>15</v>
      </c>
      <c r="F111" s="3" t="str" cm="1">
        <f t="array" aca="1" ref="F111" ca="1">OFFSET(E111,-1,1)</f>
        <v>1</v>
      </c>
      <c r="G111" s="25" t="s">
        <v>1696</v>
      </c>
      <c r="H111" s="59" t="s">
        <v>1684</v>
      </c>
      <c r="I111" s="59" t="s">
        <v>1650</v>
      </c>
      <c r="J111" s="59"/>
      <c r="K111" s="59"/>
      <c r="L111" s="59"/>
      <c r="M111" s="59"/>
      <c r="N111" s="59"/>
      <c r="O111" s="59"/>
      <c r="P111" s="59"/>
      <c r="Q111" s="59"/>
      <c r="R111" s="59"/>
      <c r="S111" s="59"/>
      <c r="T111" s="351" t="b" cm="1">
        <f t="array" aca="1" ref="T111" ca="1">T110</f>
        <v>1</v>
      </c>
      <c r="U111" s="59"/>
      <c r="V111" s="59"/>
      <c r="W111" s="59"/>
      <c r="X111" s="1046"/>
      <c r="Y111" s="59"/>
      <c r="Z111" s="1007"/>
      <c r="AA111" s="59"/>
      <c r="AB111" s="105" t="str">
        <f>"объём "&amp;IF(Q85="Водоснабжение","потребления холодной воды","водоотведения")</f>
        <v>объём потребления холодной воды</v>
      </c>
      <c r="AC111" s="12" t="s">
        <v>585</v>
      </c>
      <c r="AD111" s="833">
        <f ca="1">IF(AND(method_reg="Метод индексации",god&lt;&gt;first_year),SUMIFS(INDEX('Калькуляция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(МИ)'!$AJ$25:$BC$315,,MATCH(AD$8,'Калькуляция (МИ)'!$AJ$8:$BC$8,0)),'Калькуляция (МИ)'!$F$25:$F$315,$F111,'Калькуляция (МИ)'!$G$25:$G$315,$G111))))</f>
        <v>2497.6334999999999</v>
      </c>
      <c r="AE111" s="833">
        <f ca="1">IF(AND(method_reg="Метод индексации",god&lt;&gt;first_year),SUMIFS(INDEX('Калькуляция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(МИ)'!$AJ$25:$BC$315,,MATCH(AE$8,'Калькуляция (МИ)'!$AJ$8:$BC$8,0)),'Калькуляция (МИ)'!$F$25:$F$315,$F111,'Калькуляция (МИ)'!$G$25:$G$315,$G111))))</f>
        <v>1248.8166675000002</v>
      </c>
      <c r="AF111" s="713">
        <f ca="1">IF(AD111=0,0,(AE111-AD111)/AD111*100)</f>
        <v>-50.000003303126725</v>
      </c>
      <c r="AG111" s="190">
        <f ca="1">IF(AND(method_reg="Метод индексации",god&lt;&gt;first_year),SUMIFS(INDEX('Калькуляция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(МИ)'!$AJ$25:$BC$315,,MATCH(AG$8,'Калькуляция (МИ)'!$AJ$8:$BC$8,0)),'Калькуляция (МИ)'!$F$25:$F$315,$F111,'Калькуляция (МИ)'!$G$25:$G$315,$G111))))</f>
        <v>2497.6334999999999</v>
      </c>
      <c r="AH111" s="190">
        <f ca="1">IF(AND(method_reg="Метод индексации",god&lt;&gt;first_year),SUMIFS(INDEX('Калькуляция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(МИ)'!$AJ$25:$BC$315,,MATCH(AH$8,'Калькуляция (МИ)'!$AJ$8:$BC$8,0)),'Калькуляция (МИ)'!$F$25:$F$315,$F111,'Калькуляция (МИ)'!$G$25:$G$315,$G111))))</f>
        <v>2497.633335</v>
      </c>
      <c r="AI111" s="713">
        <f ca="1">IF(AG111=0,0,(AH111-AG111)/AG111*100)</f>
        <v>-6.6062534765198969E-6</v>
      </c>
      <c r="AJ111" s="190">
        <f ca="1">IF(AND(method_reg="Метод индексации",god&lt;&gt;first_year),SUMIFS(INDEX('Калькуляция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(МИ)'!$AJ$25:$BC$315,,MATCH(AJ$8,'Калькуляция (МИ)'!$AJ$8:$BC$8,0)),'Калькуляция (МИ)'!$F$25:$F$315,$F111,'Калькуляция (МИ)'!$G$25:$G$315,$G111))))</f>
        <v>2497.6334999999999</v>
      </c>
      <c r="AK111" s="190">
        <f ca="1">IF(AND(method_reg="Метод индексации",god&lt;&gt;first_year),SUMIFS(INDEX('Калькуляция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(МИ)'!$AJ$25:$BC$315,,MATCH(AK$8,'Калькуляция (МИ)'!$AJ$8:$BC$8,0)),'Калькуляция (МИ)'!$F$25:$F$315,$F111,'Калькуляция (МИ)'!$G$25:$G$315,$G111))))</f>
        <v>2497.633335</v>
      </c>
      <c r="AL111" s="713">
        <f ca="1">IF(AJ111=0,0,(AK111-AJ111)/AJ111*100)</f>
        <v>-6.6062534765198969E-6</v>
      </c>
      <c r="AM111" s="833">
        <f ca="1">IF(AND(method_reg="Метод индексации",god&lt;&gt;first_year),SUMIFS(INDEX('Калькуляция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(МИ)'!$AJ$25:$BC$315,,MATCH(AM$8,'Калькуляция (МИ)'!$AJ$8:$BC$8,0)),'Калькуляция (МИ)'!$F$25:$F$315,$F111,'Калькуляция (МИ)'!$G$25:$G$315,$G111))))</f>
        <v>0</v>
      </c>
      <c r="AN111" s="833">
        <f ca="1">IF(AND(method_reg="Метод индексации",god&lt;&gt;first_year),SUMIFS(INDEX('Калькуляция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(МИ)'!$AJ$25:$BC$315,,MATCH(AN$8,'Калькуляция (МИ)'!$AJ$8:$BC$8,0)),'Калькуляция (МИ)'!$F$25:$F$315,$F111,'Калькуляция (МИ)'!$G$25:$G$315,$G111))))</f>
        <v>0</v>
      </c>
      <c r="AO111" s="713">
        <f ca="1">IF(AM111=0,0,(AN111-AM111)/AM111*100)</f>
        <v>0</v>
      </c>
      <c r="AP111" s="833">
        <f ca="1">IF(AND(method_reg="Метод индексации",god&lt;&gt;first_year),SUMIFS(INDEX('Калькуляция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(МИ)'!$AJ$25:$BC$315,,MATCH(AP$8,'Калькуляция (МИ)'!$AJ$8:$BC$8,0)),'Калькуляция (МИ)'!$F$25:$F$315,$F111,'Калькуляция (МИ)'!$G$25:$G$315,$G111))))</f>
        <v>0</v>
      </c>
      <c r="AQ111" s="833">
        <f ca="1">IF(AND(method_reg="Метод индексации",god&lt;&gt;first_year),SUMIFS(INDEX('Калькуляция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(МИ)'!$AJ$25:$BC$315,,MATCH(AQ$8,'Калькуляция (МИ)'!$AJ$8:$BC$8,0)),'Калькуляция (МИ)'!$F$25:$F$315,$F111,'Калькуляция (МИ)'!$G$25:$G$315,$G111))))</f>
        <v>0</v>
      </c>
      <c r="AR111" s="713">
        <f ca="1">IF(AP111=0,0,(AQ111-AP111)/AP111*100)</f>
        <v>0</v>
      </c>
      <c r="AS111" s="833">
        <f ca="1">IF(AND(method_reg="Метод индексации",god&lt;&gt;first_year),SUMIFS(INDEX('Калькуляция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(МИ)'!$AJ$25:$BC$315,,MATCH(AS$8,'Калькуляция (МИ)'!$AJ$8:$BC$8,0)),'Калькуляция (МИ)'!$F$25:$F$315,$F111,'Калькуляция (МИ)'!$G$25:$G$315,$G111))))</f>
        <v>0</v>
      </c>
      <c r="AT111" s="833">
        <f ca="1">IF(AND(method_reg="Метод индексации",god&lt;&gt;first_year),SUMIFS(INDEX('Калькуляция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(МИ)'!$AJ$25:$BC$315,,MATCH(AT$8,'Калькуляция (МИ)'!$AJ$8:$BC$8,0)),'Калькуляция (МИ)'!$F$25:$F$315,$F111,'Калькуляция (МИ)'!$G$25:$G$315,$G111))))</f>
        <v>0</v>
      </c>
      <c r="AU111" s="713">
        <f ca="1">IF(AS111=0,0,(AT111-AS111)/AS111*100)</f>
        <v>0</v>
      </c>
      <c r="AV111" s="833">
        <f ca="1">IF(AND(method_reg="Метод индексации",god&lt;&gt;first_year),SUMIFS(INDEX('Калькуляция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(МИ)'!$AJ$25:$BC$315,,MATCH(AV$8,'Калькуляция (МИ)'!$AJ$8:$BC$8,0)),'Калькуляция (МИ)'!$F$25:$F$315,$F111,'Калькуляция (МИ)'!$G$25:$G$315,$G111))))</f>
        <v>0</v>
      </c>
      <c r="AW111" s="833">
        <f ca="1">IF(AND(method_reg="Метод индексации",god&lt;&gt;first_year),SUMIFS(INDEX('Калькуляция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(МИ)'!$AJ$25:$BC$315,,MATCH(AW$8,'Калькуляция (МИ)'!$AJ$8:$BC$8,0)),'Калькуляция (МИ)'!$F$25:$F$315,$F111,'Калькуляция (МИ)'!$G$25:$G$315,$G111))))</f>
        <v>0</v>
      </c>
      <c r="AX111" s="713">
        <f ca="1">IF(AV111=0,0,(AW111-AV111)/AV111*100)</f>
        <v>0</v>
      </c>
      <c r="AY111" s="833">
        <f ca="1">IF(AND(method_reg="Метод индексации",god&lt;&gt;first_year),SUMIFS(INDEX('Калькуляция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(МИ)'!$AJ$25:$BC$315,,MATCH(AY$8,'Калькуляция (МИ)'!$AJ$8:$BC$8,0)),'Калькуляция (МИ)'!$F$25:$F$315,$F111,'Калькуляция (МИ)'!$G$25:$G$315,$G111))))</f>
        <v>0</v>
      </c>
      <c r="AZ111" s="833">
        <f ca="1">IF(AND(method_reg="Метод индексации",god&lt;&gt;first_year),SUMIFS(INDEX('Калькуляция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(МИ)'!$AJ$25:$BC$315,,MATCH(AZ$8,'Калькуляция (МИ)'!$AJ$8:$BC$8,0)),'Калькуляция (МИ)'!$F$25:$F$315,$F111,'Калькуляция (МИ)'!$G$25:$G$315,$G111))))</f>
        <v>0</v>
      </c>
      <c r="BA111" s="713">
        <f ca="1">IF(AY111=0,0,(AZ111-AY111)/AY111*100)</f>
        <v>0</v>
      </c>
      <c r="BB111" s="833">
        <f ca="1">IF(AND(method_reg="Метод индексации",god&lt;&gt;first_year),SUMIFS(INDEX('Калькуляция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(МИ)'!$AJ$25:$BC$315,,MATCH(BB$8,'Калькуляция (МИ)'!$AJ$8:$BC$8,0)),'Калькуляция (МИ)'!$F$25:$F$315,$F111,'Калькуляция (МИ)'!$G$25:$G$315,$G111))))</f>
        <v>0</v>
      </c>
      <c r="BC111" s="833">
        <f ca="1">IF(AND(method_reg="Метод индексации",god&lt;&gt;first_year),SUMIFS(INDEX('Калькуляция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(МИ)'!$AJ$25:$BC$315,,MATCH(BC$8,'Калькуляция (МИ)'!$AJ$8:$BC$8,0)),'Калькуляция (МИ)'!$F$25:$F$315,$F111,'Калькуляция (МИ)'!$G$25:$G$315,$G111))))</f>
        <v>0</v>
      </c>
      <c r="BD111" s="713">
        <f ca="1">IF(BB111=0,0,(BC111-BB111)/BB111*100)</f>
        <v>0</v>
      </c>
      <c r="BE111" s="833">
        <f ca="1">IF(AND(method_reg="Метод индексации",god&lt;&gt;first_year),SUMIFS(INDEX('Калькуляция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(МИ)'!$AJ$25:$BC$315,,MATCH(BE$8,'Калькуляция (МИ)'!$AJ$8:$BC$8,0)),'Калькуляция (МИ)'!$F$25:$F$315,$F111,'Калькуляция (МИ)'!$G$25:$G$315,$G111))))</f>
        <v>0</v>
      </c>
      <c r="BF111" s="833">
        <f ca="1">IF(AND(method_reg="Метод индексации",god&lt;&gt;first_year),SUMIFS(INDEX('Калькуляция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(МИ)'!$AJ$25:$BC$315,,MATCH(BF$8,'Калькуляция (МИ)'!$AJ$8:$BC$8,0)),'Калькуляция (МИ)'!$F$25:$F$315,$F111,'Калькуляция (МИ)'!$G$25:$G$315,$G111))))</f>
        <v>0</v>
      </c>
      <c r="BG111" s="713">
        <f ca="1">IF(BE111=0,0,(BF111-BE111)/BE111*100)</f>
        <v>0</v>
      </c>
      <c r="BH111" s="833"/>
      <c r="BI111" s="833"/>
      <c r="BJ111" s="713">
        <f>IF(BH111=0,0,(BI111-BH111)/BH111*100)</f>
        <v>0</v>
      </c>
      <c r="BK111" s="833"/>
      <c r="BL111" s="833"/>
      <c r="BM111" s="713">
        <f>IF(BK111=0,0,(BL111-BK111)/BK111*100)</f>
        <v>0</v>
      </c>
      <c r="BN111" s="833"/>
      <c r="BO111" s="833"/>
      <c r="BP111" s="713">
        <f>IF(BN111=0,0,(BO111-BN111)/BN111*100)</f>
        <v>0</v>
      </c>
      <c r="BQ111" s="833"/>
      <c r="BR111" s="833"/>
      <c r="BS111" s="713">
        <f>IF(BQ111=0,0,(BR111-BQ111)/BQ111*100)</f>
        <v>0</v>
      </c>
      <c r="BT111" s="833"/>
      <c r="BU111" s="833"/>
      <c r="BV111" s="713">
        <f>IF(BT111=0,0,(BU111-BT111)/BT111*100)</f>
        <v>0</v>
      </c>
      <c r="BW111" s="833"/>
      <c r="BX111" s="833"/>
      <c r="BY111" s="713">
        <f>IF(BW111=0,0,(BX111-BW111)/BW111*100)</f>
        <v>0</v>
      </c>
      <c r="BZ111" s="833"/>
      <c r="CA111" s="833"/>
      <c r="CB111" s="713">
        <f>IF(BZ111=0,0,(CA111-BZ111)/BZ111*100)</f>
        <v>0</v>
      </c>
      <c r="CC111" s="833"/>
      <c r="CD111" s="833"/>
      <c r="CE111" s="713">
        <f>IF(CC111=0,0,(CD111-CC111)/CC111*100)</f>
        <v>0</v>
      </c>
      <c r="CF111" s="833"/>
      <c r="CG111" s="833"/>
      <c r="CH111" s="713">
        <f>IF(CF111=0,0,(CG111-CF111)/CF111*100)</f>
        <v>0</v>
      </c>
      <c r="CI111" s="833"/>
      <c r="CJ111" s="833"/>
      <c r="CK111" s="713">
        <f>IF(CI111=0,0,(CJ111-CI111)/CI111*100)</f>
        <v>0</v>
      </c>
      <c r="CL111" s="833"/>
      <c r="CM111" s="833"/>
      <c r="CN111" s="713">
        <f>IF(CL111=0,0,(CM111-CL111)/CL111*100)</f>
        <v>0</v>
      </c>
      <c r="CO111" s="833"/>
      <c r="CP111" s="833"/>
      <c r="CQ111" s="713">
        <f>IF(CO111=0,0,(CP111-CO111)/CO111*100)</f>
        <v>0</v>
      </c>
      <c r="CR111" s="833"/>
      <c r="CS111" s="833"/>
      <c r="CT111" s="713">
        <f>IF(CR111=0,0,(CS111-CR111)/CR111*100)</f>
        <v>0</v>
      </c>
      <c r="CU111" s="833"/>
      <c r="CV111" s="833"/>
      <c r="CW111" s="713">
        <f>IF(CU111=0,0,(CV111-CU111)/CU111*100)</f>
        <v>0</v>
      </c>
      <c r="CX111" s="833"/>
      <c r="CY111" s="833"/>
      <c r="CZ111" s="713">
        <f>IF(CX111=0,0,(CY111-CX111)/CX111*100)</f>
        <v>0</v>
      </c>
      <c r="DA111" s="833"/>
      <c r="DB111" s="833"/>
      <c r="DC111" s="713">
        <f>IF(DA111=0,0,(DB111-DA111)/DA111*100)</f>
        <v>0</v>
      </c>
      <c r="DD111" s="833"/>
      <c r="DE111" s="833"/>
      <c r="DF111" s="713">
        <f>IF(DD111=0,0,(DE111-DD111)/DD111*100)</f>
        <v>0</v>
      </c>
      <c r="DG111" s="833"/>
      <c r="DH111" s="833"/>
      <c r="DI111" s="713">
        <f>IF(DG111=0,0,(DH111-DG111)/DG111*100)</f>
        <v>0</v>
      </c>
      <c r="DJ111" s="833"/>
      <c r="DK111" s="833"/>
      <c r="DL111" s="713">
        <f>IF(DJ111=0,0,(DK111-DJ111)/DJ111*100)</f>
        <v>0</v>
      </c>
      <c r="DM111" s="833"/>
      <c r="DN111" s="833"/>
      <c r="DO111" s="713">
        <f>IF(DM111=0,0,(DN111-DM111)/DM111*100)</f>
        <v>0</v>
      </c>
      <c r="DP111" s="833"/>
      <c r="DQ111" s="833"/>
      <c r="DR111" s="713">
        <f>IF(DP111=0,0,(DQ111-DP111)/DP111*100)</f>
        <v>0</v>
      </c>
      <c r="DS111" s="833"/>
      <c r="DT111" s="833"/>
      <c r="DU111" s="713">
        <f>IF(DS111=0,0,(DT111-DS111)/DS111*100)</f>
        <v>0</v>
      </c>
      <c r="DV111" s="833"/>
      <c r="DW111" s="833"/>
      <c r="DX111" s="713">
        <f>IF(DV111=0,0,(DW111-DV111)/DV111*100)</f>
        <v>0</v>
      </c>
      <c r="DY111" s="833"/>
      <c r="DZ111" s="833"/>
      <c r="EA111" s="713">
        <f>IF(DY111=0,0,(DZ111-DY111)/DY111*100)</f>
        <v>0</v>
      </c>
      <c r="EB111" s="833"/>
      <c r="EC111" s="833"/>
      <c r="ED111" s="713">
        <f>IF(EB111=0,0,(EC111-EB111)/EB111*100)</f>
        <v>0</v>
      </c>
      <c r="EE111" s="833"/>
      <c r="EF111" s="833"/>
      <c r="EG111" s="713">
        <f>IF(EE111=0,0,(EF111-EE111)/EE111*100)</f>
        <v>0</v>
      </c>
      <c r="EH111" s="833"/>
      <c r="EI111" s="833"/>
      <c r="EJ111" s="713">
        <f>IF(EH111=0,0,(EI111-EH111)/EH111*100)</f>
        <v>0</v>
      </c>
      <c r="EK111" s="833"/>
      <c r="EL111" s="833"/>
      <c r="EM111" s="713">
        <f>IF(EK111=0,0,(EL111-EK111)/EK111*100)</f>
        <v>0</v>
      </c>
      <c r="EN111" s="833"/>
      <c r="EO111" s="833"/>
      <c r="EP111" s="713">
        <f>IF(EN111=0,0,(EO111-EN111)/EN111*100)</f>
        <v>0</v>
      </c>
      <c r="EQ111" s="833"/>
      <c r="ER111" s="833"/>
      <c r="ES111" s="713">
        <f>IF(EQ111=0,0,(ER111-EQ111)/EQ111*100)</f>
        <v>0</v>
      </c>
      <c r="ET111" s="833"/>
      <c r="EU111" s="833"/>
      <c r="EV111" s="713">
        <f>IF(ET111=0,0,(EU111-ET111)/ET111*100)</f>
        <v>0</v>
      </c>
      <c r="EW111" s="833"/>
      <c r="EX111" s="833"/>
      <c r="EY111" s="713">
        <f>IF(EW111=0,0,(EX111-EW111)/EW111*100)</f>
        <v>0</v>
      </c>
      <c r="EZ111" s="833"/>
      <c r="FA111" s="833"/>
      <c r="FB111" s="713">
        <f>IF(EZ111=0,0,(FA111-EZ111)/EZ111*100)</f>
        <v>0</v>
      </c>
      <c r="FC111" s="833"/>
      <c r="FD111" s="833"/>
      <c r="FE111" s="713">
        <f>IF(FC111=0,0,(FD111-FC111)/FC111*100)</f>
        <v>0</v>
      </c>
      <c r="FF111" s="833"/>
      <c r="FG111" s="833"/>
      <c r="FH111" s="713">
        <f>IF(FF111=0,0,(FG111-FF111)/FF111*100)</f>
        <v>0</v>
      </c>
      <c r="FI111" s="833"/>
      <c r="FJ111" s="833"/>
      <c r="FK111" s="713">
        <f>IF(FI111=0,0,(FJ111-FI111)/FI111*100)</f>
        <v>0</v>
      </c>
      <c r="FL111" s="833"/>
      <c r="FM111" s="833"/>
      <c r="FN111" s="713">
        <f>IF(FL111=0,0,(FM111-FL111)/FL111*100)</f>
        <v>0</v>
      </c>
      <c r="FO111" s="833"/>
      <c r="FP111" s="833"/>
      <c r="FQ111" s="713">
        <f>IF(FO111=0,0,(FP111-FO111)/FO111*100)</f>
        <v>0</v>
      </c>
      <c r="FR111" s="833"/>
      <c r="FS111" s="833"/>
      <c r="FT111" s="713">
        <f>IF(FR111=0,0,(FS111-FR111)/FR111*100)</f>
        <v>0</v>
      </c>
      <c r="FU111" s="833"/>
      <c r="FV111" s="833"/>
      <c r="FW111" s="713">
        <f>IF(FU111=0,0,(FV111-FU111)/FU111*100)</f>
        <v>0</v>
      </c>
      <c r="FZ111" s="689" t="s">
        <v>1697</v>
      </c>
    </row>
    <row r="112" spans="1:186" ht="21.75" hidden="1" customHeight="1">
      <c r="A112" s="59"/>
      <c r="B112" s="611" t="b" cm="1">
        <f t="array" ref="B112">B111</f>
        <v>0</v>
      </c>
      <c r="C112" s="59"/>
      <c r="D112" s="59"/>
      <c r="E112" s="460">
        <v>22.5</v>
      </c>
      <c r="F112" s="3" t="str" cm="1">
        <f t="array" aca="1" ref="F112" ca="1">OFFSET(E112,-1,1)</f>
        <v>1</v>
      </c>
      <c r="G112" s="59"/>
      <c r="H112" s="59" t="s">
        <v>1686</v>
      </c>
      <c r="I112" s="59" t="s">
        <v>1650</v>
      </c>
      <c r="J112" s="59"/>
      <c r="K112" s="59"/>
      <c r="L112" s="59"/>
      <c r="M112" s="59"/>
      <c r="N112" s="59"/>
      <c r="O112" s="59"/>
      <c r="P112" s="59"/>
      <c r="Q112" s="59"/>
      <c r="R112" s="59"/>
      <c r="S112" s="59"/>
      <c r="T112" s="351" t="b" cm="1">
        <f t="array" aca="1" ref="T112" ca="1">T111</f>
        <v>1</v>
      </c>
      <c r="U112" s="59"/>
      <c r="V112" s="59"/>
      <c r="W112" s="59"/>
      <c r="X112" s="1046"/>
      <c r="Y112" s="59"/>
      <c r="Z112" s="1007"/>
      <c r="AA112" s="59"/>
      <c r="AB112"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12" t="s">
        <v>1687</v>
      </c>
      <c r="AD112" s="817"/>
      <c r="AE112" s="817"/>
      <c r="AF112" s="712">
        <f>IF(AD112=0,0,(AE112-AD112)/AD112*100)</f>
        <v>0</v>
      </c>
      <c r="AG112" s="57"/>
      <c r="AH112" s="57"/>
      <c r="AI112" s="712">
        <f>IF(AG112=0,0,(AH112-AG112)/AG112*100)</f>
        <v>0</v>
      </c>
      <c r="AJ112" s="57"/>
      <c r="AK112" s="57"/>
      <c r="AL112" s="712">
        <f>IF(AJ112=0,0,(AK112-AJ112)/AJ112*100)</f>
        <v>0</v>
      </c>
      <c r="AM112" s="817"/>
      <c r="AN112" s="817"/>
      <c r="AO112" s="712">
        <f>IF(AM112=0,0,(AN112-AM112)/AM112*100)</f>
        <v>0</v>
      </c>
      <c r="AP112" s="817"/>
      <c r="AQ112" s="817"/>
      <c r="AR112" s="712">
        <f>IF(AP112=0,0,(AQ112-AP112)/AP112*100)</f>
        <v>0</v>
      </c>
      <c r="AS112" s="817"/>
      <c r="AT112" s="817"/>
      <c r="AU112" s="712">
        <f>IF(AS112=0,0,(AT112-AS112)/AS112*100)</f>
        <v>0</v>
      </c>
      <c r="AV112" s="817"/>
      <c r="AW112" s="817"/>
      <c r="AX112" s="712">
        <f>IF(AV112=0,0,(AW112-AV112)/AV112*100)</f>
        <v>0</v>
      </c>
      <c r="AY112" s="817"/>
      <c r="AZ112" s="817"/>
      <c r="BA112" s="712">
        <f>IF(AY112=0,0,(AZ112-AY112)/AY112*100)</f>
        <v>0</v>
      </c>
      <c r="BB112" s="817"/>
      <c r="BC112" s="817"/>
      <c r="BD112" s="712">
        <f>IF(BB112=0,0,(BC112-BB112)/BB112*100)</f>
        <v>0</v>
      </c>
      <c r="BE112" s="817"/>
      <c r="BF112" s="817"/>
      <c r="BG112" s="712">
        <f>IF(BE112=0,0,(BF112-BE112)/BE112*100)</f>
        <v>0</v>
      </c>
      <c r="BH112" s="817"/>
      <c r="BI112" s="817"/>
      <c r="BJ112" s="712">
        <f>IF(BH112=0,0,(BI112-BH112)/BH112*100)</f>
        <v>0</v>
      </c>
      <c r="BK112" s="817"/>
      <c r="BL112" s="817"/>
      <c r="BM112" s="712">
        <f>IF(BK112=0,0,(BL112-BK112)/BK112*100)</f>
        <v>0</v>
      </c>
      <c r="BN112" s="817"/>
      <c r="BO112" s="817"/>
      <c r="BP112" s="712">
        <f>IF(BN112=0,0,(BO112-BN112)/BN112*100)</f>
        <v>0</v>
      </c>
      <c r="BQ112" s="817"/>
      <c r="BR112" s="817"/>
      <c r="BS112" s="712">
        <f>IF(BQ112=0,0,(BR112-BQ112)/BQ112*100)</f>
        <v>0</v>
      </c>
      <c r="BT112" s="817"/>
      <c r="BU112" s="817"/>
      <c r="BV112" s="712">
        <f>IF(BT112=0,0,(BU112-BT112)/BT112*100)</f>
        <v>0</v>
      </c>
      <c r="BW112" s="817"/>
      <c r="BX112" s="817"/>
      <c r="BY112" s="712">
        <f>IF(BW112=0,0,(BX112-BW112)/BW112*100)</f>
        <v>0</v>
      </c>
      <c r="BZ112" s="817"/>
      <c r="CA112" s="817"/>
      <c r="CB112" s="712">
        <f>IF(BZ112=0,0,(CA112-BZ112)/BZ112*100)</f>
        <v>0</v>
      </c>
      <c r="CC112" s="817"/>
      <c r="CD112" s="817"/>
      <c r="CE112" s="712">
        <f>IF(CC112=0,0,(CD112-CC112)/CC112*100)</f>
        <v>0</v>
      </c>
      <c r="CF112" s="817"/>
      <c r="CG112" s="817"/>
      <c r="CH112" s="712">
        <f>IF(CF112=0,0,(CG112-CF112)/CF112*100)</f>
        <v>0</v>
      </c>
      <c r="CI112" s="817"/>
      <c r="CJ112" s="817"/>
      <c r="CK112" s="712">
        <f>IF(CI112=0,0,(CJ112-CI112)/CI112*100)</f>
        <v>0</v>
      </c>
      <c r="CL112" s="817"/>
      <c r="CM112" s="817"/>
      <c r="CN112" s="712">
        <f>IF(CL112=0,0,(CM112-CL112)/CL112*100)</f>
        <v>0</v>
      </c>
      <c r="CO112" s="817"/>
      <c r="CP112" s="817"/>
      <c r="CQ112" s="712">
        <f>IF(CO112=0,0,(CP112-CO112)/CO112*100)</f>
        <v>0</v>
      </c>
      <c r="CR112" s="817"/>
      <c r="CS112" s="817"/>
      <c r="CT112" s="712">
        <f>IF(CR112=0,0,(CS112-CR112)/CR112*100)</f>
        <v>0</v>
      </c>
      <c r="CU112" s="817"/>
      <c r="CV112" s="817"/>
      <c r="CW112" s="712">
        <f>IF(CU112=0,0,(CV112-CU112)/CU112*100)</f>
        <v>0</v>
      </c>
      <c r="CX112" s="817"/>
      <c r="CY112" s="817"/>
      <c r="CZ112" s="712">
        <f>IF(CX112=0,0,(CY112-CX112)/CX112*100)</f>
        <v>0</v>
      </c>
      <c r="DA112" s="817"/>
      <c r="DB112" s="817"/>
      <c r="DC112" s="712">
        <f>IF(DA112=0,0,(DB112-DA112)/DA112*100)</f>
        <v>0</v>
      </c>
      <c r="DD112" s="817"/>
      <c r="DE112" s="817"/>
      <c r="DF112" s="712">
        <f>IF(DD112=0,0,(DE112-DD112)/DD112*100)</f>
        <v>0</v>
      </c>
      <c r="DG112" s="817"/>
      <c r="DH112" s="817"/>
      <c r="DI112" s="712">
        <f>IF(DG112=0,0,(DH112-DG112)/DG112*100)</f>
        <v>0</v>
      </c>
      <c r="DJ112" s="817"/>
      <c r="DK112" s="817"/>
      <c r="DL112" s="712">
        <f>IF(DJ112=0,0,(DK112-DJ112)/DJ112*100)</f>
        <v>0</v>
      </c>
      <c r="DM112" s="817"/>
      <c r="DN112" s="817"/>
      <c r="DO112" s="712">
        <f>IF(DM112=0,0,(DN112-DM112)/DM112*100)</f>
        <v>0</v>
      </c>
      <c r="DP112" s="817"/>
      <c r="DQ112" s="817"/>
      <c r="DR112" s="712">
        <f>IF(DP112=0,0,(DQ112-DP112)/DP112*100)</f>
        <v>0</v>
      </c>
      <c r="DS112" s="817"/>
      <c r="DT112" s="817"/>
      <c r="DU112" s="712">
        <f>IF(DS112=0,0,(DT112-DS112)/DS112*100)</f>
        <v>0</v>
      </c>
      <c r="DV112" s="817"/>
      <c r="DW112" s="817"/>
      <c r="DX112" s="712">
        <f>IF(DV112=0,0,(DW112-DV112)/DV112*100)</f>
        <v>0</v>
      </c>
      <c r="DY112" s="817"/>
      <c r="DZ112" s="817"/>
      <c r="EA112" s="712">
        <f>IF(DY112=0,0,(DZ112-DY112)/DY112*100)</f>
        <v>0</v>
      </c>
      <c r="EB112" s="817"/>
      <c r="EC112" s="817"/>
      <c r="ED112" s="712">
        <f>IF(EB112=0,0,(EC112-EB112)/EB112*100)</f>
        <v>0</v>
      </c>
      <c r="EE112" s="817"/>
      <c r="EF112" s="817"/>
      <c r="EG112" s="712">
        <f>IF(EE112=0,0,(EF112-EE112)/EE112*100)</f>
        <v>0</v>
      </c>
      <c r="EH112" s="817"/>
      <c r="EI112" s="817"/>
      <c r="EJ112" s="712">
        <f>IF(EH112=0,0,(EI112-EH112)/EH112*100)</f>
        <v>0</v>
      </c>
      <c r="EK112" s="817"/>
      <c r="EL112" s="817"/>
      <c r="EM112" s="712">
        <f>IF(EK112=0,0,(EL112-EK112)/EK112*100)</f>
        <v>0</v>
      </c>
      <c r="EN112" s="817"/>
      <c r="EO112" s="817"/>
      <c r="EP112" s="712">
        <f>IF(EN112=0,0,(EO112-EN112)/EN112*100)</f>
        <v>0</v>
      </c>
      <c r="EQ112" s="817"/>
      <c r="ER112" s="817"/>
      <c r="ES112" s="712">
        <f>IF(EQ112=0,0,(ER112-EQ112)/EQ112*100)</f>
        <v>0</v>
      </c>
      <c r="ET112" s="817"/>
      <c r="EU112" s="817"/>
      <c r="EV112" s="712">
        <f>IF(ET112=0,0,(EU112-ET112)/ET112*100)</f>
        <v>0</v>
      </c>
      <c r="EW112" s="817"/>
      <c r="EX112" s="817"/>
      <c r="EY112" s="712">
        <f>IF(EW112=0,0,(EX112-EW112)/EW112*100)</f>
        <v>0</v>
      </c>
      <c r="EZ112" s="817"/>
      <c r="FA112" s="817"/>
      <c r="FB112" s="712">
        <f>IF(EZ112=0,0,(FA112-EZ112)/EZ112*100)</f>
        <v>0</v>
      </c>
      <c r="FC112" s="817"/>
      <c r="FD112" s="817"/>
      <c r="FE112" s="712">
        <f>IF(FC112=0,0,(FD112-FC112)/FC112*100)</f>
        <v>0</v>
      </c>
      <c r="FF112" s="817"/>
      <c r="FG112" s="817"/>
      <c r="FH112" s="712">
        <f>IF(FF112=0,0,(FG112-FF112)/FF112*100)</f>
        <v>0</v>
      </c>
      <c r="FI112" s="817"/>
      <c r="FJ112" s="817"/>
      <c r="FK112" s="712">
        <f>IF(FI112=0,0,(FJ112-FI112)/FI112*100)</f>
        <v>0</v>
      </c>
      <c r="FL112" s="817"/>
      <c r="FM112" s="817"/>
      <c r="FN112" s="712">
        <f>IF(FL112=0,0,(FM112-FL112)/FL112*100)</f>
        <v>0</v>
      </c>
      <c r="FO112" s="817"/>
      <c r="FP112" s="817"/>
      <c r="FQ112" s="712">
        <f>IF(FO112=0,0,(FP112-FO112)/FO112*100)</f>
        <v>0</v>
      </c>
      <c r="FR112" s="817"/>
      <c r="FS112" s="817"/>
      <c r="FT112" s="712">
        <f>IF(FR112=0,0,(FS112-FR112)/FR112*100)</f>
        <v>0</v>
      </c>
      <c r="FU112" s="817"/>
      <c r="FV112" s="817"/>
      <c r="FW112" s="712">
        <f>IF(FU112=0,0,(FV112-FU112)/FU112*100)</f>
        <v>0</v>
      </c>
      <c r="FZ112" s="689" t="s">
        <v>1698</v>
      </c>
    </row>
    <row r="113" spans="1:186" ht="14.25" hidden="1" customHeight="1">
      <c r="A113" s="59"/>
      <c r="B113" s="611" t="b" cm="1">
        <f t="array" ref="B113">B112</f>
        <v>0</v>
      </c>
      <c r="C113" s="59"/>
      <c r="D113" s="59"/>
      <c r="E113" s="460">
        <v>15</v>
      </c>
      <c r="F113" s="3" t="str" cm="1">
        <f t="array" aca="1" ref="F113" ca="1">OFFSET(E113,-1,1)</f>
        <v>1</v>
      </c>
      <c r="G113" s="59"/>
      <c r="H113" s="59" t="s">
        <v>1689</v>
      </c>
      <c r="I113" s="59" t="s">
        <v>1650</v>
      </c>
      <c r="J113" s="59"/>
      <c r="K113" s="59"/>
      <c r="L113" s="59"/>
      <c r="M113" s="59"/>
      <c r="N113" s="59"/>
      <c r="O113" s="59"/>
      <c r="P113" s="59"/>
      <c r="Q113" s="59"/>
      <c r="R113" s="59"/>
      <c r="S113" s="59"/>
      <c r="T113" s="351" t="b" cm="1">
        <f t="array" aca="1" ref="T113" ca="1">T112</f>
        <v>1</v>
      </c>
      <c r="U113" s="59"/>
      <c r="V113" s="59"/>
      <c r="W113" s="59"/>
      <c r="X113" s="1046"/>
      <c r="Y113" s="59"/>
      <c r="Z113" s="1007"/>
      <c r="AA113" s="59"/>
      <c r="AB113" s="105" t="s">
        <v>1690</v>
      </c>
      <c r="AC113" s="12" t="s">
        <v>1691</v>
      </c>
      <c r="AD113" s="817"/>
      <c r="AE113" s="817"/>
      <c r="AF113" s="712">
        <f>IF(AD113=0,0,(AE113-AD113)/AD113*100)</f>
        <v>0</v>
      </c>
      <c r="AG113" s="57"/>
      <c r="AH113" s="57"/>
      <c r="AI113" s="712">
        <f>IF(AG113=0,0,(AH113-AG113)/AG113*100)</f>
        <v>0</v>
      </c>
      <c r="AJ113" s="57"/>
      <c r="AK113" s="57"/>
      <c r="AL113" s="712">
        <f>IF(AJ113=0,0,(AK113-AJ113)/AJ113*100)</f>
        <v>0</v>
      </c>
      <c r="AM113" s="817"/>
      <c r="AN113" s="817"/>
      <c r="AO113" s="712">
        <f>IF(AM113=0,0,(AN113-AM113)/AM113*100)</f>
        <v>0</v>
      </c>
      <c r="AP113" s="817"/>
      <c r="AQ113" s="817"/>
      <c r="AR113" s="712">
        <f>IF(AP113=0,0,(AQ113-AP113)/AP113*100)</f>
        <v>0</v>
      </c>
      <c r="AS113" s="817"/>
      <c r="AT113" s="817"/>
      <c r="AU113" s="712">
        <f>IF(AS113=0,0,(AT113-AS113)/AS113*100)</f>
        <v>0</v>
      </c>
      <c r="AV113" s="817"/>
      <c r="AW113" s="817"/>
      <c r="AX113" s="712">
        <f>IF(AV113=0,0,(AW113-AV113)/AV113*100)</f>
        <v>0</v>
      </c>
      <c r="AY113" s="817"/>
      <c r="AZ113" s="817"/>
      <c r="BA113" s="712">
        <f>IF(AY113=0,0,(AZ113-AY113)/AY113*100)</f>
        <v>0</v>
      </c>
      <c r="BB113" s="817"/>
      <c r="BC113" s="817"/>
      <c r="BD113" s="712">
        <f>IF(BB113=0,0,(BC113-BB113)/BB113*100)</f>
        <v>0</v>
      </c>
      <c r="BE113" s="817"/>
      <c r="BF113" s="817"/>
      <c r="BG113" s="712">
        <f>IF(BE113=0,0,(BF113-BE113)/BE113*100)</f>
        <v>0</v>
      </c>
      <c r="BH113" s="817"/>
      <c r="BI113" s="817"/>
      <c r="BJ113" s="712">
        <f>IF(BH113=0,0,(BI113-BH113)/BH113*100)</f>
        <v>0</v>
      </c>
      <c r="BK113" s="817"/>
      <c r="BL113" s="817"/>
      <c r="BM113" s="712">
        <f>IF(BK113=0,0,(BL113-BK113)/BK113*100)</f>
        <v>0</v>
      </c>
      <c r="BN113" s="817"/>
      <c r="BO113" s="817"/>
      <c r="BP113" s="712">
        <f>IF(BN113=0,0,(BO113-BN113)/BN113*100)</f>
        <v>0</v>
      </c>
      <c r="BQ113" s="817"/>
      <c r="BR113" s="817"/>
      <c r="BS113" s="712">
        <f>IF(BQ113=0,0,(BR113-BQ113)/BQ113*100)</f>
        <v>0</v>
      </c>
      <c r="BT113" s="817"/>
      <c r="BU113" s="817"/>
      <c r="BV113" s="712">
        <f>IF(BT113=0,0,(BU113-BT113)/BT113*100)</f>
        <v>0</v>
      </c>
      <c r="BW113" s="817"/>
      <c r="BX113" s="817"/>
      <c r="BY113" s="712">
        <f>IF(BW113=0,0,(BX113-BW113)/BW113*100)</f>
        <v>0</v>
      </c>
      <c r="BZ113" s="817"/>
      <c r="CA113" s="817"/>
      <c r="CB113" s="712">
        <f>IF(BZ113=0,0,(CA113-BZ113)/BZ113*100)</f>
        <v>0</v>
      </c>
      <c r="CC113" s="817"/>
      <c r="CD113" s="817"/>
      <c r="CE113" s="712">
        <f>IF(CC113=0,0,(CD113-CC113)/CC113*100)</f>
        <v>0</v>
      </c>
      <c r="CF113" s="817"/>
      <c r="CG113" s="817"/>
      <c r="CH113" s="712">
        <f>IF(CF113=0,0,(CG113-CF113)/CF113*100)</f>
        <v>0</v>
      </c>
      <c r="CI113" s="817"/>
      <c r="CJ113" s="817"/>
      <c r="CK113" s="712">
        <f>IF(CI113=0,0,(CJ113-CI113)/CI113*100)</f>
        <v>0</v>
      </c>
      <c r="CL113" s="817"/>
      <c r="CM113" s="817"/>
      <c r="CN113" s="712">
        <f>IF(CL113=0,0,(CM113-CL113)/CL113*100)</f>
        <v>0</v>
      </c>
      <c r="CO113" s="817"/>
      <c r="CP113" s="817"/>
      <c r="CQ113" s="712">
        <f>IF(CO113=0,0,(CP113-CO113)/CO113*100)</f>
        <v>0</v>
      </c>
      <c r="CR113" s="817"/>
      <c r="CS113" s="817"/>
      <c r="CT113" s="712">
        <f>IF(CR113=0,0,(CS113-CR113)/CR113*100)</f>
        <v>0</v>
      </c>
      <c r="CU113" s="817"/>
      <c r="CV113" s="817"/>
      <c r="CW113" s="712">
        <f>IF(CU113=0,0,(CV113-CU113)/CU113*100)</f>
        <v>0</v>
      </c>
      <c r="CX113" s="817"/>
      <c r="CY113" s="817"/>
      <c r="CZ113" s="712">
        <f>IF(CX113=0,0,(CY113-CX113)/CX113*100)</f>
        <v>0</v>
      </c>
      <c r="DA113" s="817"/>
      <c r="DB113" s="817"/>
      <c r="DC113" s="712">
        <f>IF(DA113=0,0,(DB113-DA113)/DA113*100)</f>
        <v>0</v>
      </c>
      <c r="DD113" s="817"/>
      <c r="DE113" s="817"/>
      <c r="DF113" s="712">
        <f>IF(DD113=0,0,(DE113-DD113)/DD113*100)</f>
        <v>0</v>
      </c>
      <c r="DG113" s="817"/>
      <c r="DH113" s="817"/>
      <c r="DI113" s="712">
        <f>IF(DG113=0,0,(DH113-DG113)/DG113*100)</f>
        <v>0</v>
      </c>
      <c r="DJ113" s="817"/>
      <c r="DK113" s="817"/>
      <c r="DL113" s="712">
        <f>IF(DJ113=0,0,(DK113-DJ113)/DJ113*100)</f>
        <v>0</v>
      </c>
      <c r="DM113" s="817"/>
      <c r="DN113" s="817"/>
      <c r="DO113" s="712">
        <f>IF(DM113=0,0,(DN113-DM113)/DM113*100)</f>
        <v>0</v>
      </c>
      <c r="DP113" s="817"/>
      <c r="DQ113" s="817"/>
      <c r="DR113" s="712">
        <f>IF(DP113=0,0,(DQ113-DP113)/DP113*100)</f>
        <v>0</v>
      </c>
      <c r="DS113" s="817"/>
      <c r="DT113" s="817"/>
      <c r="DU113" s="712">
        <f>IF(DS113=0,0,(DT113-DS113)/DS113*100)</f>
        <v>0</v>
      </c>
      <c r="DV113" s="817"/>
      <c r="DW113" s="817"/>
      <c r="DX113" s="712">
        <f>IF(DV113=0,0,(DW113-DV113)/DV113*100)</f>
        <v>0</v>
      </c>
      <c r="DY113" s="817"/>
      <c r="DZ113" s="817"/>
      <c r="EA113" s="712">
        <f>IF(DY113=0,0,(DZ113-DY113)/DY113*100)</f>
        <v>0</v>
      </c>
      <c r="EB113" s="817"/>
      <c r="EC113" s="817"/>
      <c r="ED113" s="712">
        <f>IF(EB113=0,0,(EC113-EB113)/EB113*100)</f>
        <v>0</v>
      </c>
      <c r="EE113" s="817"/>
      <c r="EF113" s="817"/>
      <c r="EG113" s="712">
        <f>IF(EE113=0,0,(EF113-EE113)/EE113*100)</f>
        <v>0</v>
      </c>
      <c r="EH113" s="817"/>
      <c r="EI113" s="817"/>
      <c r="EJ113" s="712">
        <f>IF(EH113=0,0,(EI113-EH113)/EH113*100)</f>
        <v>0</v>
      </c>
      <c r="EK113" s="817"/>
      <c r="EL113" s="817"/>
      <c r="EM113" s="712">
        <f>IF(EK113=0,0,(EL113-EK113)/EK113*100)</f>
        <v>0</v>
      </c>
      <c r="EN113" s="817"/>
      <c r="EO113" s="817"/>
      <c r="EP113" s="712">
        <f>IF(EN113=0,0,(EO113-EN113)/EN113*100)</f>
        <v>0</v>
      </c>
      <c r="EQ113" s="817"/>
      <c r="ER113" s="817"/>
      <c r="ES113" s="712">
        <f>IF(EQ113=0,0,(ER113-EQ113)/EQ113*100)</f>
        <v>0</v>
      </c>
      <c r="ET113" s="817"/>
      <c r="EU113" s="817"/>
      <c r="EV113" s="712">
        <f>IF(ET113=0,0,(EU113-ET113)/ET113*100)</f>
        <v>0</v>
      </c>
      <c r="EW113" s="817"/>
      <c r="EX113" s="817"/>
      <c r="EY113" s="712">
        <f>IF(EW113=0,0,(EX113-EW113)/EW113*100)</f>
        <v>0</v>
      </c>
      <c r="EZ113" s="817"/>
      <c r="FA113" s="817"/>
      <c r="FB113" s="712">
        <f>IF(EZ113=0,0,(FA113-EZ113)/EZ113*100)</f>
        <v>0</v>
      </c>
      <c r="FC113" s="817"/>
      <c r="FD113" s="817"/>
      <c r="FE113" s="712">
        <f>IF(FC113=0,0,(FD113-FC113)/FC113*100)</f>
        <v>0</v>
      </c>
      <c r="FF113" s="817"/>
      <c r="FG113" s="817"/>
      <c r="FH113" s="712">
        <f>IF(FF113=0,0,(FG113-FF113)/FF113*100)</f>
        <v>0</v>
      </c>
      <c r="FI113" s="817"/>
      <c r="FJ113" s="817"/>
      <c r="FK113" s="712">
        <f>IF(FI113=0,0,(FJ113-FI113)/FI113*100)</f>
        <v>0</v>
      </c>
      <c r="FL113" s="817"/>
      <c r="FM113" s="817"/>
      <c r="FN113" s="712">
        <f>IF(FL113=0,0,(FM113-FL113)/FL113*100)</f>
        <v>0</v>
      </c>
      <c r="FO113" s="817"/>
      <c r="FP113" s="817"/>
      <c r="FQ113" s="712">
        <f>IF(FO113=0,0,(FP113-FO113)/FO113*100)</f>
        <v>0</v>
      </c>
      <c r="FR113" s="817"/>
      <c r="FS113" s="817"/>
      <c r="FT113" s="712">
        <f>IF(FR113=0,0,(FS113-FR113)/FR113*100)</f>
        <v>0</v>
      </c>
      <c r="FU113" s="817"/>
      <c r="FV113" s="817"/>
      <c r="FW113" s="712">
        <f>IF(FU113=0,0,(FV113-FU113)/FU113*100)</f>
        <v>0</v>
      </c>
      <c r="FZ113" s="689" t="s">
        <v>1699</v>
      </c>
    </row>
    <row r="114" spans="1:186" ht="23.25" hidden="1" customHeight="1">
      <c r="A114" s="59"/>
      <c r="B114" s="611" t="b" cm="1">
        <f t="array" ref="B114">B113</f>
        <v>0</v>
      </c>
      <c r="C114" s="59"/>
      <c r="D114" s="59"/>
      <c r="E114" s="460">
        <v>24.5</v>
      </c>
      <c r="F114" s="3" t="str" cm="1">
        <f t="array" aca="1" ref="F114" ca="1">OFFSET(E114,-1,1)</f>
        <v>1</v>
      </c>
      <c r="G114" s="59"/>
      <c r="H114" s="59"/>
      <c r="I114" s="59"/>
      <c r="J114" s="59"/>
      <c r="K114" s="59"/>
      <c r="L114" s="59"/>
      <c r="M114" s="59"/>
      <c r="N114" s="59"/>
      <c r="O114" s="59"/>
      <c r="P114" s="59"/>
      <c r="Q114" s="59"/>
      <c r="R114" s="59"/>
      <c r="S114" s="59"/>
      <c r="T114" s="351" t="b" cm="1">
        <f t="array" aca="1" ref="T114" ca="1">T113</f>
        <v>1</v>
      </c>
      <c r="U114" s="59"/>
      <c r="V114" s="59"/>
      <c r="W114" s="59"/>
      <c r="X114" s="1046"/>
      <c r="Y114" s="59"/>
      <c r="Z114" s="1007"/>
      <c r="AA114" s="59"/>
      <c r="AB114" s="204" t="s">
        <v>1700</v>
      </c>
      <c r="AC114" s="595"/>
      <c r="AD114" s="717"/>
      <c r="AE114" s="717"/>
      <c r="AF114" s="717"/>
      <c r="AG114" s="717"/>
      <c r="AH114" s="717"/>
      <c r="AI114" s="717"/>
      <c r="AJ114" s="717"/>
      <c r="AK114" s="717"/>
      <c r="AL114" s="717"/>
      <c r="AM114" s="717"/>
      <c r="AN114" s="717"/>
      <c r="AO114" s="717"/>
      <c r="AP114" s="717"/>
      <c r="AQ114" s="717"/>
      <c r="AR114" s="717"/>
      <c r="AS114" s="717"/>
      <c r="AT114" s="717"/>
      <c r="AU114" s="717"/>
      <c r="AV114" s="717"/>
      <c r="AW114" s="717"/>
      <c r="AX114" s="717"/>
      <c r="AY114" s="717"/>
      <c r="AZ114" s="717"/>
      <c r="BA114" s="717"/>
      <c r="BB114" s="717"/>
      <c r="BC114" s="717"/>
      <c r="BD114" s="717"/>
      <c r="BE114" s="717"/>
      <c r="BF114" s="717"/>
      <c r="BG114" s="717"/>
      <c r="BH114" s="717"/>
      <c r="BI114" s="717"/>
      <c r="BJ114" s="717"/>
      <c r="BK114" s="717"/>
      <c r="BL114" s="717"/>
      <c r="BM114" s="717"/>
      <c r="BN114" s="717"/>
      <c r="BO114" s="717"/>
      <c r="BP114" s="717"/>
      <c r="BQ114" s="717"/>
      <c r="BR114" s="717"/>
      <c r="BS114" s="717"/>
      <c r="BT114" s="717"/>
      <c r="BU114" s="717"/>
      <c r="BV114" s="717"/>
      <c r="BW114" s="717"/>
      <c r="BX114" s="717"/>
      <c r="BY114" s="717"/>
      <c r="BZ114" s="717"/>
      <c r="CA114" s="717"/>
      <c r="CB114" s="717"/>
      <c r="CC114" s="717"/>
      <c r="CD114" s="717"/>
      <c r="CE114" s="717"/>
      <c r="CF114" s="717"/>
      <c r="CG114" s="717"/>
      <c r="CH114" s="717"/>
      <c r="CI114" s="717"/>
      <c r="CJ114" s="717"/>
      <c r="CK114" s="717"/>
      <c r="CL114" s="717"/>
      <c r="CM114" s="717"/>
      <c r="CN114" s="717"/>
      <c r="CO114" s="717"/>
      <c r="CP114" s="717"/>
      <c r="CQ114" s="717"/>
      <c r="CR114" s="717"/>
      <c r="CS114" s="717"/>
      <c r="CT114" s="717"/>
      <c r="CU114" s="717"/>
      <c r="CV114" s="717"/>
      <c r="CW114" s="717"/>
      <c r="CX114" s="717"/>
      <c r="CY114" s="717"/>
      <c r="CZ114" s="717"/>
      <c r="DA114" s="717"/>
      <c r="DB114" s="717"/>
      <c r="DC114" s="717"/>
      <c r="DD114" s="717"/>
      <c r="DE114" s="717"/>
      <c r="DF114" s="717"/>
      <c r="DG114" s="717"/>
      <c r="DH114" s="717"/>
      <c r="DI114" s="717"/>
      <c r="DJ114" s="717"/>
      <c r="DK114" s="717"/>
      <c r="DL114" s="717"/>
      <c r="DM114" s="717"/>
      <c r="DN114" s="717"/>
      <c r="DO114" s="717"/>
      <c r="DP114" s="717"/>
      <c r="DQ114" s="717"/>
      <c r="DR114" s="717"/>
      <c r="DS114" s="717"/>
      <c r="DT114" s="717"/>
      <c r="DU114" s="717"/>
      <c r="DV114" s="717"/>
      <c r="DW114" s="717"/>
      <c r="DX114" s="717"/>
      <c r="DY114" s="717"/>
      <c r="DZ114" s="717"/>
      <c r="EA114" s="717"/>
      <c r="EB114" s="717"/>
      <c r="EC114" s="717"/>
      <c r="ED114" s="717"/>
      <c r="EE114" s="717"/>
      <c r="EF114" s="717"/>
      <c r="EG114" s="717"/>
      <c r="EH114" s="717"/>
      <c r="EI114" s="717"/>
      <c r="EJ114" s="717"/>
      <c r="EK114" s="717"/>
      <c r="EL114" s="717"/>
      <c r="EM114" s="717"/>
      <c r="EN114" s="717"/>
      <c r="EO114" s="717"/>
      <c r="EP114" s="717"/>
      <c r="EQ114" s="717"/>
      <c r="ER114" s="717"/>
      <c r="ES114" s="717"/>
      <c r="ET114" s="717"/>
      <c r="EU114" s="717"/>
      <c r="EV114" s="717"/>
      <c r="EW114" s="717"/>
      <c r="EX114" s="717"/>
      <c r="EY114" s="717"/>
      <c r="EZ114" s="717"/>
      <c r="FA114" s="717"/>
      <c r="FB114" s="717"/>
      <c r="FC114" s="717"/>
      <c r="FD114" s="717"/>
      <c r="FE114" s="717"/>
      <c r="FF114" s="717"/>
      <c r="FG114" s="717"/>
      <c r="FH114" s="717"/>
      <c r="FI114" s="717"/>
      <c r="FJ114" s="717"/>
      <c r="FK114" s="717"/>
      <c r="FL114" s="717"/>
      <c r="FM114" s="717"/>
      <c r="FN114" s="717"/>
      <c r="FO114" s="717"/>
      <c r="FP114" s="717"/>
      <c r="FQ114" s="717"/>
      <c r="FR114" s="717"/>
      <c r="FS114" s="717"/>
      <c r="FT114" s="717"/>
      <c r="FU114" s="717"/>
      <c r="FV114" s="717"/>
      <c r="FW114" s="718"/>
      <c r="FZ114" s="689"/>
    </row>
    <row r="115" spans="1:186" ht="14.25" hidden="1" customHeight="1">
      <c r="A115" s="59"/>
      <c r="B115" s="611" t="b" cm="1">
        <f t="array" ref="B115">B114</f>
        <v>0</v>
      </c>
      <c r="C115" s="59"/>
      <c r="D115" s="59"/>
      <c r="E115" s="460">
        <v>15</v>
      </c>
      <c r="F115" s="3" t="str" cm="1">
        <f t="array" aca="1" ref="F115" ca="1">OFFSET(E115,-1,1)</f>
        <v>1</v>
      </c>
      <c r="G115" s="59"/>
      <c r="H115" s="59" t="s">
        <v>1604</v>
      </c>
      <c r="I115" s="59" t="s">
        <v>1660</v>
      </c>
      <c r="J115" s="59"/>
      <c r="K115" s="59"/>
      <c r="L115" s="59"/>
      <c r="M115" s="59"/>
      <c r="N115" s="59"/>
      <c r="O115" s="59"/>
      <c r="P115" s="59"/>
      <c r="Q115" s="59"/>
      <c r="R115" s="59"/>
      <c r="S115" s="59"/>
      <c r="T115" s="351" t="b" cm="1">
        <f t="array" aca="1" ref="T115" ca="1">T114</f>
        <v>1</v>
      </c>
      <c r="U115" s="59"/>
      <c r="V115" s="59"/>
      <c r="W115" s="59"/>
      <c r="X115" s="1046"/>
      <c r="Y115" s="59"/>
      <c r="Z115" s="1007"/>
      <c r="AA115" s="59"/>
      <c r="AB115" s="105" t="s">
        <v>1680</v>
      </c>
      <c r="AC115" s="12" t="s">
        <v>1647</v>
      </c>
      <c r="AD115" s="817">
        <f ca="1">IF(AD117=0,0,(AD116*AD117+AD118*AD119*IF(god=2026,9,6))/AD117)</f>
        <v>0</v>
      </c>
      <c r="AE115" s="817">
        <f ca="1">IF(AE117=0,0,(AE116*AE117+AE118*AE119*IF(god=2026,9,6))/AE117)</f>
        <v>0</v>
      </c>
      <c r="AF115" s="712">
        <f ca="1">IF(AD115=0,0,(AE115-AD115)/AD115*100)</f>
        <v>0</v>
      </c>
      <c r="AG115" s="57">
        <f ca="1">IF(AG117=0,0,(AG116*AG117+AG118*AG119*IF(god=2025,9,6))/AG117)</f>
        <v>0</v>
      </c>
      <c r="AH115" s="57">
        <f ca="1">IF(AH117=0,0,(AH116*AH117+AH118*AH119*IF(god=2025,9,6))/AH117)</f>
        <v>0</v>
      </c>
      <c r="AI115" s="712">
        <f ca="1">IF(AG115=0,0,(AH115-AG115)/AG115*100)</f>
        <v>0</v>
      </c>
      <c r="AJ115" s="57">
        <f ca="1">IF(AJ117=0,0,(AJ116*AJ117+AJ118*AJ119*6)/AJ117)</f>
        <v>0</v>
      </c>
      <c r="AK115" s="57">
        <f ca="1">IF(AK117=0,0,(AK116*AK117+AK118*AK119*6)/AK117)</f>
        <v>0</v>
      </c>
      <c r="AL115" s="712">
        <f ca="1">IF(AJ115=0,0,(AK115-AJ115)/AJ115*100)</f>
        <v>0</v>
      </c>
      <c r="AM115" s="817">
        <f ca="1">IF(AM117=0,0,(AM116*AM117+AM118*AM119*6)/AM117)</f>
        <v>0</v>
      </c>
      <c r="AN115" s="817">
        <f ca="1">IF(AN117=0,0,(AN116*AN117+AN118*AN119*6)/AN117)</f>
        <v>0</v>
      </c>
      <c r="AO115" s="712">
        <f ca="1">IF(AM115=0,0,(AN115-AM115)/AM115*100)</f>
        <v>0</v>
      </c>
      <c r="AP115" s="817">
        <f ca="1">IF(AP117=0,0,(AP116*AP117+AP118*AP119*6)/AP117)</f>
        <v>0</v>
      </c>
      <c r="AQ115" s="817">
        <f ca="1">IF(AQ117=0,0,(AQ116*AQ117+AQ118*AQ119*6)/AQ117)</f>
        <v>0</v>
      </c>
      <c r="AR115" s="712">
        <f ca="1">IF(AP115=0,0,(AQ115-AP115)/AP115*100)</f>
        <v>0</v>
      </c>
      <c r="AS115" s="817">
        <f ca="1">IF(AS117=0,0,(AS116*AS117+AS118*AS119*6)/AS117)</f>
        <v>0</v>
      </c>
      <c r="AT115" s="817">
        <f ca="1">IF(AT117=0,0,(AT116*AT117+AT118*AT119*6)/AT117)</f>
        <v>0</v>
      </c>
      <c r="AU115" s="712">
        <f ca="1">IF(AS115=0,0,(AT115-AS115)/AS115*100)</f>
        <v>0</v>
      </c>
      <c r="AV115" s="817">
        <f ca="1">IF(AV117=0,0,(AV116*AV117+AV118*AV119*6)/AV117)</f>
        <v>0</v>
      </c>
      <c r="AW115" s="817">
        <f ca="1">IF(AW117=0,0,(AW116*AW117+AW118*AW119*6)/AW117)</f>
        <v>0</v>
      </c>
      <c r="AX115" s="712">
        <f ca="1">IF(AV115=0,0,(AW115-AV115)/AV115*100)</f>
        <v>0</v>
      </c>
      <c r="AY115" s="817">
        <f ca="1">IF(AY117=0,0,(AY116*AY117+AY118*AY119*6)/AY117)</f>
        <v>0</v>
      </c>
      <c r="AZ115" s="817">
        <f ca="1">IF(AZ117=0,0,(AZ116*AZ117+AZ118*AZ119*6)/AZ117)</f>
        <v>0</v>
      </c>
      <c r="BA115" s="712">
        <f ca="1">IF(AY115=0,0,(AZ115-AY115)/AY115*100)</f>
        <v>0</v>
      </c>
      <c r="BB115" s="817">
        <f ca="1">IF(BB117=0,0,(BB116*BB117+BB118*BB119*6)/BB117)</f>
        <v>0</v>
      </c>
      <c r="BC115" s="817">
        <f ca="1">IF(BC117=0,0,(BC116*BC117+BC118*BC119*6)/BC117)</f>
        <v>0</v>
      </c>
      <c r="BD115" s="712">
        <f ca="1">IF(BB115=0,0,(BC115-BB115)/BB115*100)</f>
        <v>0</v>
      </c>
      <c r="BE115" s="817">
        <f ca="1">IF(BE117=0,0,(BE116*BE117+BE118*BE119*6)/BE117)</f>
        <v>0</v>
      </c>
      <c r="BF115" s="817">
        <f ca="1">IF(BF117=0,0,(BF116*BF117+BF118*BF119*6)/BF117)</f>
        <v>0</v>
      </c>
      <c r="BG115" s="712">
        <f ca="1">IF(BE115=0,0,(BF115-BE115)/BE115*100)</f>
        <v>0</v>
      </c>
      <c r="BH115" s="817">
        <f>IF(BH117=0,0,(BH116*BH117+BH118*BH119*6)/BH117)</f>
        <v>0</v>
      </c>
      <c r="BI115" s="817">
        <f>IF(BI117=0,0,(BI116*BI117+BI118*BI119*6)/BI117)</f>
        <v>0</v>
      </c>
      <c r="BJ115" s="712">
        <f>IF(BH115=0,0,(BI115-BH115)/BH115*100)</f>
        <v>0</v>
      </c>
      <c r="BK115" s="817">
        <f>IF(BK117=0,0,(BK116*BK117+BK118*BK119*6)/BK117)</f>
        <v>0</v>
      </c>
      <c r="BL115" s="817">
        <f>IF(BL117=0,0,(BL116*BL117+BL118*BL119*6)/BL117)</f>
        <v>0</v>
      </c>
      <c r="BM115" s="712">
        <f>IF(BK115=0,0,(BL115-BK115)/BK115*100)</f>
        <v>0</v>
      </c>
      <c r="BN115" s="817">
        <f>IF(BN117=0,0,(BN116*BN117+BN118*BN119*6)/BN117)</f>
        <v>0</v>
      </c>
      <c r="BO115" s="817">
        <f>IF(BO117=0,0,(BO116*BO117+BO118*BO119*6)/BO117)</f>
        <v>0</v>
      </c>
      <c r="BP115" s="712">
        <f>IF(BN115=0,0,(BO115-BN115)/BN115*100)</f>
        <v>0</v>
      </c>
      <c r="BQ115" s="817">
        <f>IF(BQ117=0,0,(BQ116*BQ117+BQ118*BQ119*6)/BQ117)</f>
        <v>0</v>
      </c>
      <c r="BR115" s="817">
        <f>IF(BR117=0,0,(BR116*BR117+BR118*BR119*6)/BR117)</f>
        <v>0</v>
      </c>
      <c r="BS115" s="712">
        <f>IF(BQ115=0,0,(BR115-BQ115)/BQ115*100)</f>
        <v>0</v>
      </c>
      <c r="BT115" s="817">
        <f>IF(BT117=0,0,(BT116*BT117+BT118*BT119*6)/BT117)</f>
        <v>0</v>
      </c>
      <c r="BU115" s="817">
        <f>IF(BU117=0,0,(BU116*BU117+BU118*BU119*6)/BU117)</f>
        <v>0</v>
      </c>
      <c r="BV115" s="712">
        <f>IF(BT115=0,0,(BU115-BT115)/BT115*100)</f>
        <v>0</v>
      </c>
      <c r="BW115" s="817">
        <f>IF(BW117=0,0,(BW116*BW117+BW118*BW119*6)/BW117)</f>
        <v>0</v>
      </c>
      <c r="BX115" s="817">
        <f>IF(BX117=0,0,(BX116*BX117+BX118*BX119*6)/BX117)</f>
        <v>0</v>
      </c>
      <c r="BY115" s="712">
        <f>IF(BW115=0,0,(BX115-BW115)/BW115*100)</f>
        <v>0</v>
      </c>
      <c r="BZ115" s="817">
        <f>IF(BZ117=0,0,(BZ116*BZ117+BZ118*BZ119*6)/BZ117)</f>
        <v>0</v>
      </c>
      <c r="CA115" s="817">
        <f>IF(CA117=0,0,(CA116*CA117+CA118*CA119*6)/CA117)</f>
        <v>0</v>
      </c>
      <c r="CB115" s="712">
        <f>IF(BZ115=0,0,(CA115-BZ115)/BZ115*100)</f>
        <v>0</v>
      </c>
      <c r="CC115" s="817">
        <f>IF(CC117=0,0,(CC116*CC117+CC118*CC119*6)/CC117)</f>
        <v>0</v>
      </c>
      <c r="CD115" s="817">
        <f>IF(CD117=0,0,(CD116*CD117+CD118*CD119*6)/CD117)</f>
        <v>0</v>
      </c>
      <c r="CE115" s="712">
        <f>IF(CC115=0,0,(CD115-CC115)/CC115*100)</f>
        <v>0</v>
      </c>
      <c r="CF115" s="817">
        <f>IF(CF117=0,0,(CF116*CF117+CF118*CF119*6)/CF117)</f>
        <v>0</v>
      </c>
      <c r="CG115" s="817">
        <f>IF(CG117=0,0,(CG116*CG117+CG118*CG119*6)/CG117)</f>
        <v>0</v>
      </c>
      <c r="CH115" s="712">
        <f>IF(CF115=0,0,(CG115-CF115)/CF115*100)</f>
        <v>0</v>
      </c>
      <c r="CI115" s="817">
        <f>IF(CI117=0,0,(CI116*CI117+CI118*CI119*6)/CI117)</f>
        <v>0</v>
      </c>
      <c r="CJ115" s="817">
        <f>IF(CJ117=0,0,(CJ116*CJ117+CJ118*CJ119*6)/CJ117)</f>
        <v>0</v>
      </c>
      <c r="CK115" s="712">
        <f>IF(CI115=0,0,(CJ115-CI115)/CI115*100)</f>
        <v>0</v>
      </c>
      <c r="CL115" s="817">
        <f>IF(CL117=0,0,(CL116*CL117+CL118*CL119*6)/CL117)</f>
        <v>0</v>
      </c>
      <c r="CM115" s="817">
        <f>IF(CM117=0,0,(CM116*CM117+CM118*CM119*6)/CM117)</f>
        <v>0</v>
      </c>
      <c r="CN115" s="712">
        <f>IF(CL115=0,0,(CM115-CL115)/CL115*100)</f>
        <v>0</v>
      </c>
      <c r="CO115" s="817">
        <f>IF(CO117=0,0,(CO116*CO117+CO118*CO119*6)/CO117)</f>
        <v>0</v>
      </c>
      <c r="CP115" s="817">
        <f>IF(CP117=0,0,(CP116*CP117+CP118*CP119*6)/CP117)</f>
        <v>0</v>
      </c>
      <c r="CQ115" s="712">
        <f>IF(CO115=0,0,(CP115-CO115)/CO115*100)</f>
        <v>0</v>
      </c>
      <c r="CR115" s="817">
        <f>IF(CR117=0,0,(CR116*CR117+CR118*CR119*6)/CR117)</f>
        <v>0</v>
      </c>
      <c r="CS115" s="817">
        <f>IF(CS117=0,0,(CS116*CS117+CS118*CS119*6)/CS117)</f>
        <v>0</v>
      </c>
      <c r="CT115" s="712">
        <f>IF(CR115=0,0,(CS115-CR115)/CR115*100)</f>
        <v>0</v>
      </c>
      <c r="CU115" s="817">
        <f>IF(CU117=0,0,(CU116*CU117+CU118*CU119*6)/CU117)</f>
        <v>0</v>
      </c>
      <c r="CV115" s="817">
        <f>IF(CV117=0,0,(CV116*CV117+CV118*CV119*6)/CV117)</f>
        <v>0</v>
      </c>
      <c r="CW115" s="712">
        <f>IF(CU115=0,0,(CV115-CU115)/CU115*100)</f>
        <v>0</v>
      </c>
      <c r="CX115" s="817">
        <f>IF(CX117=0,0,(CX116*CX117+CX118*CX119*6)/CX117)</f>
        <v>0</v>
      </c>
      <c r="CY115" s="817">
        <f>IF(CY117=0,0,(CY116*CY117+CY118*CY119*6)/CY117)</f>
        <v>0</v>
      </c>
      <c r="CZ115" s="712">
        <f>IF(CX115=0,0,(CY115-CX115)/CX115*100)</f>
        <v>0</v>
      </c>
      <c r="DA115" s="817">
        <f>IF(DA117=0,0,(DA116*DA117+DA118*DA119*6)/DA117)</f>
        <v>0</v>
      </c>
      <c r="DB115" s="817">
        <f>IF(DB117=0,0,(DB116*DB117+DB118*DB119*6)/DB117)</f>
        <v>0</v>
      </c>
      <c r="DC115" s="712">
        <f>IF(DA115=0,0,(DB115-DA115)/DA115*100)</f>
        <v>0</v>
      </c>
      <c r="DD115" s="817">
        <f>IF(DD117=0,0,(DD116*DD117+DD118*DD119*6)/DD117)</f>
        <v>0</v>
      </c>
      <c r="DE115" s="817">
        <f>IF(DE117=0,0,(DE116*DE117+DE118*DE119*6)/DE117)</f>
        <v>0</v>
      </c>
      <c r="DF115" s="712">
        <f>IF(DD115=0,0,(DE115-DD115)/DD115*100)</f>
        <v>0</v>
      </c>
      <c r="DG115" s="817">
        <f>IF(DG117=0,0,(DG116*DG117+DG118*DG119*6)/DG117)</f>
        <v>0</v>
      </c>
      <c r="DH115" s="817">
        <f>IF(DH117=0,0,(DH116*DH117+DH118*DH119*6)/DH117)</f>
        <v>0</v>
      </c>
      <c r="DI115" s="712">
        <f>IF(DG115=0,0,(DH115-DG115)/DG115*100)</f>
        <v>0</v>
      </c>
      <c r="DJ115" s="817">
        <f>IF(DJ117=0,0,(DJ116*DJ117+DJ118*DJ119*6)/DJ117)</f>
        <v>0</v>
      </c>
      <c r="DK115" s="817">
        <f>IF(DK117=0,0,(DK116*DK117+DK118*DK119*6)/DK117)</f>
        <v>0</v>
      </c>
      <c r="DL115" s="712">
        <f>IF(DJ115=0,0,(DK115-DJ115)/DJ115*100)</f>
        <v>0</v>
      </c>
      <c r="DM115" s="817">
        <f>IF(DM117=0,0,(DM116*DM117+DM118*DM119*6)/DM117)</f>
        <v>0</v>
      </c>
      <c r="DN115" s="817">
        <f>IF(DN117=0,0,(DN116*DN117+DN118*DN119*6)/DN117)</f>
        <v>0</v>
      </c>
      <c r="DO115" s="712">
        <f>IF(DM115=0,0,(DN115-DM115)/DM115*100)</f>
        <v>0</v>
      </c>
      <c r="DP115" s="817">
        <f>IF(DP117=0,0,(DP116*DP117+DP118*DP119*6)/DP117)</f>
        <v>0</v>
      </c>
      <c r="DQ115" s="817">
        <f>IF(DQ117=0,0,(DQ116*DQ117+DQ118*DQ119*6)/DQ117)</f>
        <v>0</v>
      </c>
      <c r="DR115" s="712">
        <f>IF(DP115=0,0,(DQ115-DP115)/DP115*100)</f>
        <v>0</v>
      </c>
      <c r="DS115" s="817">
        <f>IF(DS117=0,0,(DS116*DS117+DS118*DS119*6)/DS117)</f>
        <v>0</v>
      </c>
      <c r="DT115" s="817">
        <f>IF(DT117=0,0,(DT116*DT117+DT118*DT119*6)/DT117)</f>
        <v>0</v>
      </c>
      <c r="DU115" s="712">
        <f>IF(DS115=0,0,(DT115-DS115)/DS115*100)</f>
        <v>0</v>
      </c>
      <c r="DV115" s="817">
        <f>IF(DV117=0,0,(DV116*DV117+DV118*DV119*6)/DV117)</f>
        <v>0</v>
      </c>
      <c r="DW115" s="817">
        <f>IF(DW117=0,0,(DW116*DW117+DW118*DW119*6)/DW117)</f>
        <v>0</v>
      </c>
      <c r="DX115" s="712">
        <f>IF(DV115=0,0,(DW115-DV115)/DV115*100)</f>
        <v>0</v>
      </c>
      <c r="DY115" s="817">
        <f>IF(DY117=0,0,(DY116*DY117+DY118*DY119*6)/DY117)</f>
        <v>0</v>
      </c>
      <c r="DZ115" s="817">
        <f>IF(DZ117=0,0,(DZ116*DZ117+DZ118*DZ119*6)/DZ117)</f>
        <v>0</v>
      </c>
      <c r="EA115" s="712">
        <f>IF(DY115=0,0,(DZ115-DY115)/DY115*100)</f>
        <v>0</v>
      </c>
      <c r="EB115" s="817">
        <f>IF(EB117=0,0,(EB116*EB117+EB118*EB119*6)/EB117)</f>
        <v>0</v>
      </c>
      <c r="EC115" s="817">
        <f>IF(EC117=0,0,(EC116*EC117+EC118*EC119*6)/EC117)</f>
        <v>0</v>
      </c>
      <c r="ED115" s="712">
        <f>IF(EB115=0,0,(EC115-EB115)/EB115*100)</f>
        <v>0</v>
      </c>
      <c r="EE115" s="817">
        <f>IF(EE117=0,0,(EE116*EE117+EE118*EE119*6)/EE117)</f>
        <v>0</v>
      </c>
      <c r="EF115" s="817">
        <f>IF(EF117=0,0,(EF116*EF117+EF118*EF119*6)/EF117)</f>
        <v>0</v>
      </c>
      <c r="EG115" s="712">
        <f>IF(EE115=0,0,(EF115-EE115)/EE115*100)</f>
        <v>0</v>
      </c>
      <c r="EH115" s="817">
        <f>IF(EH117=0,0,(EH116*EH117+EH118*EH119*6)/EH117)</f>
        <v>0</v>
      </c>
      <c r="EI115" s="817">
        <f>IF(EI117=0,0,(EI116*EI117+EI118*EI119*6)/EI117)</f>
        <v>0</v>
      </c>
      <c r="EJ115" s="712">
        <f>IF(EH115=0,0,(EI115-EH115)/EH115*100)</f>
        <v>0</v>
      </c>
      <c r="EK115" s="817">
        <f>IF(EK117=0,0,(EK116*EK117+EK118*EK119*6)/EK117)</f>
        <v>0</v>
      </c>
      <c r="EL115" s="817">
        <f>IF(EL117=0,0,(EL116*EL117+EL118*EL119*6)/EL117)</f>
        <v>0</v>
      </c>
      <c r="EM115" s="712">
        <f>IF(EK115=0,0,(EL115-EK115)/EK115*100)</f>
        <v>0</v>
      </c>
      <c r="EN115" s="817">
        <f>IF(EN117=0,0,(EN116*EN117+EN118*EN119*6)/EN117)</f>
        <v>0</v>
      </c>
      <c r="EO115" s="817">
        <f>IF(EO117=0,0,(EO116*EO117+EO118*EO119*6)/EO117)</f>
        <v>0</v>
      </c>
      <c r="EP115" s="712">
        <f>IF(EN115=0,0,(EO115-EN115)/EN115*100)</f>
        <v>0</v>
      </c>
      <c r="EQ115" s="817">
        <f>IF(EQ117=0,0,(EQ116*EQ117+EQ118*EQ119*6)/EQ117)</f>
        <v>0</v>
      </c>
      <c r="ER115" s="817">
        <f>IF(ER117=0,0,(ER116*ER117+ER118*ER119*6)/ER117)</f>
        <v>0</v>
      </c>
      <c r="ES115" s="712">
        <f>IF(EQ115=0,0,(ER115-EQ115)/EQ115*100)</f>
        <v>0</v>
      </c>
      <c r="ET115" s="817">
        <f>IF(ET117=0,0,(ET116*ET117+ET118*ET119*6)/ET117)</f>
        <v>0</v>
      </c>
      <c r="EU115" s="817">
        <f>IF(EU117=0,0,(EU116*EU117+EU118*EU119*6)/EU117)</f>
        <v>0</v>
      </c>
      <c r="EV115" s="712">
        <f>IF(ET115=0,0,(EU115-ET115)/ET115*100)</f>
        <v>0</v>
      </c>
      <c r="EW115" s="817">
        <f>IF(EW117=0,0,(EW116*EW117+EW118*EW119*6)/EW117)</f>
        <v>0</v>
      </c>
      <c r="EX115" s="817">
        <f>IF(EX117=0,0,(EX116*EX117+EX118*EX119*6)/EX117)</f>
        <v>0</v>
      </c>
      <c r="EY115" s="712">
        <f>IF(EW115=0,0,(EX115-EW115)/EW115*100)</f>
        <v>0</v>
      </c>
      <c r="EZ115" s="817">
        <f>IF(EZ117=0,0,(EZ116*EZ117+EZ118*EZ119*6)/EZ117)</f>
        <v>0</v>
      </c>
      <c r="FA115" s="817">
        <f>IF(FA117=0,0,(FA116*FA117+FA118*FA119*6)/FA117)</f>
        <v>0</v>
      </c>
      <c r="FB115" s="712">
        <f>IF(EZ115=0,0,(FA115-EZ115)/EZ115*100)</f>
        <v>0</v>
      </c>
      <c r="FC115" s="817">
        <f>IF(FC117=0,0,(FC116*FC117+FC118*FC119*6)/FC117)</f>
        <v>0</v>
      </c>
      <c r="FD115" s="817">
        <f>IF(FD117=0,0,(FD116*FD117+FD118*FD119*6)/FD117)</f>
        <v>0</v>
      </c>
      <c r="FE115" s="712">
        <f>IF(FC115=0,0,(FD115-FC115)/FC115*100)</f>
        <v>0</v>
      </c>
      <c r="FF115" s="817">
        <f>IF(FF117=0,0,(FF116*FF117+FF118*FF119*6)/FF117)</f>
        <v>0</v>
      </c>
      <c r="FG115" s="817">
        <f>IF(FG117=0,0,(FG116*FG117+FG118*FG119*6)/FG117)</f>
        <v>0</v>
      </c>
      <c r="FH115" s="712">
        <f>IF(FF115=0,0,(FG115-FF115)/FF115*100)</f>
        <v>0</v>
      </c>
      <c r="FI115" s="817">
        <f>IF(FI117=0,0,(FI116*FI117+FI118*FI119*6)/FI117)</f>
        <v>0</v>
      </c>
      <c r="FJ115" s="817">
        <f>IF(FJ117=0,0,(FJ116*FJ117+FJ118*FJ119*6)/FJ117)</f>
        <v>0</v>
      </c>
      <c r="FK115" s="712">
        <f>IF(FI115=0,0,(FJ115-FI115)/FI115*100)</f>
        <v>0</v>
      </c>
      <c r="FL115" s="817">
        <f>IF(FL117=0,0,(FL116*FL117+FL118*FL119*6)/FL117)</f>
        <v>0</v>
      </c>
      <c r="FM115" s="817">
        <f>IF(FM117=0,0,(FM116*FM117+FM118*FM119*6)/FM117)</f>
        <v>0</v>
      </c>
      <c r="FN115" s="712">
        <f>IF(FL115=0,0,(FM115-FL115)/FL115*100)</f>
        <v>0</v>
      </c>
      <c r="FO115" s="817">
        <f>IF(FO117=0,0,(FO116*FO117+FO118*FO119*6)/FO117)</f>
        <v>0</v>
      </c>
      <c r="FP115" s="817">
        <f>IF(FP117=0,0,(FP116*FP117+FP118*FP119*6)/FP117)</f>
        <v>0</v>
      </c>
      <c r="FQ115" s="712">
        <f>IF(FO115=0,0,(FP115-FO115)/FO115*100)</f>
        <v>0</v>
      </c>
      <c r="FR115" s="817">
        <f>IF(FR117=0,0,(FR116*FR117+FR118*FR119*6)/FR117)</f>
        <v>0</v>
      </c>
      <c r="FS115" s="817">
        <f>IF(FS117=0,0,(FS116*FS117+FS118*FS119*6)/FS117)</f>
        <v>0</v>
      </c>
      <c r="FT115" s="712">
        <f>IF(FR115=0,0,(FS115-FR115)/FR115*100)</f>
        <v>0</v>
      </c>
      <c r="FU115" s="817">
        <f>IF(FU117=0,0,(FU116*FU117+FU118*FU119*6)/FU117)</f>
        <v>0</v>
      </c>
      <c r="FV115" s="817">
        <f>IF(FV117=0,0,(FV116*FV117+FV118*FV119*6)/FV117)</f>
        <v>0</v>
      </c>
      <c r="FW115" s="712">
        <f>IF(FU115=0,0,(FV115-FU115)/FU115*100)</f>
        <v>0</v>
      </c>
      <c r="FZ115" s="689" t="s">
        <v>1701</v>
      </c>
    </row>
    <row r="116" spans="1:186" ht="14.25" hidden="1" customHeight="1">
      <c r="A116" s="59"/>
      <c r="B116" s="611" t="b" cm="1">
        <f t="array" ref="B116">B115</f>
        <v>0</v>
      </c>
      <c r="C116" s="59"/>
      <c r="D116" s="59"/>
      <c r="E116" s="460">
        <v>15</v>
      </c>
      <c r="F116" s="3" t="str" cm="1">
        <f t="array" aca="1" ref="F116" ca="1">OFFSET(E116,-1,1)</f>
        <v>1</v>
      </c>
      <c r="G116" s="59"/>
      <c r="H116" s="59" t="s">
        <v>1608</v>
      </c>
      <c r="I116" s="59" t="s">
        <v>1660</v>
      </c>
      <c r="J116" s="59"/>
      <c r="K116" s="59"/>
      <c r="L116" s="59"/>
      <c r="M116" s="59"/>
      <c r="N116" s="59"/>
      <c r="O116" s="59"/>
      <c r="P116" s="59"/>
      <c r="Q116" s="59"/>
      <c r="R116" s="59"/>
      <c r="S116" s="59"/>
      <c r="T116" s="351" t="b" cm="1">
        <f t="array" aca="1" ref="T116" ca="1">T115</f>
        <v>1</v>
      </c>
      <c r="U116" s="59"/>
      <c r="V116" s="59"/>
      <c r="W116" s="59"/>
      <c r="X116" s="1046"/>
      <c r="Y116" s="59"/>
      <c r="Z116" s="1007"/>
      <c r="AA116" s="59"/>
      <c r="AB116"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12" t="s">
        <v>1647</v>
      </c>
      <c r="AD116" s="817"/>
      <c r="AE116" s="817"/>
      <c r="AF116" s="712">
        <f>IF(AD116=0,0,(AE116-AD116)/AD116*100)</f>
        <v>0</v>
      </c>
      <c r="AG116" s="57"/>
      <c r="AH116" s="57"/>
      <c r="AI116" s="712">
        <f>IF(AG116=0,0,(AH116-AG116)/AG116*100)</f>
        <v>0</v>
      </c>
      <c r="AJ116" s="57"/>
      <c r="AK116" s="57"/>
      <c r="AL116" s="712">
        <f>IF(AJ116=0,0,(AK116-AJ116)/AJ116*100)</f>
        <v>0</v>
      </c>
      <c r="AM116" s="817"/>
      <c r="AN116" s="817"/>
      <c r="AO116" s="712">
        <f>IF(AM116=0,0,(AN116-AM116)/AM116*100)</f>
        <v>0</v>
      </c>
      <c r="AP116" s="817"/>
      <c r="AQ116" s="817"/>
      <c r="AR116" s="712">
        <f>IF(AP116=0,0,(AQ116-AP116)/AP116*100)</f>
        <v>0</v>
      </c>
      <c r="AS116" s="817"/>
      <c r="AT116" s="817"/>
      <c r="AU116" s="712">
        <f>IF(AS116=0,0,(AT116-AS116)/AS116*100)</f>
        <v>0</v>
      </c>
      <c r="AV116" s="817"/>
      <c r="AW116" s="817"/>
      <c r="AX116" s="712">
        <f>IF(AV116=0,0,(AW116-AV116)/AV116*100)</f>
        <v>0</v>
      </c>
      <c r="AY116" s="817"/>
      <c r="AZ116" s="817"/>
      <c r="BA116" s="712">
        <f>IF(AY116=0,0,(AZ116-AY116)/AY116*100)</f>
        <v>0</v>
      </c>
      <c r="BB116" s="817"/>
      <c r="BC116" s="817"/>
      <c r="BD116" s="712">
        <f>IF(BB116=0,0,(BC116-BB116)/BB116*100)</f>
        <v>0</v>
      </c>
      <c r="BE116" s="817"/>
      <c r="BF116" s="817"/>
      <c r="BG116" s="712">
        <f>IF(BE116=0,0,(BF116-BE116)/BE116*100)</f>
        <v>0</v>
      </c>
      <c r="BH116" s="817"/>
      <c r="BI116" s="817"/>
      <c r="BJ116" s="712">
        <f>IF(BH116=0,0,(BI116-BH116)/BH116*100)</f>
        <v>0</v>
      </c>
      <c r="BK116" s="817"/>
      <c r="BL116" s="817"/>
      <c r="BM116" s="712">
        <f>IF(BK116=0,0,(BL116-BK116)/BK116*100)</f>
        <v>0</v>
      </c>
      <c r="BN116" s="817"/>
      <c r="BO116" s="817"/>
      <c r="BP116" s="712">
        <f>IF(BN116=0,0,(BO116-BN116)/BN116*100)</f>
        <v>0</v>
      </c>
      <c r="BQ116" s="817"/>
      <c r="BR116" s="817"/>
      <c r="BS116" s="712">
        <f>IF(BQ116=0,0,(BR116-BQ116)/BQ116*100)</f>
        <v>0</v>
      </c>
      <c r="BT116" s="817"/>
      <c r="BU116" s="817"/>
      <c r="BV116" s="712">
        <f>IF(BT116=0,0,(BU116-BT116)/BT116*100)</f>
        <v>0</v>
      </c>
      <c r="BW116" s="817"/>
      <c r="BX116" s="817"/>
      <c r="BY116" s="712">
        <f>IF(BW116=0,0,(BX116-BW116)/BW116*100)</f>
        <v>0</v>
      </c>
      <c r="BZ116" s="817"/>
      <c r="CA116" s="817"/>
      <c r="CB116" s="712">
        <f>IF(BZ116=0,0,(CA116-BZ116)/BZ116*100)</f>
        <v>0</v>
      </c>
      <c r="CC116" s="817"/>
      <c r="CD116" s="817"/>
      <c r="CE116" s="712">
        <f>IF(CC116=0,0,(CD116-CC116)/CC116*100)</f>
        <v>0</v>
      </c>
      <c r="CF116" s="817"/>
      <c r="CG116" s="817"/>
      <c r="CH116" s="712">
        <f>IF(CF116=0,0,(CG116-CF116)/CF116*100)</f>
        <v>0</v>
      </c>
      <c r="CI116" s="817"/>
      <c r="CJ116" s="817"/>
      <c r="CK116" s="712">
        <f>IF(CI116=0,0,(CJ116-CI116)/CI116*100)</f>
        <v>0</v>
      </c>
      <c r="CL116" s="817"/>
      <c r="CM116" s="817"/>
      <c r="CN116" s="712">
        <f>IF(CL116=0,0,(CM116-CL116)/CL116*100)</f>
        <v>0</v>
      </c>
      <c r="CO116" s="817"/>
      <c r="CP116" s="817"/>
      <c r="CQ116" s="712">
        <f>IF(CO116=0,0,(CP116-CO116)/CO116*100)</f>
        <v>0</v>
      </c>
      <c r="CR116" s="817"/>
      <c r="CS116" s="817"/>
      <c r="CT116" s="712">
        <f>IF(CR116=0,0,(CS116-CR116)/CR116*100)</f>
        <v>0</v>
      </c>
      <c r="CU116" s="817"/>
      <c r="CV116" s="817"/>
      <c r="CW116" s="712">
        <f>IF(CU116=0,0,(CV116-CU116)/CU116*100)</f>
        <v>0</v>
      </c>
      <c r="CX116" s="817"/>
      <c r="CY116" s="817"/>
      <c r="CZ116" s="712">
        <f>IF(CX116=0,0,(CY116-CX116)/CX116*100)</f>
        <v>0</v>
      </c>
      <c r="DA116" s="817"/>
      <c r="DB116" s="817"/>
      <c r="DC116" s="712">
        <f>IF(DA116=0,0,(DB116-DA116)/DA116*100)</f>
        <v>0</v>
      </c>
      <c r="DD116" s="817"/>
      <c r="DE116" s="817"/>
      <c r="DF116" s="712">
        <f>IF(DD116=0,0,(DE116-DD116)/DD116*100)</f>
        <v>0</v>
      </c>
      <c r="DG116" s="817"/>
      <c r="DH116" s="817"/>
      <c r="DI116" s="712">
        <f>IF(DG116=0,0,(DH116-DG116)/DG116*100)</f>
        <v>0</v>
      </c>
      <c r="DJ116" s="817"/>
      <c r="DK116" s="817"/>
      <c r="DL116" s="712">
        <f>IF(DJ116=0,0,(DK116-DJ116)/DJ116*100)</f>
        <v>0</v>
      </c>
      <c r="DM116" s="817"/>
      <c r="DN116" s="817"/>
      <c r="DO116" s="712">
        <f>IF(DM116=0,0,(DN116-DM116)/DM116*100)</f>
        <v>0</v>
      </c>
      <c r="DP116" s="817"/>
      <c r="DQ116" s="817"/>
      <c r="DR116" s="712">
        <f>IF(DP116=0,0,(DQ116-DP116)/DP116*100)</f>
        <v>0</v>
      </c>
      <c r="DS116" s="817"/>
      <c r="DT116" s="817"/>
      <c r="DU116" s="712">
        <f>IF(DS116=0,0,(DT116-DS116)/DS116*100)</f>
        <v>0</v>
      </c>
      <c r="DV116" s="817"/>
      <c r="DW116" s="817"/>
      <c r="DX116" s="712">
        <f>IF(DV116=0,0,(DW116-DV116)/DV116*100)</f>
        <v>0</v>
      </c>
      <c r="DY116" s="817"/>
      <c r="DZ116" s="817"/>
      <c r="EA116" s="712">
        <f>IF(DY116=0,0,(DZ116-DY116)/DY116*100)</f>
        <v>0</v>
      </c>
      <c r="EB116" s="817"/>
      <c r="EC116" s="817"/>
      <c r="ED116" s="712">
        <f>IF(EB116=0,0,(EC116-EB116)/EB116*100)</f>
        <v>0</v>
      </c>
      <c r="EE116" s="817"/>
      <c r="EF116" s="817"/>
      <c r="EG116" s="712">
        <f>IF(EE116=0,0,(EF116-EE116)/EE116*100)</f>
        <v>0</v>
      </c>
      <c r="EH116" s="817"/>
      <c r="EI116" s="817"/>
      <c r="EJ116" s="712">
        <f>IF(EH116=0,0,(EI116-EH116)/EH116*100)</f>
        <v>0</v>
      </c>
      <c r="EK116" s="817"/>
      <c r="EL116" s="817"/>
      <c r="EM116" s="712">
        <f>IF(EK116=0,0,(EL116-EK116)/EK116*100)</f>
        <v>0</v>
      </c>
      <c r="EN116" s="817"/>
      <c r="EO116" s="817"/>
      <c r="EP116" s="712">
        <f>IF(EN116=0,0,(EO116-EN116)/EN116*100)</f>
        <v>0</v>
      </c>
      <c r="EQ116" s="817"/>
      <c r="ER116" s="817"/>
      <c r="ES116" s="712">
        <f>IF(EQ116=0,0,(ER116-EQ116)/EQ116*100)</f>
        <v>0</v>
      </c>
      <c r="ET116" s="817"/>
      <c r="EU116" s="817"/>
      <c r="EV116" s="712">
        <f>IF(ET116=0,0,(EU116-ET116)/ET116*100)</f>
        <v>0</v>
      </c>
      <c r="EW116" s="817"/>
      <c r="EX116" s="817"/>
      <c r="EY116" s="712">
        <f>IF(EW116=0,0,(EX116-EW116)/EW116*100)</f>
        <v>0</v>
      </c>
      <c r="EZ116" s="817"/>
      <c r="FA116" s="817"/>
      <c r="FB116" s="712">
        <f>IF(EZ116=0,0,(FA116-EZ116)/EZ116*100)</f>
        <v>0</v>
      </c>
      <c r="FC116" s="817"/>
      <c r="FD116" s="817"/>
      <c r="FE116" s="712">
        <f>IF(FC116=0,0,(FD116-FC116)/FC116*100)</f>
        <v>0</v>
      </c>
      <c r="FF116" s="817"/>
      <c r="FG116" s="817"/>
      <c r="FH116" s="712">
        <f>IF(FF116=0,0,(FG116-FF116)/FF116*100)</f>
        <v>0</v>
      </c>
      <c r="FI116" s="817"/>
      <c r="FJ116" s="817"/>
      <c r="FK116" s="712">
        <f>IF(FI116=0,0,(FJ116-FI116)/FI116*100)</f>
        <v>0</v>
      </c>
      <c r="FL116" s="817"/>
      <c r="FM116" s="817"/>
      <c r="FN116" s="712">
        <f>IF(FL116=0,0,(FM116-FL116)/FL116*100)</f>
        <v>0</v>
      </c>
      <c r="FO116" s="817"/>
      <c r="FP116" s="817"/>
      <c r="FQ116" s="712">
        <f>IF(FO116=0,0,(FP116-FO116)/FO116*100)</f>
        <v>0</v>
      </c>
      <c r="FR116" s="817"/>
      <c r="FS116" s="817"/>
      <c r="FT116" s="712">
        <f>IF(FR116=0,0,(FS116-FR116)/FR116*100)</f>
        <v>0</v>
      </c>
      <c r="FU116" s="817"/>
      <c r="FV116" s="817"/>
      <c r="FW116" s="712">
        <f>IF(FU116=0,0,(FV116-FU116)/FU116*100)</f>
        <v>0</v>
      </c>
      <c r="FZ116" s="689" t="s">
        <v>1702</v>
      </c>
    </row>
    <row r="117" spans="1:186" ht="14.25" hidden="1" customHeight="1">
      <c r="A117" s="59"/>
      <c r="B117" s="611" t="b" cm="1">
        <f t="array" ref="B117">B116</f>
        <v>0</v>
      </c>
      <c r="C117" s="59"/>
      <c r="D117" s="59"/>
      <c r="E117" s="460">
        <v>15</v>
      </c>
      <c r="F117" s="3" t="str" cm="1">
        <f t="array" aca="1" ref="F117" ca="1">OFFSET(E117,-1,1)</f>
        <v>1</v>
      </c>
      <c r="G117" s="25" t="s">
        <v>1703</v>
      </c>
      <c r="H117" s="59" t="s">
        <v>1684</v>
      </c>
      <c r="I117" s="59" t="s">
        <v>1660</v>
      </c>
      <c r="J117" s="59"/>
      <c r="K117" s="59"/>
      <c r="L117" s="59"/>
      <c r="M117" s="59"/>
      <c r="N117" s="59"/>
      <c r="O117" s="59"/>
      <c r="P117" s="59"/>
      <c r="Q117" s="59"/>
      <c r="R117" s="59"/>
      <c r="S117" s="59"/>
      <c r="T117" s="351" t="b" cm="1">
        <f t="array" aca="1" ref="T117" ca="1">T116</f>
        <v>1</v>
      </c>
      <c r="U117" s="59"/>
      <c r="V117" s="59"/>
      <c r="W117" s="59"/>
      <c r="X117" s="1046"/>
      <c r="Y117" s="59"/>
      <c r="Z117" s="1007"/>
      <c r="AA117" s="59"/>
      <c r="AB117" s="105" t="str">
        <f>"объём "&amp;IF(Q85="Водоснабжение","потребления холодной воды","водоотведения")</f>
        <v>объём потребления холодной воды</v>
      </c>
      <c r="AC117" s="12" t="s">
        <v>585</v>
      </c>
      <c r="AD117" s="833">
        <f ca="1">IF(AND(method_reg="Метод индексации",god&lt;&gt;first_year),SUMIFS(INDEX('Калькуляция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(МИ)'!$AJ$25:$BC$315,,MATCH(AD$8,'Калькуляция (МИ)'!$AJ$8:$BC$8,0)),'Калькуляция (МИ)'!$F$25:$F$315,$F117,'Калькуляция (МИ)'!$G$25:$G$315,$G117))))</f>
        <v>2624.3287500000001</v>
      </c>
      <c r="AE117" s="833">
        <f ca="1">IF(AND(method_reg="Метод индексации",god&lt;&gt;first_year),SUMIFS(INDEX('Калькуляция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(МИ)'!$AJ$25:$BC$315,,MATCH(AE$8,'Калькуляция (МИ)'!$AJ$8:$BC$8,0)),'Калькуляция (МИ)'!$F$25:$F$315,$F117,'Калькуляция (МИ)'!$G$25:$G$315,$G117))))</f>
        <v>2624.3289974999998</v>
      </c>
      <c r="AF117" s="713">
        <f ca="1">IF(AD117=0,0,(AE117-AD117)/AD117*100)</f>
        <v>9.4309830526887936E-6</v>
      </c>
      <c r="AG117" s="190">
        <f ca="1">IF(AND(method_reg="Метод индексации",god&lt;&gt;first_year),SUMIFS(INDEX('Калькуляция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(МИ)'!$AJ$25:$BC$315,,MATCH(AG$8,'Калькуляция (МИ)'!$AJ$8:$BC$8,0)),'Калькуляция (МИ)'!$F$25:$F$315,$F117,'Калькуляция (МИ)'!$G$25:$G$315,$G117))))</f>
        <v>1749.5525</v>
      </c>
      <c r="AH117" s="190">
        <f ca="1">IF(AND(method_reg="Метод индексации",god&lt;&gt;first_year),SUMIFS(INDEX('Калькуляция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(МИ)'!$AJ$25:$BC$315,,MATCH(AH$8,'Калькуляция (МИ)'!$AJ$8:$BC$8,0)),'Калькуляция (МИ)'!$F$25:$F$315,$F117,'Калькуляция (МИ)'!$G$25:$G$315,$G117))))</f>
        <v>1749.5526649999999</v>
      </c>
      <c r="AI117" s="713">
        <f ca="1">IF(AG117=0,0,(AH117-AG117)/AG117*100)</f>
        <v>9.4309830613528649E-6</v>
      </c>
      <c r="AJ117" s="190">
        <f ca="1">IF(AND(method_reg="Метод индексации",god&lt;&gt;first_year),SUMIFS(INDEX('Калькуляция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(МИ)'!$AJ$25:$BC$315,,MATCH(AJ$8,'Калькуляция (МИ)'!$AJ$8:$BC$8,0)),'Калькуляция (МИ)'!$F$25:$F$315,$F117,'Калькуляция (МИ)'!$G$25:$G$315,$G117))))</f>
        <v>1749.5525</v>
      </c>
      <c r="AK117" s="190">
        <f ca="1">IF(AND(method_reg="Метод индексации",god&lt;&gt;first_year),SUMIFS(INDEX('Калькуляция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(МИ)'!$AJ$25:$BC$315,,MATCH(AK$8,'Калькуляция (МИ)'!$AJ$8:$BC$8,0)),'Калькуляция (МИ)'!$F$25:$F$315,$F117,'Калькуляция (МИ)'!$G$25:$G$315,$G117))))</f>
        <v>1749.5526649999999</v>
      </c>
      <c r="AL117" s="713">
        <f ca="1">IF(AJ117=0,0,(AK117-AJ117)/AJ117*100)</f>
        <v>9.4309830613528649E-6</v>
      </c>
      <c r="AM117" s="833">
        <f ca="1">IF(AND(method_reg="Метод индексации",god&lt;&gt;first_year),SUMIFS(INDEX('Калькуляция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(МИ)'!$AJ$25:$BC$315,,MATCH(AM$8,'Калькуляция (МИ)'!$AJ$8:$BC$8,0)),'Калькуляция (МИ)'!$F$25:$F$315,$F117,'Калькуляция (МИ)'!$G$25:$G$315,$G117))))</f>
        <v>0</v>
      </c>
      <c r="AN117" s="833">
        <f ca="1">IF(AND(method_reg="Метод индексации",god&lt;&gt;first_year),SUMIFS(INDEX('Калькуляция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(МИ)'!$AJ$25:$BC$315,,MATCH(AN$8,'Калькуляция (МИ)'!$AJ$8:$BC$8,0)),'Калькуляция (МИ)'!$F$25:$F$315,$F117,'Калькуляция (МИ)'!$G$25:$G$315,$G117))))</f>
        <v>0</v>
      </c>
      <c r="AO117" s="713">
        <f ca="1">IF(AM117=0,0,(AN117-AM117)/AM117*100)</f>
        <v>0</v>
      </c>
      <c r="AP117" s="833">
        <f ca="1">IF(AND(method_reg="Метод индексации",god&lt;&gt;first_year),SUMIFS(INDEX('Калькуляция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(МИ)'!$AJ$25:$BC$315,,MATCH(AP$8,'Калькуляция (МИ)'!$AJ$8:$BC$8,0)),'Калькуляция (МИ)'!$F$25:$F$315,$F117,'Калькуляция (МИ)'!$G$25:$G$315,$G117))))</f>
        <v>0</v>
      </c>
      <c r="AQ117" s="833">
        <f ca="1">IF(AND(method_reg="Метод индексации",god&lt;&gt;first_year),SUMIFS(INDEX('Калькуляция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(МИ)'!$AJ$25:$BC$315,,MATCH(AQ$8,'Калькуляция (МИ)'!$AJ$8:$BC$8,0)),'Калькуляция (МИ)'!$F$25:$F$315,$F117,'Калькуляция (МИ)'!$G$25:$G$315,$G117))))</f>
        <v>0</v>
      </c>
      <c r="AR117" s="713">
        <f ca="1">IF(AP117=0,0,(AQ117-AP117)/AP117*100)</f>
        <v>0</v>
      </c>
      <c r="AS117" s="833">
        <f ca="1">IF(AND(method_reg="Метод индексации",god&lt;&gt;first_year),SUMIFS(INDEX('Калькуляция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(МИ)'!$AJ$25:$BC$315,,MATCH(AS$8,'Калькуляция (МИ)'!$AJ$8:$BC$8,0)),'Калькуляция (МИ)'!$F$25:$F$315,$F117,'Калькуляция (МИ)'!$G$25:$G$315,$G117))))</f>
        <v>0</v>
      </c>
      <c r="AT117" s="833">
        <f ca="1">IF(AND(method_reg="Метод индексации",god&lt;&gt;first_year),SUMIFS(INDEX('Калькуляция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(МИ)'!$AJ$25:$BC$315,,MATCH(AT$8,'Калькуляция (МИ)'!$AJ$8:$BC$8,0)),'Калькуляция (МИ)'!$F$25:$F$315,$F117,'Калькуляция (МИ)'!$G$25:$G$315,$G117))))</f>
        <v>0</v>
      </c>
      <c r="AU117" s="713">
        <f ca="1">IF(AS117=0,0,(AT117-AS117)/AS117*100)</f>
        <v>0</v>
      </c>
      <c r="AV117" s="833">
        <f ca="1">IF(AND(method_reg="Метод индексации",god&lt;&gt;first_year),SUMIFS(INDEX('Калькуляция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(МИ)'!$AJ$25:$BC$315,,MATCH(AV$8,'Калькуляция (МИ)'!$AJ$8:$BC$8,0)),'Калькуляция (МИ)'!$F$25:$F$315,$F117,'Калькуляция (МИ)'!$G$25:$G$315,$G117))))</f>
        <v>0</v>
      </c>
      <c r="AW117" s="833">
        <f ca="1">IF(AND(method_reg="Метод индексации",god&lt;&gt;first_year),SUMIFS(INDEX('Калькуляция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(МИ)'!$AJ$25:$BC$315,,MATCH(AW$8,'Калькуляция (МИ)'!$AJ$8:$BC$8,0)),'Калькуляция (МИ)'!$F$25:$F$315,$F117,'Калькуляция (МИ)'!$G$25:$G$315,$G117))))</f>
        <v>0</v>
      </c>
      <c r="AX117" s="713">
        <f ca="1">IF(AV117=0,0,(AW117-AV117)/AV117*100)</f>
        <v>0</v>
      </c>
      <c r="AY117" s="833">
        <f ca="1">IF(AND(method_reg="Метод индексации",god&lt;&gt;first_year),SUMIFS(INDEX('Калькуляция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(МИ)'!$AJ$25:$BC$315,,MATCH(AY$8,'Калькуляция (МИ)'!$AJ$8:$BC$8,0)),'Калькуляция (МИ)'!$F$25:$F$315,$F117,'Калькуляция (МИ)'!$G$25:$G$315,$G117))))</f>
        <v>0</v>
      </c>
      <c r="AZ117" s="833">
        <f ca="1">IF(AND(method_reg="Метод индексации",god&lt;&gt;first_year),SUMIFS(INDEX('Калькуляция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(МИ)'!$AJ$25:$BC$315,,MATCH(AZ$8,'Калькуляция (МИ)'!$AJ$8:$BC$8,0)),'Калькуляция (МИ)'!$F$25:$F$315,$F117,'Калькуляция (МИ)'!$G$25:$G$315,$G117))))</f>
        <v>0</v>
      </c>
      <c r="BA117" s="713">
        <f ca="1">IF(AY117=0,0,(AZ117-AY117)/AY117*100)</f>
        <v>0</v>
      </c>
      <c r="BB117" s="833">
        <f ca="1">IF(AND(method_reg="Метод индексации",god&lt;&gt;first_year),SUMIFS(INDEX('Калькуляция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(МИ)'!$AJ$25:$BC$315,,MATCH(BB$8,'Калькуляция (МИ)'!$AJ$8:$BC$8,0)),'Калькуляция (МИ)'!$F$25:$F$315,$F117,'Калькуляция (МИ)'!$G$25:$G$315,$G117))))</f>
        <v>0</v>
      </c>
      <c r="BC117" s="833">
        <f ca="1">IF(AND(method_reg="Метод индексации",god&lt;&gt;first_year),SUMIFS(INDEX('Калькуляция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(МИ)'!$AJ$25:$BC$315,,MATCH(BC$8,'Калькуляция (МИ)'!$AJ$8:$BC$8,0)),'Калькуляция (МИ)'!$F$25:$F$315,$F117,'Калькуляция (МИ)'!$G$25:$G$315,$G117))))</f>
        <v>0</v>
      </c>
      <c r="BD117" s="713">
        <f ca="1">IF(BB117=0,0,(BC117-BB117)/BB117*100)</f>
        <v>0</v>
      </c>
      <c r="BE117" s="833">
        <f ca="1">IF(AND(method_reg="Метод индексации",god&lt;&gt;first_year),SUMIFS(INDEX('Калькуляция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(МИ)'!$AJ$25:$BC$315,,MATCH(BE$8,'Калькуляция (МИ)'!$AJ$8:$BC$8,0)),'Калькуляция (МИ)'!$F$25:$F$315,$F117,'Калькуляция (МИ)'!$G$25:$G$315,$G117))))</f>
        <v>0</v>
      </c>
      <c r="BF117" s="833">
        <f ca="1">IF(AND(method_reg="Метод индексации",god&lt;&gt;first_year),SUMIFS(INDEX('Калькуляция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(МИ)'!$AJ$25:$BC$315,,MATCH(BF$8,'Калькуляция (МИ)'!$AJ$8:$BC$8,0)),'Калькуляция (МИ)'!$F$25:$F$315,$F117,'Калькуляция (МИ)'!$G$25:$G$315,$G117))))</f>
        <v>0</v>
      </c>
      <c r="BG117" s="713">
        <f ca="1">IF(BE117=0,0,(BF117-BE117)/BE117*100)</f>
        <v>0</v>
      </c>
      <c r="BH117" s="833"/>
      <c r="BI117" s="833"/>
      <c r="BJ117" s="713">
        <f>IF(BH117=0,0,(BI117-BH117)/BH117*100)</f>
        <v>0</v>
      </c>
      <c r="BK117" s="833"/>
      <c r="BL117" s="833"/>
      <c r="BM117" s="713">
        <f>IF(BK117=0,0,(BL117-BK117)/BK117*100)</f>
        <v>0</v>
      </c>
      <c r="BN117" s="833"/>
      <c r="BO117" s="833"/>
      <c r="BP117" s="713">
        <f>IF(BN117=0,0,(BO117-BN117)/BN117*100)</f>
        <v>0</v>
      </c>
      <c r="BQ117" s="833"/>
      <c r="BR117" s="833"/>
      <c r="BS117" s="713">
        <f>IF(BQ117=0,0,(BR117-BQ117)/BQ117*100)</f>
        <v>0</v>
      </c>
      <c r="BT117" s="833"/>
      <c r="BU117" s="833"/>
      <c r="BV117" s="713">
        <f>IF(BT117=0,0,(BU117-BT117)/BT117*100)</f>
        <v>0</v>
      </c>
      <c r="BW117" s="833"/>
      <c r="BX117" s="833"/>
      <c r="BY117" s="713">
        <f>IF(BW117=0,0,(BX117-BW117)/BW117*100)</f>
        <v>0</v>
      </c>
      <c r="BZ117" s="833"/>
      <c r="CA117" s="833"/>
      <c r="CB117" s="713">
        <f>IF(BZ117=0,0,(CA117-BZ117)/BZ117*100)</f>
        <v>0</v>
      </c>
      <c r="CC117" s="833"/>
      <c r="CD117" s="833"/>
      <c r="CE117" s="713">
        <f>IF(CC117=0,0,(CD117-CC117)/CC117*100)</f>
        <v>0</v>
      </c>
      <c r="CF117" s="833"/>
      <c r="CG117" s="833"/>
      <c r="CH117" s="713">
        <f>IF(CF117=0,0,(CG117-CF117)/CF117*100)</f>
        <v>0</v>
      </c>
      <c r="CI117" s="833"/>
      <c r="CJ117" s="833"/>
      <c r="CK117" s="713">
        <f>IF(CI117=0,0,(CJ117-CI117)/CI117*100)</f>
        <v>0</v>
      </c>
      <c r="CL117" s="833"/>
      <c r="CM117" s="833"/>
      <c r="CN117" s="713">
        <f>IF(CL117=0,0,(CM117-CL117)/CL117*100)</f>
        <v>0</v>
      </c>
      <c r="CO117" s="833"/>
      <c r="CP117" s="833"/>
      <c r="CQ117" s="713">
        <f>IF(CO117=0,0,(CP117-CO117)/CO117*100)</f>
        <v>0</v>
      </c>
      <c r="CR117" s="833"/>
      <c r="CS117" s="833"/>
      <c r="CT117" s="713">
        <f>IF(CR117=0,0,(CS117-CR117)/CR117*100)</f>
        <v>0</v>
      </c>
      <c r="CU117" s="833"/>
      <c r="CV117" s="833"/>
      <c r="CW117" s="713">
        <f>IF(CU117=0,0,(CV117-CU117)/CU117*100)</f>
        <v>0</v>
      </c>
      <c r="CX117" s="833"/>
      <c r="CY117" s="833"/>
      <c r="CZ117" s="713">
        <f>IF(CX117=0,0,(CY117-CX117)/CX117*100)</f>
        <v>0</v>
      </c>
      <c r="DA117" s="833"/>
      <c r="DB117" s="833"/>
      <c r="DC117" s="713">
        <f>IF(DA117=0,0,(DB117-DA117)/DA117*100)</f>
        <v>0</v>
      </c>
      <c r="DD117" s="833"/>
      <c r="DE117" s="833"/>
      <c r="DF117" s="713">
        <f>IF(DD117=0,0,(DE117-DD117)/DD117*100)</f>
        <v>0</v>
      </c>
      <c r="DG117" s="833"/>
      <c r="DH117" s="833"/>
      <c r="DI117" s="713">
        <f>IF(DG117=0,0,(DH117-DG117)/DG117*100)</f>
        <v>0</v>
      </c>
      <c r="DJ117" s="833"/>
      <c r="DK117" s="833"/>
      <c r="DL117" s="713">
        <f>IF(DJ117=0,0,(DK117-DJ117)/DJ117*100)</f>
        <v>0</v>
      </c>
      <c r="DM117" s="833"/>
      <c r="DN117" s="833"/>
      <c r="DO117" s="713">
        <f>IF(DM117=0,0,(DN117-DM117)/DM117*100)</f>
        <v>0</v>
      </c>
      <c r="DP117" s="833"/>
      <c r="DQ117" s="833"/>
      <c r="DR117" s="713">
        <f>IF(DP117=0,0,(DQ117-DP117)/DP117*100)</f>
        <v>0</v>
      </c>
      <c r="DS117" s="833"/>
      <c r="DT117" s="833"/>
      <c r="DU117" s="713">
        <f>IF(DS117=0,0,(DT117-DS117)/DS117*100)</f>
        <v>0</v>
      </c>
      <c r="DV117" s="833"/>
      <c r="DW117" s="833"/>
      <c r="DX117" s="713">
        <f>IF(DV117=0,0,(DW117-DV117)/DV117*100)</f>
        <v>0</v>
      </c>
      <c r="DY117" s="833"/>
      <c r="DZ117" s="833"/>
      <c r="EA117" s="713">
        <f>IF(DY117=0,0,(DZ117-DY117)/DY117*100)</f>
        <v>0</v>
      </c>
      <c r="EB117" s="833"/>
      <c r="EC117" s="833"/>
      <c r="ED117" s="713">
        <f>IF(EB117=0,0,(EC117-EB117)/EB117*100)</f>
        <v>0</v>
      </c>
      <c r="EE117" s="833"/>
      <c r="EF117" s="833"/>
      <c r="EG117" s="713">
        <f>IF(EE117=0,0,(EF117-EE117)/EE117*100)</f>
        <v>0</v>
      </c>
      <c r="EH117" s="833"/>
      <c r="EI117" s="833"/>
      <c r="EJ117" s="713">
        <f>IF(EH117=0,0,(EI117-EH117)/EH117*100)</f>
        <v>0</v>
      </c>
      <c r="EK117" s="833"/>
      <c r="EL117" s="833"/>
      <c r="EM117" s="713">
        <f>IF(EK117=0,0,(EL117-EK117)/EK117*100)</f>
        <v>0</v>
      </c>
      <c r="EN117" s="833"/>
      <c r="EO117" s="833"/>
      <c r="EP117" s="713">
        <f>IF(EN117=0,0,(EO117-EN117)/EN117*100)</f>
        <v>0</v>
      </c>
      <c r="EQ117" s="833"/>
      <c r="ER117" s="833"/>
      <c r="ES117" s="713">
        <f>IF(EQ117=0,0,(ER117-EQ117)/EQ117*100)</f>
        <v>0</v>
      </c>
      <c r="ET117" s="833"/>
      <c r="EU117" s="833"/>
      <c r="EV117" s="713">
        <f>IF(ET117=0,0,(EU117-ET117)/ET117*100)</f>
        <v>0</v>
      </c>
      <c r="EW117" s="833"/>
      <c r="EX117" s="833"/>
      <c r="EY117" s="713">
        <f>IF(EW117=0,0,(EX117-EW117)/EW117*100)</f>
        <v>0</v>
      </c>
      <c r="EZ117" s="833"/>
      <c r="FA117" s="833"/>
      <c r="FB117" s="713">
        <f>IF(EZ117=0,0,(FA117-EZ117)/EZ117*100)</f>
        <v>0</v>
      </c>
      <c r="FC117" s="833"/>
      <c r="FD117" s="833"/>
      <c r="FE117" s="713">
        <f>IF(FC117=0,0,(FD117-FC117)/FC117*100)</f>
        <v>0</v>
      </c>
      <c r="FF117" s="833"/>
      <c r="FG117" s="833"/>
      <c r="FH117" s="713">
        <f>IF(FF117=0,0,(FG117-FF117)/FF117*100)</f>
        <v>0</v>
      </c>
      <c r="FI117" s="833"/>
      <c r="FJ117" s="833"/>
      <c r="FK117" s="713">
        <f>IF(FI117=0,0,(FJ117-FI117)/FI117*100)</f>
        <v>0</v>
      </c>
      <c r="FL117" s="833"/>
      <c r="FM117" s="833"/>
      <c r="FN117" s="713">
        <f>IF(FL117=0,0,(FM117-FL117)/FL117*100)</f>
        <v>0</v>
      </c>
      <c r="FO117" s="833"/>
      <c r="FP117" s="833"/>
      <c r="FQ117" s="713">
        <f>IF(FO117=0,0,(FP117-FO117)/FO117*100)</f>
        <v>0</v>
      </c>
      <c r="FR117" s="833"/>
      <c r="FS117" s="833"/>
      <c r="FT117" s="713">
        <f>IF(FR117=0,0,(FS117-FR117)/FR117*100)</f>
        <v>0</v>
      </c>
      <c r="FU117" s="833"/>
      <c r="FV117" s="833"/>
      <c r="FW117" s="713">
        <f>IF(FU117=0,0,(FV117-FU117)/FU117*100)</f>
        <v>0</v>
      </c>
      <c r="FZ117" s="689" t="s">
        <v>1704</v>
      </c>
    </row>
    <row r="118" spans="1:186" ht="21.75" hidden="1" customHeight="1">
      <c r="A118" s="59"/>
      <c r="B118" s="611" t="b" cm="1">
        <f t="array" ref="B118">B117</f>
        <v>0</v>
      </c>
      <c r="C118" s="59"/>
      <c r="D118" s="59"/>
      <c r="E118" s="460">
        <v>22.5</v>
      </c>
      <c r="F118" s="3" t="str" cm="1">
        <f t="array" aca="1" ref="F118" ca="1">OFFSET(E118,-1,1)</f>
        <v>1</v>
      </c>
      <c r="G118" s="59"/>
      <c r="H118" s="59" t="s">
        <v>1686</v>
      </c>
      <c r="I118" s="59" t="s">
        <v>1660</v>
      </c>
      <c r="J118" s="59"/>
      <c r="K118" s="59"/>
      <c r="L118" s="59"/>
      <c r="M118" s="59"/>
      <c r="N118" s="59"/>
      <c r="O118" s="59"/>
      <c r="P118" s="59"/>
      <c r="Q118" s="59"/>
      <c r="R118" s="59"/>
      <c r="S118" s="59"/>
      <c r="T118" s="351" t="b" cm="1">
        <f t="array" aca="1" ref="T118" ca="1">T117</f>
        <v>1</v>
      </c>
      <c r="U118" s="59"/>
      <c r="V118" s="59"/>
      <c r="W118" s="59"/>
      <c r="X118" s="1046"/>
      <c r="Y118" s="59"/>
      <c r="Z118" s="1007"/>
      <c r="AA118" s="59"/>
      <c r="AB118"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12" t="s">
        <v>1687</v>
      </c>
      <c r="AD118" s="817"/>
      <c r="AE118" s="817"/>
      <c r="AF118" s="712">
        <f>IF(AD118=0,0,(AE118-AD118)/AD118*100)</f>
        <v>0</v>
      </c>
      <c r="AG118" s="57"/>
      <c r="AH118" s="57"/>
      <c r="AI118" s="712">
        <f>IF(AG118=0,0,(AH118-AG118)/AG118*100)</f>
        <v>0</v>
      </c>
      <c r="AJ118" s="57"/>
      <c r="AK118" s="57"/>
      <c r="AL118" s="712">
        <f>IF(AJ118=0,0,(AK118-AJ118)/AJ118*100)</f>
        <v>0</v>
      </c>
      <c r="AM118" s="817"/>
      <c r="AN118" s="817"/>
      <c r="AO118" s="712">
        <f>IF(AM118=0,0,(AN118-AM118)/AM118*100)</f>
        <v>0</v>
      </c>
      <c r="AP118" s="817"/>
      <c r="AQ118" s="817"/>
      <c r="AR118" s="712">
        <f>IF(AP118=0,0,(AQ118-AP118)/AP118*100)</f>
        <v>0</v>
      </c>
      <c r="AS118" s="817"/>
      <c r="AT118" s="817"/>
      <c r="AU118" s="712">
        <f>IF(AS118=0,0,(AT118-AS118)/AS118*100)</f>
        <v>0</v>
      </c>
      <c r="AV118" s="817"/>
      <c r="AW118" s="817"/>
      <c r="AX118" s="712">
        <f>IF(AV118=0,0,(AW118-AV118)/AV118*100)</f>
        <v>0</v>
      </c>
      <c r="AY118" s="817"/>
      <c r="AZ118" s="817"/>
      <c r="BA118" s="712">
        <f>IF(AY118=0,0,(AZ118-AY118)/AY118*100)</f>
        <v>0</v>
      </c>
      <c r="BB118" s="817"/>
      <c r="BC118" s="817"/>
      <c r="BD118" s="712">
        <f>IF(BB118=0,0,(BC118-BB118)/BB118*100)</f>
        <v>0</v>
      </c>
      <c r="BE118" s="817"/>
      <c r="BF118" s="817"/>
      <c r="BG118" s="712">
        <f>IF(BE118=0,0,(BF118-BE118)/BE118*100)</f>
        <v>0</v>
      </c>
      <c r="BH118" s="817"/>
      <c r="BI118" s="817"/>
      <c r="BJ118" s="712">
        <f>IF(BH118=0,0,(BI118-BH118)/BH118*100)</f>
        <v>0</v>
      </c>
      <c r="BK118" s="817"/>
      <c r="BL118" s="817"/>
      <c r="BM118" s="712">
        <f>IF(BK118=0,0,(BL118-BK118)/BK118*100)</f>
        <v>0</v>
      </c>
      <c r="BN118" s="817"/>
      <c r="BO118" s="817"/>
      <c r="BP118" s="712">
        <f>IF(BN118=0,0,(BO118-BN118)/BN118*100)</f>
        <v>0</v>
      </c>
      <c r="BQ118" s="817"/>
      <c r="BR118" s="817"/>
      <c r="BS118" s="712">
        <f>IF(BQ118=0,0,(BR118-BQ118)/BQ118*100)</f>
        <v>0</v>
      </c>
      <c r="BT118" s="817"/>
      <c r="BU118" s="817"/>
      <c r="BV118" s="712">
        <f>IF(BT118=0,0,(BU118-BT118)/BT118*100)</f>
        <v>0</v>
      </c>
      <c r="BW118" s="817"/>
      <c r="BX118" s="817"/>
      <c r="BY118" s="712">
        <f>IF(BW118=0,0,(BX118-BW118)/BW118*100)</f>
        <v>0</v>
      </c>
      <c r="BZ118" s="817"/>
      <c r="CA118" s="817"/>
      <c r="CB118" s="712">
        <f>IF(BZ118=0,0,(CA118-BZ118)/BZ118*100)</f>
        <v>0</v>
      </c>
      <c r="CC118" s="817"/>
      <c r="CD118" s="817"/>
      <c r="CE118" s="712">
        <f>IF(CC118=0,0,(CD118-CC118)/CC118*100)</f>
        <v>0</v>
      </c>
      <c r="CF118" s="817"/>
      <c r="CG118" s="817"/>
      <c r="CH118" s="712">
        <f>IF(CF118=0,0,(CG118-CF118)/CF118*100)</f>
        <v>0</v>
      </c>
      <c r="CI118" s="817"/>
      <c r="CJ118" s="817"/>
      <c r="CK118" s="712">
        <f>IF(CI118=0,0,(CJ118-CI118)/CI118*100)</f>
        <v>0</v>
      </c>
      <c r="CL118" s="817"/>
      <c r="CM118" s="817"/>
      <c r="CN118" s="712">
        <f>IF(CL118=0,0,(CM118-CL118)/CL118*100)</f>
        <v>0</v>
      </c>
      <c r="CO118" s="817"/>
      <c r="CP118" s="817"/>
      <c r="CQ118" s="712">
        <f>IF(CO118=0,0,(CP118-CO118)/CO118*100)</f>
        <v>0</v>
      </c>
      <c r="CR118" s="817"/>
      <c r="CS118" s="817"/>
      <c r="CT118" s="712">
        <f>IF(CR118=0,0,(CS118-CR118)/CR118*100)</f>
        <v>0</v>
      </c>
      <c r="CU118" s="817"/>
      <c r="CV118" s="817"/>
      <c r="CW118" s="712">
        <f>IF(CU118=0,0,(CV118-CU118)/CU118*100)</f>
        <v>0</v>
      </c>
      <c r="CX118" s="817"/>
      <c r="CY118" s="817"/>
      <c r="CZ118" s="712">
        <f>IF(CX118=0,0,(CY118-CX118)/CX118*100)</f>
        <v>0</v>
      </c>
      <c r="DA118" s="817"/>
      <c r="DB118" s="817"/>
      <c r="DC118" s="712">
        <f>IF(DA118=0,0,(DB118-DA118)/DA118*100)</f>
        <v>0</v>
      </c>
      <c r="DD118" s="817"/>
      <c r="DE118" s="817"/>
      <c r="DF118" s="712">
        <f>IF(DD118=0,0,(DE118-DD118)/DD118*100)</f>
        <v>0</v>
      </c>
      <c r="DG118" s="817"/>
      <c r="DH118" s="817"/>
      <c r="DI118" s="712">
        <f>IF(DG118=0,0,(DH118-DG118)/DG118*100)</f>
        <v>0</v>
      </c>
      <c r="DJ118" s="817"/>
      <c r="DK118" s="817"/>
      <c r="DL118" s="712">
        <f>IF(DJ118=0,0,(DK118-DJ118)/DJ118*100)</f>
        <v>0</v>
      </c>
      <c r="DM118" s="817"/>
      <c r="DN118" s="817"/>
      <c r="DO118" s="712">
        <f>IF(DM118=0,0,(DN118-DM118)/DM118*100)</f>
        <v>0</v>
      </c>
      <c r="DP118" s="817"/>
      <c r="DQ118" s="817"/>
      <c r="DR118" s="712">
        <f>IF(DP118=0,0,(DQ118-DP118)/DP118*100)</f>
        <v>0</v>
      </c>
      <c r="DS118" s="817"/>
      <c r="DT118" s="817"/>
      <c r="DU118" s="712">
        <f>IF(DS118=0,0,(DT118-DS118)/DS118*100)</f>
        <v>0</v>
      </c>
      <c r="DV118" s="817"/>
      <c r="DW118" s="817"/>
      <c r="DX118" s="712">
        <f>IF(DV118=0,0,(DW118-DV118)/DV118*100)</f>
        <v>0</v>
      </c>
      <c r="DY118" s="817"/>
      <c r="DZ118" s="817"/>
      <c r="EA118" s="712">
        <f>IF(DY118=0,0,(DZ118-DY118)/DY118*100)</f>
        <v>0</v>
      </c>
      <c r="EB118" s="817"/>
      <c r="EC118" s="817"/>
      <c r="ED118" s="712">
        <f>IF(EB118=0,0,(EC118-EB118)/EB118*100)</f>
        <v>0</v>
      </c>
      <c r="EE118" s="817"/>
      <c r="EF118" s="817"/>
      <c r="EG118" s="712">
        <f>IF(EE118=0,0,(EF118-EE118)/EE118*100)</f>
        <v>0</v>
      </c>
      <c r="EH118" s="817"/>
      <c r="EI118" s="817"/>
      <c r="EJ118" s="712">
        <f>IF(EH118=0,0,(EI118-EH118)/EH118*100)</f>
        <v>0</v>
      </c>
      <c r="EK118" s="817"/>
      <c r="EL118" s="817"/>
      <c r="EM118" s="712">
        <f>IF(EK118=0,0,(EL118-EK118)/EK118*100)</f>
        <v>0</v>
      </c>
      <c r="EN118" s="817"/>
      <c r="EO118" s="817"/>
      <c r="EP118" s="712">
        <f>IF(EN118=0,0,(EO118-EN118)/EN118*100)</f>
        <v>0</v>
      </c>
      <c r="EQ118" s="817"/>
      <c r="ER118" s="817"/>
      <c r="ES118" s="712">
        <f>IF(EQ118=0,0,(ER118-EQ118)/EQ118*100)</f>
        <v>0</v>
      </c>
      <c r="ET118" s="817"/>
      <c r="EU118" s="817"/>
      <c r="EV118" s="712">
        <f>IF(ET118=0,0,(EU118-ET118)/ET118*100)</f>
        <v>0</v>
      </c>
      <c r="EW118" s="817"/>
      <c r="EX118" s="817"/>
      <c r="EY118" s="712">
        <f>IF(EW118=0,0,(EX118-EW118)/EW118*100)</f>
        <v>0</v>
      </c>
      <c r="EZ118" s="817"/>
      <c r="FA118" s="817"/>
      <c r="FB118" s="712">
        <f>IF(EZ118=0,0,(FA118-EZ118)/EZ118*100)</f>
        <v>0</v>
      </c>
      <c r="FC118" s="817"/>
      <c r="FD118" s="817"/>
      <c r="FE118" s="712">
        <f>IF(FC118=0,0,(FD118-FC118)/FC118*100)</f>
        <v>0</v>
      </c>
      <c r="FF118" s="817"/>
      <c r="FG118" s="817"/>
      <c r="FH118" s="712">
        <f>IF(FF118=0,0,(FG118-FF118)/FF118*100)</f>
        <v>0</v>
      </c>
      <c r="FI118" s="817"/>
      <c r="FJ118" s="817"/>
      <c r="FK118" s="712">
        <f>IF(FI118=0,0,(FJ118-FI118)/FI118*100)</f>
        <v>0</v>
      </c>
      <c r="FL118" s="817"/>
      <c r="FM118" s="817"/>
      <c r="FN118" s="712">
        <f>IF(FL118=0,0,(FM118-FL118)/FL118*100)</f>
        <v>0</v>
      </c>
      <c r="FO118" s="817"/>
      <c r="FP118" s="817"/>
      <c r="FQ118" s="712">
        <f>IF(FO118=0,0,(FP118-FO118)/FO118*100)</f>
        <v>0</v>
      </c>
      <c r="FR118" s="817"/>
      <c r="FS118" s="817"/>
      <c r="FT118" s="712">
        <f>IF(FR118=0,0,(FS118-FR118)/FR118*100)</f>
        <v>0</v>
      </c>
      <c r="FU118" s="817"/>
      <c r="FV118" s="817"/>
      <c r="FW118" s="712">
        <f>IF(FU118=0,0,(FV118-FU118)/FU118*100)</f>
        <v>0</v>
      </c>
      <c r="FZ118" s="689" t="s">
        <v>1705</v>
      </c>
    </row>
    <row r="119" spans="1:186" ht="14.25" hidden="1" customHeight="1">
      <c r="A119" s="59"/>
      <c r="B119" s="611" t="b" cm="1">
        <f t="array" ref="B119">B118</f>
        <v>0</v>
      </c>
      <c r="C119" s="59"/>
      <c r="D119" s="59"/>
      <c r="E119" s="460">
        <v>15</v>
      </c>
      <c r="F119" s="3" t="str" cm="1">
        <f t="array" aca="1" ref="F119" ca="1">OFFSET(E119,-1,1)</f>
        <v>1</v>
      </c>
      <c r="G119" s="59"/>
      <c r="H119" s="59" t="s">
        <v>1689</v>
      </c>
      <c r="I119" s="59" t="s">
        <v>1660</v>
      </c>
      <c r="J119" s="59"/>
      <c r="K119" s="59"/>
      <c r="L119" s="59"/>
      <c r="M119" s="59"/>
      <c r="N119" s="59"/>
      <c r="O119" s="59"/>
      <c r="P119" s="59"/>
      <c r="Q119" s="59"/>
      <c r="R119" s="59"/>
      <c r="S119" s="59"/>
      <c r="T119" s="351" t="b" cm="1">
        <f t="array" aca="1" ref="T119" ca="1">T118</f>
        <v>1</v>
      </c>
      <c r="U119" s="59"/>
      <c r="V119" s="59"/>
      <c r="W119" s="59"/>
      <c r="X119" s="1046"/>
      <c r="Y119" s="59"/>
      <c r="Z119" s="1007"/>
      <c r="AA119" s="59"/>
      <c r="AB119" s="105" t="s">
        <v>1690</v>
      </c>
      <c r="AC119" s="12" t="s">
        <v>1691</v>
      </c>
      <c r="AD119" s="817"/>
      <c r="AE119" s="817"/>
      <c r="AF119" s="712">
        <f>IF(AD119=0,0,(AE119-AD119)/AD119*100)</f>
        <v>0</v>
      </c>
      <c r="AG119" s="57"/>
      <c r="AH119" s="57"/>
      <c r="AI119" s="712">
        <f>IF(AG119=0,0,(AH119-AG119)/AG119*100)</f>
        <v>0</v>
      </c>
      <c r="AJ119" s="57"/>
      <c r="AK119" s="57"/>
      <c r="AL119" s="712">
        <f>IF(AJ119=0,0,(AK119-AJ119)/AJ119*100)</f>
        <v>0</v>
      </c>
      <c r="AM119" s="817"/>
      <c r="AN119" s="817"/>
      <c r="AO119" s="712">
        <f>IF(AM119=0,0,(AN119-AM119)/AM119*100)</f>
        <v>0</v>
      </c>
      <c r="AP119" s="817"/>
      <c r="AQ119" s="817"/>
      <c r="AR119" s="712">
        <f>IF(AP119=0,0,(AQ119-AP119)/AP119*100)</f>
        <v>0</v>
      </c>
      <c r="AS119" s="817"/>
      <c r="AT119" s="817"/>
      <c r="AU119" s="712">
        <f>IF(AS119=0,0,(AT119-AS119)/AS119*100)</f>
        <v>0</v>
      </c>
      <c r="AV119" s="817"/>
      <c r="AW119" s="817"/>
      <c r="AX119" s="712">
        <f>IF(AV119=0,0,(AW119-AV119)/AV119*100)</f>
        <v>0</v>
      </c>
      <c r="AY119" s="817"/>
      <c r="AZ119" s="817"/>
      <c r="BA119" s="712">
        <f>IF(AY119=0,0,(AZ119-AY119)/AY119*100)</f>
        <v>0</v>
      </c>
      <c r="BB119" s="817"/>
      <c r="BC119" s="817"/>
      <c r="BD119" s="712">
        <f>IF(BB119=0,0,(BC119-BB119)/BB119*100)</f>
        <v>0</v>
      </c>
      <c r="BE119" s="817"/>
      <c r="BF119" s="817"/>
      <c r="BG119" s="712">
        <f>IF(BE119=0,0,(BF119-BE119)/BE119*100)</f>
        <v>0</v>
      </c>
      <c r="BH119" s="817"/>
      <c r="BI119" s="817"/>
      <c r="BJ119" s="712">
        <f>IF(BH119=0,0,(BI119-BH119)/BH119*100)</f>
        <v>0</v>
      </c>
      <c r="BK119" s="817"/>
      <c r="BL119" s="817"/>
      <c r="BM119" s="712">
        <f>IF(BK119=0,0,(BL119-BK119)/BK119*100)</f>
        <v>0</v>
      </c>
      <c r="BN119" s="817"/>
      <c r="BO119" s="817"/>
      <c r="BP119" s="712">
        <f>IF(BN119=0,0,(BO119-BN119)/BN119*100)</f>
        <v>0</v>
      </c>
      <c r="BQ119" s="817"/>
      <c r="BR119" s="817"/>
      <c r="BS119" s="712">
        <f>IF(BQ119=0,0,(BR119-BQ119)/BQ119*100)</f>
        <v>0</v>
      </c>
      <c r="BT119" s="817"/>
      <c r="BU119" s="817"/>
      <c r="BV119" s="712">
        <f>IF(BT119=0,0,(BU119-BT119)/BT119*100)</f>
        <v>0</v>
      </c>
      <c r="BW119" s="817"/>
      <c r="BX119" s="817"/>
      <c r="BY119" s="712">
        <f>IF(BW119=0,0,(BX119-BW119)/BW119*100)</f>
        <v>0</v>
      </c>
      <c r="BZ119" s="817"/>
      <c r="CA119" s="817"/>
      <c r="CB119" s="712">
        <f>IF(BZ119=0,0,(CA119-BZ119)/BZ119*100)</f>
        <v>0</v>
      </c>
      <c r="CC119" s="817"/>
      <c r="CD119" s="817"/>
      <c r="CE119" s="712">
        <f>IF(CC119=0,0,(CD119-CC119)/CC119*100)</f>
        <v>0</v>
      </c>
      <c r="CF119" s="817"/>
      <c r="CG119" s="817"/>
      <c r="CH119" s="712">
        <f>IF(CF119=0,0,(CG119-CF119)/CF119*100)</f>
        <v>0</v>
      </c>
      <c r="CI119" s="817"/>
      <c r="CJ119" s="817"/>
      <c r="CK119" s="712">
        <f>IF(CI119=0,0,(CJ119-CI119)/CI119*100)</f>
        <v>0</v>
      </c>
      <c r="CL119" s="817"/>
      <c r="CM119" s="817"/>
      <c r="CN119" s="712">
        <f>IF(CL119=0,0,(CM119-CL119)/CL119*100)</f>
        <v>0</v>
      </c>
      <c r="CO119" s="817"/>
      <c r="CP119" s="817"/>
      <c r="CQ119" s="712">
        <f>IF(CO119=0,0,(CP119-CO119)/CO119*100)</f>
        <v>0</v>
      </c>
      <c r="CR119" s="817"/>
      <c r="CS119" s="817"/>
      <c r="CT119" s="712">
        <f>IF(CR119=0,0,(CS119-CR119)/CR119*100)</f>
        <v>0</v>
      </c>
      <c r="CU119" s="817"/>
      <c r="CV119" s="817"/>
      <c r="CW119" s="712">
        <f>IF(CU119=0,0,(CV119-CU119)/CU119*100)</f>
        <v>0</v>
      </c>
      <c r="CX119" s="817"/>
      <c r="CY119" s="817"/>
      <c r="CZ119" s="712">
        <f>IF(CX119=0,0,(CY119-CX119)/CX119*100)</f>
        <v>0</v>
      </c>
      <c r="DA119" s="817"/>
      <c r="DB119" s="817"/>
      <c r="DC119" s="712">
        <f>IF(DA119=0,0,(DB119-DA119)/DA119*100)</f>
        <v>0</v>
      </c>
      <c r="DD119" s="817"/>
      <c r="DE119" s="817"/>
      <c r="DF119" s="712">
        <f>IF(DD119=0,0,(DE119-DD119)/DD119*100)</f>
        <v>0</v>
      </c>
      <c r="DG119" s="817"/>
      <c r="DH119" s="817"/>
      <c r="DI119" s="712">
        <f>IF(DG119=0,0,(DH119-DG119)/DG119*100)</f>
        <v>0</v>
      </c>
      <c r="DJ119" s="817"/>
      <c r="DK119" s="817"/>
      <c r="DL119" s="712">
        <f>IF(DJ119=0,0,(DK119-DJ119)/DJ119*100)</f>
        <v>0</v>
      </c>
      <c r="DM119" s="817"/>
      <c r="DN119" s="817"/>
      <c r="DO119" s="712">
        <f>IF(DM119=0,0,(DN119-DM119)/DM119*100)</f>
        <v>0</v>
      </c>
      <c r="DP119" s="817"/>
      <c r="DQ119" s="817"/>
      <c r="DR119" s="712">
        <f>IF(DP119=0,0,(DQ119-DP119)/DP119*100)</f>
        <v>0</v>
      </c>
      <c r="DS119" s="817"/>
      <c r="DT119" s="817"/>
      <c r="DU119" s="712">
        <f>IF(DS119=0,0,(DT119-DS119)/DS119*100)</f>
        <v>0</v>
      </c>
      <c r="DV119" s="817"/>
      <c r="DW119" s="817"/>
      <c r="DX119" s="712">
        <f>IF(DV119=0,0,(DW119-DV119)/DV119*100)</f>
        <v>0</v>
      </c>
      <c r="DY119" s="817"/>
      <c r="DZ119" s="817"/>
      <c r="EA119" s="712">
        <f>IF(DY119=0,0,(DZ119-DY119)/DY119*100)</f>
        <v>0</v>
      </c>
      <c r="EB119" s="817"/>
      <c r="EC119" s="817"/>
      <c r="ED119" s="712">
        <f>IF(EB119=0,0,(EC119-EB119)/EB119*100)</f>
        <v>0</v>
      </c>
      <c r="EE119" s="817"/>
      <c r="EF119" s="817"/>
      <c r="EG119" s="712">
        <f>IF(EE119=0,0,(EF119-EE119)/EE119*100)</f>
        <v>0</v>
      </c>
      <c r="EH119" s="817"/>
      <c r="EI119" s="817"/>
      <c r="EJ119" s="712">
        <f>IF(EH119=0,0,(EI119-EH119)/EH119*100)</f>
        <v>0</v>
      </c>
      <c r="EK119" s="817"/>
      <c r="EL119" s="817"/>
      <c r="EM119" s="712">
        <f>IF(EK119=0,0,(EL119-EK119)/EK119*100)</f>
        <v>0</v>
      </c>
      <c r="EN119" s="817"/>
      <c r="EO119" s="817"/>
      <c r="EP119" s="712">
        <f>IF(EN119=0,0,(EO119-EN119)/EN119*100)</f>
        <v>0</v>
      </c>
      <c r="EQ119" s="817"/>
      <c r="ER119" s="817"/>
      <c r="ES119" s="712">
        <f>IF(EQ119=0,0,(ER119-EQ119)/EQ119*100)</f>
        <v>0</v>
      </c>
      <c r="ET119" s="817"/>
      <c r="EU119" s="817"/>
      <c r="EV119" s="712">
        <f>IF(ET119=0,0,(EU119-ET119)/ET119*100)</f>
        <v>0</v>
      </c>
      <c r="EW119" s="817"/>
      <c r="EX119" s="817"/>
      <c r="EY119" s="712">
        <f>IF(EW119=0,0,(EX119-EW119)/EW119*100)</f>
        <v>0</v>
      </c>
      <c r="EZ119" s="817"/>
      <c r="FA119" s="817"/>
      <c r="FB119" s="712">
        <f>IF(EZ119=0,0,(FA119-EZ119)/EZ119*100)</f>
        <v>0</v>
      </c>
      <c r="FC119" s="817"/>
      <c r="FD119" s="817"/>
      <c r="FE119" s="712">
        <f>IF(FC119=0,0,(FD119-FC119)/FC119*100)</f>
        <v>0</v>
      </c>
      <c r="FF119" s="817"/>
      <c r="FG119" s="817"/>
      <c r="FH119" s="712">
        <f>IF(FF119=0,0,(FG119-FF119)/FF119*100)</f>
        <v>0</v>
      </c>
      <c r="FI119" s="817"/>
      <c r="FJ119" s="817"/>
      <c r="FK119" s="712">
        <f>IF(FI119=0,0,(FJ119-FI119)/FI119*100)</f>
        <v>0</v>
      </c>
      <c r="FL119" s="817"/>
      <c r="FM119" s="817"/>
      <c r="FN119" s="712">
        <f>IF(FL119=0,0,(FM119-FL119)/FL119*100)</f>
        <v>0</v>
      </c>
      <c r="FO119" s="817"/>
      <c r="FP119" s="817"/>
      <c r="FQ119" s="712">
        <f>IF(FO119=0,0,(FP119-FO119)/FO119*100)</f>
        <v>0</v>
      </c>
      <c r="FR119" s="817"/>
      <c r="FS119" s="817"/>
      <c r="FT119" s="712">
        <f>IF(FR119=0,0,(FS119-FR119)/FR119*100)</f>
        <v>0</v>
      </c>
      <c r="FU119" s="817"/>
      <c r="FV119" s="817"/>
      <c r="FW119" s="712">
        <f>IF(FU119=0,0,(FV119-FU119)/FU119*100)</f>
        <v>0</v>
      </c>
      <c r="FZ119" s="689" t="s">
        <v>1706</v>
      </c>
    </row>
    <row r="120" spans="1:186" ht="23.25" hidden="1" customHeight="1">
      <c r="A120" s="59"/>
      <c r="B120" s="611" t="b" cm="1">
        <f t="array" ref="B120">B119</f>
        <v>0</v>
      </c>
      <c r="C120" s="59"/>
      <c r="D120" s="59"/>
      <c r="E120" s="460">
        <v>24.5</v>
      </c>
      <c r="F120" s="3" t="str" cm="1">
        <f t="array" aca="1" ref="F120" ca="1">OFFSET(E120,-1,1)</f>
        <v>1</v>
      </c>
      <c r="G120" s="59"/>
      <c r="H120" s="59"/>
      <c r="I120" s="59"/>
      <c r="J120" s="59"/>
      <c r="K120" s="59"/>
      <c r="L120" s="59"/>
      <c r="M120" s="59"/>
      <c r="N120" s="59"/>
      <c r="O120" s="59"/>
      <c r="P120" s="59"/>
      <c r="Q120" s="59"/>
      <c r="R120" s="59"/>
      <c r="S120" s="59"/>
      <c r="T120" s="351" t="b" cm="1">
        <f t="array" aca="1" ref="T120" ca="1">T119</f>
        <v>1</v>
      </c>
      <c r="U120" s="59"/>
      <c r="V120" s="59"/>
      <c r="W120" s="59"/>
      <c r="X120" s="1046"/>
      <c r="Y120" s="59"/>
      <c r="Z120" s="1007"/>
      <c r="AA120" s="59"/>
      <c r="AB120" s="204" t="s">
        <v>1707</v>
      </c>
      <c r="AC120" s="595"/>
      <c r="AD120" s="717"/>
      <c r="AE120" s="717"/>
      <c r="AF120" s="717"/>
      <c r="AG120" s="717"/>
      <c r="AH120" s="717"/>
      <c r="AI120" s="717"/>
      <c r="AJ120" s="717"/>
      <c r="AK120" s="717"/>
      <c r="AL120" s="717"/>
      <c r="AM120" s="717"/>
      <c r="AN120" s="717"/>
      <c r="AO120" s="717"/>
      <c r="AP120" s="717"/>
      <c r="AQ120" s="717"/>
      <c r="AR120" s="717"/>
      <c r="AS120" s="717"/>
      <c r="AT120" s="717"/>
      <c r="AU120" s="717"/>
      <c r="AV120" s="717"/>
      <c r="AW120" s="717"/>
      <c r="AX120" s="717"/>
      <c r="AY120" s="717"/>
      <c r="AZ120" s="717"/>
      <c r="BA120" s="717"/>
      <c r="BB120" s="717"/>
      <c r="BC120" s="717"/>
      <c r="BD120" s="717"/>
      <c r="BE120" s="717"/>
      <c r="BF120" s="717"/>
      <c r="BG120" s="717"/>
      <c r="BH120" s="717"/>
      <c r="BI120" s="717"/>
      <c r="BJ120" s="717"/>
      <c r="BK120" s="717"/>
      <c r="BL120" s="717"/>
      <c r="BM120" s="717"/>
      <c r="BN120" s="717"/>
      <c r="BO120" s="717"/>
      <c r="BP120" s="717"/>
      <c r="BQ120" s="717"/>
      <c r="BR120" s="717"/>
      <c r="BS120" s="717"/>
      <c r="BT120" s="717"/>
      <c r="BU120" s="717"/>
      <c r="BV120" s="717"/>
      <c r="BW120" s="717"/>
      <c r="BX120" s="717"/>
      <c r="BY120" s="717"/>
      <c r="BZ120" s="717"/>
      <c r="CA120" s="717"/>
      <c r="CB120" s="717"/>
      <c r="CC120" s="717"/>
      <c r="CD120" s="717"/>
      <c r="CE120" s="717"/>
      <c r="CF120" s="717"/>
      <c r="CG120" s="717"/>
      <c r="CH120" s="717"/>
      <c r="CI120" s="717"/>
      <c r="CJ120" s="717"/>
      <c r="CK120" s="717"/>
      <c r="CL120" s="717"/>
      <c r="CM120" s="717"/>
      <c r="CN120" s="717"/>
      <c r="CO120" s="717"/>
      <c r="CP120" s="717"/>
      <c r="CQ120" s="717"/>
      <c r="CR120" s="717"/>
      <c r="CS120" s="717"/>
      <c r="CT120" s="717"/>
      <c r="CU120" s="717"/>
      <c r="CV120" s="717"/>
      <c r="CW120" s="717"/>
      <c r="CX120" s="717"/>
      <c r="CY120" s="717"/>
      <c r="CZ120" s="717"/>
      <c r="DA120" s="717"/>
      <c r="DB120" s="717"/>
      <c r="DC120" s="717"/>
      <c r="DD120" s="717"/>
      <c r="DE120" s="717"/>
      <c r="DF120" s="717"/>
      <c r="DG120" s="717"/>
      <c r="DH120" s="717"/>
      <c r="DI120" s="717"/>
      <c r="DJ120" s="717"/>
      <c r="DK120" s="717"/>
      <c r="DL120" s="717"/>
      <c r="DM120" s="717"/>
      <c r="DN120" s="717"/>
      <c r="DO120" s="717"/>
      <c r="DP120" s="717"/>
      <c r="DQ120" s="717"/>
      <c r="DR120" s="717"/>
      <c r="DS120" s="717"/>
      <c r="DT120" s="717"/>
      <c r="DU120" s="717"/>
      <c r="DV120" s="717"/>
      <c r="DW120" s="717"/>
      <c r="DX120" s="717"/>
      <c r="DY120" s="717"/>
      <c r="DZ120" s="717"/>
      <c r="EA120" s="717"/>
      <c r="EB120" s="717"/>
      <c r="EC120" s="717"/>
      <c r="ED120" s="717"/>
      <c r="EE120" s="717"/>
      <c r="EF120" s="717"/>
      <c r="EG120" s="717"/>
      <c r="EH120" s="717"/>
      <c r="EI120" s="717"/>
      <c r="EJ120" s="717"/>
      <c r="EK120" s="717"/>
      <c r="EL120" s="717"/>
      <c r="EM120" s="717"/>
      <c r="EN120" s="717"/>
      <c r="EO120" s="717"/>
      <c r="EP120" s="717"/>
      <c r="EQ120" s="717"/>
      <c r="ER120" s="717"/>
      <c r="ES120" s="717"/>
      <c r="ET120" s="717"/>
      <c r="EU120" s="717"/>
      <c r="EV120" s="717"/>
      <c r="EW120" s="717"/>
      <c r="EX120" s="717"/>
      <c r="EY120" s="717"/>
      <c r="EZ120" s="717"/>
      <c r="FA120" s="717"/>
      <c r="FB120" s="717"/>
      <c r="FC120" s="717"/>
      <c r="FD120" s="717"/>
      <c r="FE120" s="717"/>
      <c r="FF120" s="717"/>
      <c r="FG120" s="717"/>
      <c r="FH120" s="717"/>
      <c r="FI120" s="717"/>
      <c r="FJ120" s="717"/>
      <c r="FK120" s="717"/>
      <c r="FL120" s="717"/>
      <c r="FM120" s="717"/>
      <c r="FN120" s="717"/>
      <c r="FO120" s="717"/>
      <c r="FP120" s="717"/>
      <c r="FQ120" s="717"/>
      <c r="FR120" s="717"/>
      <c r="FS120" s="717"/>
      <c r="FT120" s="717"/>
      <c r="FU120" s="717"/>
      <c r="FV120" s="717"/>
      <c r="FW120" s="718"/>
      <c r="FZ120" s="689"/>
    </row>
    <row r="121" spans="1:186" ht="14.25" hidden="1" customHeight="1">
      <c r="A121" s="59"/>
      <c r="B121" s="611" t="b" cm="1">
        <f t="array" ref="B121">B120</f>
        <v>0</v>
      </c>
      <c r="C121" s="59"/>
      <c r="D121" s="59"/>
      <c r="E121" s="460">
        <v>15</v>
      </c>
      <c r="F121" s="3" t="str" cm="1">
        <f t="array" aca="1" ref="F121" ca="1">OFFSET(E121,-1,1)</f>
        <v>1</v>
      </c>
      <c r="G121" s="59"/>
      <c r="H121" s="59" t="s">
        <v>1604</v>
      </c>
      <c r="I121" s="59" t="s">
        <v>1664</v>
      </c>
      <c r="J121" s="59"/>
      <c r="K121" s="59"/>
      <c r="L121" s="59"/>
      <c r="M121" s="59"/>
      <c r="N121" s="59"/>
      <c r="O121" s="59"/>
      <c r="P121" s="59"/>
      <c r="Q121" s="59"/>
      <c r="R121" s="59"/>
      <c r="S121" s="59"/>
      <c r="T121" s="351" t="b" cm="1">
        <f t="array" aca="1" ref="T121" ca="1">T120</f>
        <v>1</v>
      </c>
      <c r="U121" s="59"/>
      <c r="V121" s="59"/>
      <c r="W121" s="59"/>
      <c r="X121" s="1046"/>
      <c r="Y121" s="59"/>
      <c r="Z121" s="1007"/>
      <c r="AA121" s="59"/>
      <c r="AB121" s="105" t="s">
        <v>1680</v>
      </c>
      <c r="AC121" s="12" t="s">
        <v>1647</v>
      </c>
      <c r="AD121" s="817">
        <f ca="1">IF(AD123=0,0,(AD122*AD123+AD124*AD125*IF(god=2026,3,6))/AD123)</f>
        <v>0</v>
      </c>
      <c r="AE121" s="817">
        <f ca="1">IF(AE123=0,0,(AE122*AE123+AE124*AE125*IF(god=2026,3,6))/AE123)</f>
        <v>0</v>
      </c>
      <c r="AF121" s="712">
        <f ca="1">IF(AD121=0,0,(AE121-AD121)/AD121*100)</f>
        <v>0</v>
      </c>
      <c r="AG121" s="57">
        <f ca="1">IF(AG123=0,0,(AG122*AG123+AG124*AG125*IF(god=2025,3,6))/AG123)</f>
        <v>0</v>
      </c>
      <c r="AH121" s="57">
        <f ca="1">IF(AH123=0,0,(AH122*AH123+AH124*AH125*IF(god=2025,3,6))/AH123)</f>
        <v>0</v>
      </c>
      <c r="AI121" s="712">
        <f ca="1">IF(AG121=0,0,(AH121-AG121)/AG121*100)</f>
        <v>0</v>
      </c>
      <c r="AJ121" s="57">
        <f ca="1">IF(AJ123=0,0,(AJ122*AJ123+AJ124*AJ125*6)/AJ123)</f>
        <v>0</v>
      </c>
      <c r="AK121" s="57">
        <f ca="1">IF(AK123=0,0,(AK122*AK123+AK124*AK125*6)/AK123)</f>
        <v>0</v>
      </c>
      <c r="AL121" s="712">
        <f ca="1">IF(AJ121=0,0,(AK121-AJ121)/AJ121*100)</f>
        <v>0</v>
      </c>
      <c r="AM121" s="817">
        <f ca="1">IF(AM123=0,0,(AM122*AM123+AM124*AM125*6)/AM123)</f>
        <v>0</v>
      </c>
      <c r="AN121" s="817">
        <f ca="1">IF(AN123=0,0,(AN122*AN123+AN124*AN125*6)/AN123)</f>
        <v>0</v>
      </c>
      <c r="AO121" s="712">
        <f ca="1">IF(AM121=0,0,(AN121-AM121)/AM121*100)</f>
        <v>0</v>
      </c>
      <c r="AP121" s="817">
        <f ca="1">IF(AP123=0,0,(AP122*AP123+AP124*AP125*6)/AP123)</f>
        <v>0</v>
      </c>
      <c r="AQ121" s="817">
        <f ca="1">IF(AQ123=0,0,(AQ122*AQ123+AQ124*AQ125*6)/AQ123)</f>
        <v>0</v>
      </c>
      <c r="AR121" s="712">
        <f ca="1">IF(AP121=0,0,(AQ121-AP121)/AP121*100)</f>
        <v>0</v>
      </c>
      <c r="AS121" s="817">
        <f ca="1">IF(AS123=0,0,(AS122*AS123+AS124*AS125*6)/AS123)</f>
        <v>0</v>
      </c>
      <c r="AT121" s="817">
        <f ca="1">IF(AT123=0,0,(AT122*AT123+AT124*AT125*6)/AT123)</f>
        <v>0</v>
      </c>
      <c r="AU121" s="712">
        <f ca="1">IF(AS121=0,0,(AT121-AS121)/AS121*100)</f>
        <v>0</v>
      </c>
      <c r="AV121" s="817">
        <f ca="1">IF(AV123=0,0,(AV122*AV123+AV124*AV125*6)/AV123)</f>
        <v>0</v>
      </c>
      <c r="AW121" s="817">
        <f ca="1">IF(AW123=0,0,(AW122*AW123+AW124*AW125*6)/AW123)</f>
        <v>0</v>
      </c>
      <c r="AX121" s="712">
        <f ca="1">IF(AV121=0,0,(AW121-AV121)/AV121*100)</f>
        <v>0</v>
      </c>
      <c r="AY121" s="817">
        <f ca="1">IF(AY123=0,0,(AY122*AY123+AY124*AY125*6)/AY123)</f>
        <v>0</v>
      </c>
      <c r="AZ121" s="817">
        <f ca="1">IF(AZ123=0,0,(AZ122*AZ123+AZ124*AZ125*6)/AZ123)</f>
        <v>0</v>
      </c>
      <c r="BA121" s="712">
        <f ca="1">IF(AY121=0,0,(AZ121-AY121)/AY121*100)</f>
        <v>0</v>
      </c>
      <c r="BB121" s="817">
        <f ca="1">IF(BB123=0,0,(BB122*BB123+BB124*BB125*6)/BB123)</f>
        <v>0</v>
      </c>
      <c r="BC121" s="817">
        <f ca="1">IF(BC123=0,0,(BC122*BC123+BC124*BC125*6)/BC123)</f>
        <v>0</v>
      </c>
      <c r="BD121" s="712">
        <f ca="1">IF(BB121=0,0,(BC121-BB121)/BB121*100)</f>
        <v>0</v>
      </c>
      <c r="BE121" s="817">
        <f ca="1">IF(BE123=0,0,(BE122*BE123+BE124*BE125*6)/BE123)</f>
        <v>0</v>
      </c>
      <c r="BF121" s="817">
        <f ca="1">IF(BF123=0,0,(BF122*BF123+BF124*BF125*6)/BF123)</f>
        <v>0</v>
      </c>
      <c r="BG121" s="712">
        <f ca="1">IF(BE121=0,0,(BF121-BE121)/BE121*100)</f>
        <v>0</v>
      </c>
      <c r="BH121" s="817">
        <f>IF(BH123=0,0,(BH122*BH123+BH124*BH125*6)/BH123)</f>
        <v>0</v>
      </c>
      <c r="BI121" s="817">
        <f>IF(BI123=0,0,(BI122*BI123+BI124*BI125*6)/BI123)</f>
        <v>0</v>
      </c>
      <c r="BJ121" s="712">
        <f>IF(BH121=0,0,(BI121-BH121)/BH121*100)</f>
        <v>0</v>
      </c>
      <c r="BK121" s="817">
        <f>IF(BK123=0,0,(BK122*BK123+BK124*BK125*6)/BK123)</f>
        <v>0</v>
      </c>
      <c r="BL121" s="817">
        <f>IF(BL123=0,0,(BL122*BL123+BL124*BL125*6)/BL123)</f>
        <v>0</v>
      </c>
      <c r="BM121" s="712">
        <f>IF(BK121=0,0,(BL121-BK121)/BK121*100)</f>
        <v>0</v>
      </c>
      <c r="BN121" s="817">
        <f>IF(BN123=0,0,(BN122*BN123+BN124*BN125*6)/BN123)</f>
        <v>0</v>
      </c>
      <c r="BO121" s="817">
        <f>IF(BO123=0,0,(BO122*BO123+BO124*BO125*6)/BO123)</f>
        <v>0</v>
      </c>
      <c r="BP121" s="712">
        <f>IF(BN121=0,0,(BO121-BN121)/BN121*100)</f>
        <v>0</v>
      </c>
      <c r="BQ121" s="817">
        <f>IF(BQ123=0,0,(BQ122*BQ123+BQ124*BQ125*6)/BQ123)</f>
        <v>0</v>
      </c>
      <c r="BR121" s="817">
        <f>IF(BR123=0,0,(BR122*BR123+BR124*BR125*6)/BR123)</f>
        <v>0</v>
      </c>
      <c r="BS121" s="712">
        <f>IF(BQ121=0,0,(BR121-BQ121)/BQ121*100)</f>
        <v>0</v>
      </c>
      <c r="BT121" s="817">
        <f>IF(BT123=0,0,(BT122*BT123+BT124*BT125*6)/BT123)</f>
        <v>0</v>
      </c>
      <c r="BU121" s="817">
        <f>IF(BU123=0,0,(BU122*BU123+BU124*BU125*6)/BU123)</f>
        <v>0</v>
      </c>
      <c r="BV121" s="712">
        <f>IF(BT121=0,0,(BU121-BT121)/BT121*100)</f>
        <v>0</v>
      </c>
      <c r="BW121" s="817">
        <f>IF(BW123=0,0,(BW122*BW123+BW124*BW125*6)/BW123)</f>
        <v>0</v>
      </c>
      <c r="BX121" s="817">
        <f>IF(BX123=0,0,(BX122*BX123+BX124*BX125*6)/BX123)</f>
        <v>0</v>
      </c>
      <c r="BY121" s="712">
        <f>IF(BW121=0,0,(BX121-BW121)/BW121*100)</f>
        <v>0</v>
      </c>
      <c r="BZ121" s="817">
        <f>IF(BZ123=0,0,(BZ122*BZ123+BZ124*BZ125*6)/BZ123)</f>
        <v>0</v>
      </c>
      <c r="CA121" s="817">
        <f>IF(CA123=0,0,(CA122*CA123+CA124*CA125*6)/CA123)</f>
        <v>0</v>
      </c>
      <c r="CB121" s="712">
        <f>IF(BZ121=0,0,(CA121-BZ121)/BZ121*100)</f>
        <v>0</v>
      </c>
      <c r="CC121" s="817">
        <f>IF(CC123=0,0,(CC122*CC123+CC124*CC125*6)/CC123)</f>
        <v>0</v>
      </c>
      <c r="CD121" s="817">
        <f>IF(CD123=0,0,(CD122*CD123+CD124*CD125*6)/CD123)</f>
        <v>0</v>
      </c>
      <c r="CE121" s="712">
        <f>IF(CC121=0,0,(CD121-CC121)/CC121*100)</f>
        <v>0</v>
      </c>
      <c r="CF121" s="817">
        <f>IF(CF123=0,0,(CF122*CF123+CF124*CF125*6)/CF123)</f>
        <v>0</v>
      </c>
      <c r="CG121" s="817">
        <f>IF(CG123=0,0,(CG122*CG123+CG124*CG125*6)/CG123)</f>
        <v>0</v>
      </c>
      <c r="CH121" s="712">
        <f>IF(CF121=0,0,(CG121-CF121)/CF121*100)</f>
        <v>0</v>
      </c>
      <c r="CI121" s="817">
        <f>IF(CI123=0,0,(CI122*CI123+CI124*CI125*6)/CI123)</f>
        <v>0</v>
      </c>
      <c r="CJ121" s="817">
        <f>IF(CJ123=0,0,(CJ122*CJ123+CJ124*CJ125*6)/CJ123)</f>
        <v>0</v>
      </c>
      <c r="CK121" s="712">
        <f>IF(CI121=0,0,(CJ121-CI121)/CI121*100)</f>
        <v>0</v>
      </c>
      <c r="CL121" s="817">
        <f>IF(CL123=0,0,(CL122*CL123+CL124*CL125*6)/CL123)</f>
        <v>0</v>
      </c>
      <c r="CM121" s="817">
        <f>IF(CM123=0,0,(CM122*CM123+CM124*CM125*6)/CM123)</f>
        <v>0</v>
      </c>
      <c r="CN121" s="712">
        <f>IF(CL121=0,0,(CM121-CL121)/CL121*100)</f>
        <v>0</v>
      </c>
      <c r="CO121" s="817">
        <f>IF(CO123=0,0,(CO122*CO123+CO124*CO125*6)/CO123)</f>
        <v>0</v>
      </c>
      <c r="CP121" s="817">
        <f>IF(CP123=0,0,(CP122*CP123+CP124*CP125*6)/CP123)</f>
        <v>0</v>
      </c>
      <c r="CQ121" s="712">
        <f>IF(CO121=0,0,(CP121-CO121)/CO121*100)</f>
        <v>0</v>
      </c>
      <c r="CR121" s="817">
        <f>IF(CR123=0,0,(CR122*CR123+CR124*CR125*6)/CR123)</f>
        <v>0</v>
      </c>
      <c r="CS121" s="817">
        <f>IF(CS123=0,0,(CS122*CS123+CS124*CS125*6)/CS123)</f>
        <v>0</v>
      </c>
      <c r="CT121" s="712">
        <f>IF(CR121=0,0,(CS121-CR121)/CR121*100)</f>
        <v>0</v>
      </c>
      <c r="CU121" s="817">
        <f>IF(CU123=0,0,(CU122*CU123+CU124*CU125*6)/CU123)</f>
        <v>0</v>
      </c>
      <c r="CV121" s="817">
        <f>IF(CV123=0,0,(CV122*CV123+CV124*CV125*6)/CV123)</f>
        <v>0</v>
      </c>
      <c r="CW121" s="712">
        <f>IF(CU121=0,0,(CV121-CU121)/CU121*100)</f>
        <v>0</v>
      </c>
      <c r="CX121" s="817">
        <f>IF(CX123=0,0,(CX122*CX123+CX124*CX125*6)/CX123)</f>
        <v>0</v>
      </c>
      <c r="CY121" s="817">
        <f>IF(CY123=0,0,(CY122*CY123+CY124*CY125*6)/CY123)</f>
        <v>0</v>
      </c>
      <c r="CZ121" s="712">
        <f>IF(CX121=0,0,(CY121-CX121)/CX121*100)</f>
        <v>0</v>
      </c>
      <c r="DA121" s="817">
        <f>IF(DA123=0,0,(DA122*DA123+DA124*DA125*6)/DA123)</f>
        <v>0</v>
      </c>
      <c r="DB121" s="817">
        <f>IF(DB123=0,0,(DB122*DB123+DB124*DB125*6)/DB123)</f>
        <v>0</v>
      </c>
      <c r="DC121" s="712">
        <f>IF(DA121=0,0,(DB121-DA121)/DA121*100)</f>
        <v>0</v>
      </c>
      <c r="DD121" s="817">
        <f>IF(DD123=0,0,(DD122*DD123+DD124*DD125*6)/DD123)</f>
        <v>0</v>
      </c>
      <c r="DE121" s="817">
        <f>IF(DE123=0,0,(DE122*DE123+DE124*DE125*6)/DE123)</f>
        <v>0</v>
      </c>
      <c r="DF121" s="712">
        <f>IF(DD121=0,0,(DE121-DD121)/DD121*100)</f>
        <v>0</v>
      </c>
      <c r="DG121" s="817">
        <f>IF(DG123=0,0,(DG122*DG123+DG124*DG125*6)/DG123)</f>
        <v>0</v>
      </c>
      <c r="DH121" s="817">
        <f>IF(DH123=0,0,(DH122*DH123+DH124*DH125*6)/DH123)</f>
        <v>0</v>
      </c>
      <c r="DI121" s="712">
        <f>IF(DG121=0,0,(DH121-DG121)/DG121*100)</f>
        <v>0</v>
      </c>
      <c r="DJ121" s="817">
        <f>IF(DJ123=0,0,(DJ122*DJ123+DJ124*DJ125*6)/DJ123)</f>
        <v>0</v>
      </c>
      <c r="DK121" s="817">
        <f>IF(DK123=0,0,(DK122*DK123+DK124*DK125*6)/DK123)</f>
        <v>0</v>
      </c>
      <c r="DL121" s="712">
        <f>IF(DJ121=0,0,(DK121-DJ121)/DJ121*100)</f>
        <v>0</v>
      </c>
      <c r="DM121" s="817">
        <f>IF(DM123=0,0,(DM122*DM123+DM124*DM125*6)/DM123)</f>
        <v>0</v>
      </c>
      <c r="DN121" s="817">
        <f>IF(DN123=0,0,(DN122*DN123+DN124*DN125*6)/DN123)</f>
        <v>0</v>
      </c>
      <c r="DO121" s="712">
        <f>IF(DM121=0,0,(DN121-DM121)/DM121*100)</f>
        <v>0</v>
      </c>
      <c r="DP121" s="817">
        <f>IF(DP123=0,0,(DP122*DP123+DP124*DP125*6)/DP123)</f>
        <v>0</v>
      </c>
      <c r="DQ121" s="817">
        <f>IF(DQ123=0,0,(DQ122*DQ123+DQ124*DQ125*6)/DQ123)</f>
        <v>0</v>
      </c>
      <c r="DR121" s="712">
        <f>IF(DP121=0,0,(DQ121-DP121)/DP121*100)</f>
        <v>0</v>
      </c>
      <c r="DS121" s="817">
        <f>IF(DS123=0,0,(DS122*DS123+DS124*DS125*6)/DS123)</f>
        <v>0</v>
      </c>
      <c r="DT121" s="817">
        <f>IF(DT123=0,0,(DT122*DT123+DT124*DT125*6)/DT123)</f>
        <v>0</v>
      </c>
      <c r="DU121" s="712">
        <f>IF(DS121=0,0,(DT121-DS121)/DS121*100)</f>
        <v>0</v>
      </c>
      <c r="DV121" s="817">
        <f>IF(DV123=0,0,(DV122*DV123+DV124*DV125*6)/DV123)</f>
        <v>0</v>
      </c>
      <c r="DW121" s="817">
        <f>IF(DW123=0,0,(DW122*DW123+DW124*DW125*6)/DW123)</f>
        <v>0</v>
      </c>
      <c r="DX121" s="712">
        <f>IF(DV121=0,0,(DW121-DV121)/DV121*100)</f>
        <v>0</v>
      </c>
      <c r="DY121" s="817">
        <f>IF(DY123=0,0,(DY122*DY123+DY124*DY125*6)/DY123)</f>
        <v>0</v>
      </c>
      <c r="DZ121" s="817">
        <f>IF(DZ123=0,0,(DZ122*DZ123+DZ124*DZ125*6)/DZ123)</f>
        <v>0</v>
      </c>
      <c r="EA121" s="712">
        <f>IF(DY121=0,0,(DZ121-DY121)/DY121*100)</f>
        <v>0</v>
      </c>
      <c r="EB121" s="817">
        <f>IF(EB123=0,0,(EB122*EB123+EB124*EB125*6)/EB123)</f>
        <v>0</v>
      </c>
      <c r="EC121" s="817">
        <f>IF(EC123=0,0,(EC122*EC123+EC124*EC125*6)/EC123)</f>
        <v>0</v>
      </c>
      <c r="ED121" s="712">
        <f>IF(EB121=0,0,(EC121-EB121)/EB121*100)</f>
        <v>0</v>
      </c>
      <c r="EE121" s="817">
        <f>IF(EE123=0,0,(EE122*EE123+EE124*EE125*6)/EE123)</f>
        <v>0</v>
      </c>
      <c r="EF121" s="817">
        <f>IF(EF123=0,0,(EF122*EF123+EF124*EF125*6)/EF123)</f>
        <v>0</v>
      </c>
      <c r="EG121" s="712">
        <f>IF(EE121=0,0,(EF121-EE121)/EE121*100)</f>
        <v>0</v>
      </c>
      <c r="EH121" s="817">
        <f>IF(EH123=0,0,(EH122*EH123+EH124*EH125*6)/EH123)</f>
        <v>0</v>
      </c>
      <c r="EI121" s="817">
        <f>IF(EI123=0,0,(EI122*EI123+EI124*EI125*6)/EI123)</f>
        <v>0</v>
      </c>
      <c r="EJ121" s="712">
        <f>IF(EH121=0,0,(EI121-EH121)/EH121*100)</f>
        <v>0</v>
      </c>
      <c r="EK121" s="817">
        <f>IF(EK123=0,0,(EK122*EK123+EK124*EK125*6)/EK123)</f>
        <v>0</v>
      </c>
      <c r="EL121" s="817">
        <f>IF(EL123=0,0,(EL122*EL123+EL124*EL125*6)/EL123)</f>
        <v>0</v>
      </c>
      <c r="EM121" s="712">
        <f>IF(EK121=0,0,(EL121-EK121)/EK121*100)</f>
        <v>0</v>
      </c>
      <c r="EN121" s="817">
        <f>IF(EN123=0,0,(EN122*EN123+EN124*EN125*6)/EN123)</f>
        <v>0</v>
      </c>
      <c r="EO121" s="817">
        <f>IF(EO123=0,0,(EO122*EO123+EO124*EO125*6)/EO123)</f>
        <v>0</v>
      </c>
      <c r="EP121" s="712">
        <f>IF(EN121=0,0,(EO121-EN121)/EN121*100)</f>
        <v>0</v>
      </c>
      <c r="EQ121" s="817">
        <f>IF(EQ123=0,0,(EQ122*EQ123+EQ124*EQ125*6)/EQ123)</f>
        <v>0</v>
      </c>
      <c r="ER121" s="817">
        <f>IF(ER123=0,0,(ER122*ER123+ER124*ER125*6)/ER123)</f>
        <v>0</v>
      </c>
      <c r="ES121" s="712">
        <f>IF(EQ121=0,0,(ER121-EQ121)/EQ121*100)</f>
        <v>0</v>
      </c>
      <c r="ET121" s="817">
        <f>IF(ET123=0,0,(ET122*ET123+ET124*ET125*6)/ET123)</f>
        <v>0</v>
      </c>
      <c r="EU121" s="817">
        <f>IF(EU123=0,0,(EU122*EU123+EU124*EU125*6)/EU123)</f>
        <v>0</v>
      </c>
      <c r="EV121" s="712">
        <f>IF(ET121=0,0,(EU121-ET121)/ET121*100)</f>
        <v>0</v>
      </c>
      <c r="EW121" s="817">
        <f>IF(EW123=0,0,(EW122*EW123+EW124*EW125*6)/EW123)</f>
        <v>0</v>
      </c>
      <c r="EX121" s="817">
        <f>IF(EX123=0,0,(EX122*EX123+EX124*EX125*6)/EX123)</f>
        <v>0</v>
      </c>
      <c r="EY121" s="712">
        <f>IF(EW121=0,0,(EX121-EW121)/EW121*100)</f>
        <v>0</v>
      </c>
      <c r="EZ121" s="817">
        <f>IF(EZ123=0,0,(EZ122*EZ123+EZ124*EZ125*6)/EZ123)</f>
        <v>0</v>
      </c>
      <c r="FA121" s="817">
        <f>IF(FA123=0,0,(FA122*FA123+FA124*FA125*6)/FA123)</f>
        <v>0</v>
      </c>
      <c r="FB121" s="712">
        <f>IF(EZ121=0,0,(FA121-EZ121)/EZ121*100)</f>
        <v>0</v>
      </c>
      <c r="FC121" s="817">
        <f>IF(FC123=0,0,(FC122*FC123+FC124*FC125*6)/FC123)</f>
        <v>0</v>
      </c>
      <c r="FD121" s="817">
        <f>IF(FD123=0,0,(FD122*FD123+FD124*FD125*6)/FD123)</f>
        <v>0</v>
      </c>
      <c r="FE121" s="712">
        <f>IF(FC121=0,0,(FD121-FC121)/FC121*100)</f>
        <v>0</v>
      </c>
      <c r="FF121" s="817">
        <f>IF(FF123=0,0,(FF122*FF123+FF124*FF125*6)/FF123)</f>
        <v>0</v>
      </c>
      <c r="FG121" s="817">
        <f>IF(FG123=0,0,(FG122*FG123+FG124*FG125*6)/FG123)</f>
        <v>0</v>
      </c>
      <c r="FH121" s="712">
        <f>IF(FF121=0,0,(FG121-FF121)/FF121*100)</f>
        <v>0</v>
      </c>
      <c r="FI121" s="817">
        <f>IF(FI123=0,0,(FI122*FI123+FI124*FI125*6)/FI123)</f>
        <v>0</v>
      </c>
      <c r="FJ121" s="817">
        <f>IF(FJ123=0,0,(FJ122*FJ123+FJ124*FJ125*6)/FJ123)</f>
        <v>0</v>
      </c>
      <c r="FK121" s="712">
        <f>IF(FI121=0,0,(FJ121-FI121)/FI121*100)</f>
        <v>0</v>
      </c>
      <c r="FL121" s="817">
        <f>IF(FL123=0,0,(FL122*FL123+FL124*FL125*6)/FL123)</f>
        <v>0</v>
      </c>
      <c r="FM121" s="817">
        <f>IF(FM123=0,0,(FM122*FM123+FM124*FM125*6)/FM123)</f>
        <v>0</v>
      </c>
      <c r="FN121" s="712">
        <f>IF(FL121=0,0,(FM121-FL121)/FL121*100)</f>
        <v>0</v>
      </c>
      <c r="FO121" s="817">
        <f>IF(FO123=0,0,(FO122*FO123+FO124*FO125*6)/FO123)</f>
        <v>0</v>
      </c>
      <c r="FP121" s="817">
        <f>IF(FP123=0,0,(FP122*FP123+FP124*FP125*6)/FP123)</f>
        <v>0</v>
      </c>
      <c r="FQ121" s="712">
        <f>IF(FO121=0,0,(FP121-FO121)/FO121*100)</f>
        <v>0</v>
      </c>
      <c r="FR121" s="817">
        <f>IF(FR123=0,0,(FR122*FR123+FR124*FR125*6)/FR123)</f>
        <v>0</v>
      </c>
      <c r="FS121" s="817">
        <f>IF(FS123=0,0,(FS122*FS123+FS124*FS125*6)/FS123)</f>
        <v>0</v>
      </c>
      <c r="FT121" s="712">
        <f>IF(FR121=0,0,(FS121-FR121)/FR121*100)</f>
        <v>0</v>
      </c>
      <c r="FU121" s="817">
        <f>IF(FU123=0,0,(FU122*FU123+FU124*FU125*6)/FU123)</f>
        <v>0</v>
      </c>
      <c r="FV121" s="817">
        <f>IF(FV123=0,0,(FV122*FV123+FV124*FV125*6)/FV123)</f>
        <v>0</v>
      </c>
      <c r="FW121" s="712">
        <f>IF(FU121=0,0,(FV121-FU121)/FU121*100)</f>
        <v>0</v>
      </c>
      <c r="FZ121" s="689" t="s">
        <v>1708</v>
      </c>
    </row>
    <row r="122" spans="1:186" ht="14.25" hidden="1" customHeight="1">
      <c r="A122" s="59"/>
      <c r="B122" s="611" t="b" cm="1">
        <f t="array" ref="B122">B121</f>
        <v>0</v>
      </c>
      <c r="C122" s="59"/>
      <c r="D122" s="59"/>
      <c r="E122" s="460">
        <v>15</v>
      </c>
      <c r="F122" s="3" t="str" cm="1">
        <f t="array" aca="1" ref="F122" ca="1">OFFSET(E122,-1,1)</f>
        <v>1</v>
      </c>
      <c r="G122" s="59"/>
      <c r="H122" s="59" t="s">
        <v>1608</v>
      </c>
      <c r="I122" s="59" t="s">
        <v>1664</v>
      </c>
      <c r="J122" s="59"/>
      <c r="K122" s="59"/>
      <c r="L122" s="59"/>
      <c r="M122" s="59"/>
      <c r="N122" s="59"/>
      <c r="O122" s="59"/>
      <c r="P122" s="59"/>
      <c r="Q122" s="59"/>
      <c r="R122" s="59"/>
      <c r="S122" s="59"/>
      <c r="T122" s="351" t="b" cm="1">
        <f t="array" aca="1" ref="T122" ca="1">T121</f>
        <v>1</v>
      </c>
      <c r="U122" s="59"/>
      <c r="V122" s="59"/>
      <c r="W122" s="59"/>
      <c r="X122" s="1046"/>
      <c r="Y122" s="59"/>
      <c r="Z122" s="1007"/>
      <c r="AA122" s="59"/>
      <c r="AB122"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12" t="s">
        <v>1647</v>
      </c>
      <c r="AD122" s="817"/>
      <c r="AE122" s="817"/>
      <c r="AF122" s="712">
        <f>IF(AD122=0,0,(AE122-AD122)/AD122*100)</f>
        <v>0</v>
      </c>
      <c r="AG122" s="57"/>
      <c r="AH122" s="57"/>
      <c r="AI122" s="712">
        <f>IF(AG122=0,0,(AH122-AG122)/AG122*100)</f>
        <v>0</v>
      </c>
      <c r="AJ122" s="57"/>
      <c r="AK122" s="57"/>
      <c r="AL122" s="712">
        <f>IF(AJ122=0,0,(AK122-AJ122)/AJ122*100)</f>
        <v>0</v>
      </c>
      <c r="AM122" s="817"/>
      <c r="AN122" s="817"/>
      <c r="AO122" s="712">
        <f>IF(AM122=0,0,(AN122-AM122)/AM122*100)</f>
        <v>0</v>
      </c>
      <c r="AP122" s="817"/>
      <c r="AQ122" s="817"/>
      <c r="AR122" s="712">
        <f>IF(AP122=0,0,(AQ122-AP122)/AP122*100)</f>
        <v>0</v>
      </c>
      <c r="AS122" s="817"/>
      <c r="AT122" s="817"/>
      <c r="AU122" s="712">
        <f>IF(AS122=0,0,(AT122-AS122)/AS122*100)</f>
        <v>0</v>
      </c>
      <c r="AV122" s="817"/>
      <c r="AW122" s="817"/>
      <c r="AX122" s="712">
        <f>IF(AV122=0,0,(AW122-AV122)/AV122*100)</f>
        <v>0</v>
      </c>
      <c r="AY122" s="817"/>
      <c r="AZ122" s="817"/>
      <c r="BA122" s="712">
        <f>IF(AY122=0,0,(AZ122-AY122)/AY122*100)</f>
        <v>0</v>
      </c>
      <c r="BB122" s="817"/>
      <c r="BC122" s="817"/>
      <c r="BD122" s="712">
        <f>IF(BB122=0,0,(BC122-BB122)/BB122*100)</f>
        <v>0</v>
      </c>
      <c r="BE122" s="817"/>
      <c r="BF122" s="817"/>
      <c r="BG122" s="712">
        <f>IF(BE122=0,0,(BF122-BE122)/BE122*100)</f>
        <v>0</v>
      </c>
      <c r="BH122" s="817"/>
      <c r="BI122" s="817"/>
      <c r="BJ122" s="712">
        <f>IF(BH122=0,0,(BI122-BH122)/BH122*100)</f>
        <v>0</v>
      </c>
      <c r="BK122" s="817"/>
      <c r="BL122" s="817"/>
      <c r="BM122" s="712">
        <f>IF(BK122=0,0,(BL122-BK122)/BK122*100)</f>
        <v>0</v>
      </c>
      <c r="BN122" s="817"/>
      <c r="BO122" s="817"/>
      <c r="BP122" s="712">
        <f>IF(BN122=0,0,(BO122-BN122)/BN122*100)</f>
        <v>0</v>
      </c>
      <c r="BQ122" s="817"/>
      <c r="BR122" s="817"/>
      <c r="BS122" s="712">
        <f>IF(BQ122=0,0,(BR122-BQ122)/BQ122*100)</f>
        <v>0</v>
      </c>
      <c r="BT122" s="817"/>
      <c r="BU122" s="817"/>
      <c r="BV122" s="712">
        <f>IF(BT122=0,0,(BU122-BT122)/BT122*100)</f>
        <v>0</v>
      </c>
      <c r="BW122" s="817"/>
      <c r="BX122" s="817"/>
      <c r="BY122" s="712">
        <f>IF(BW122=0,0,(BX122-BW122)/BW122*100)</f>
        <v>0</v>
      </c>
      <c r="BZ122" s="817"/>
      <c r="CA122" s="817"/>
      <c r="CB122" s="712">
        <f>IF(BZ122=0,0,(CA122-BZ122)/BZ122*100)</f>
        <v>0</v>
      </c>
      <c r="CC122" s="817"/>
      <c r="CD122" s="817"/>
      <c r="CE122" s="712">
        <f>IF(CC122=0,0,(CD122-CC122)/CC122*100)</f>
        <v>0</v>
      </c>
      <c r="CF122" s="817"/>
      <c r="CG122" s="817"/>
      <c r="CH122" s="712">
        <f>IF(CF122=0,0,(CG122-CF122)/CF122*100)</f>
        <v>0</v>
      </c>
      <c r="CI122" s="817"/>
      <c r="CJ122" s="817"/>
      <c r="CK122" s="712">
        <f>IF(CI122=0,0,(CJ122-CI122)/CI122*100)</f>
        <v>0</v>
      </c>
      <c r="CL122" s="817"/>
      <c r="CM122" s="817"/>
      <c r="CN122" s="712">
        <f>IF(CL122=0,0,(CM122-CL122)/CL122*100)</f>
        <v>0</v>
      </c>
      <c r="CO122" s="817"/>
      <c r="CP122" s="817"/>
      <c r="CQ122" s="712">
        <f>IF(CO122=0,0,(CP122-CO122)/CO122*100)</f>
        <v>0</v>
      </c>
      <c r="CR122" s="817"/>
      <c r="CS122" s="817"/>
      <c r="CT122" s="712">
        <f>IF(CR122=0,0,(CS122-CR122)/CR122*100)</f>
        <v>0</v>
      </c>
      <c r="CU122" s="817"/>
      <c r="CV122" s="817"/>
      <c r="CW122" s="712">
        <f>IF(CU122=0,0,(CV122-CU122)/CU122*100)</f>
        <v>0</v>
      </c>
      <c r="CX122" s="817"/>
      <c r="CY122" s="817"/>
      <c r="CZ122" s="712">
        <f>IF(CX122=0,0,(CY122-CX122)/CX122*100)</f>
        <v>0</v>
      </c>
      <c r="DA122" s="817"/>
      <c r="DB122" s="817"/>
      <c r="DC122" s="712">
        <f>IF(DA122=0,0,(DB122-DA122)/DA122*100)</f>
        <v>0</v>
      </c>
      <c r="DD122" s="817"/>
      <c r="DE122" s="817"/>
      <c r="DF122" s="712">
        <f>IF(DD122=0,0,(DE122-DD122)/DD122*100)</f>
        <v>0</v>
      </c>
      <c r="DG122" s="817"/>
      <c r="DH122" s="817"/>
      <c r="DI122" s="712">
        <f>IF(DG122=0,0,(DH122-DG122)/DG122*100)</f>
        <v>0</v>
      </c>
      <c r="DJ122" s="817"/>
      <c r="DK122" s="817"/>
      <c r="DL122" s="712">
        <f>IF(DJ122=0,0,(DK122-DJ122)/DJ122*100)</f>
        <v>0</v>
      </c>
      <c r="DM122" s="817"/>
      <c r="DN122" s="817"/>
      <c r="DO122" s="712">
        <f>IF(DM122=0,0,(DN122-DM122)/DM122*100)</f>
        <v>0</v>
      </c>
      <c r="DP122" s="817"/>
      <c r="DQ122" s="817"/>
      <c r="DR122" s="712">
        <f>IF(DP122=0,0,(DQ122-DP122)/DP122*100)</f>
        <v>0</v>
      </c>
      <c r="DS122" s="817"/>
      <c r="DT122" s="817"/>
      <c r="DU122" s="712">
        <f>IF(DS122=0,0,(DT122-DS122)/DS122*100)</f>
        <v>0</v>
      </c>
      <c r="DV122" s="817"/>
      <c r="DW122" s="817"/>
      <c r="DX122" s="712">
        <f>IF(DV122=0,0,(DW122-DV122)/DV122*100)</f>
        <v>0</v>
      </c>
      <c r="DY122" s="817"/>
      <c r="DZ122" s="817"/>
      <c r="EA122" s="712">
        <f>IF(DY122=0,0,(DZ122-DY122)/DY122*100)</f>
        <v>0</v>
      </c>
      <c r="EB122" s="817"/>
      <c r="EC122" s="817"/>
      <c r="ED122" s="712">
        <f>IF(EB122=0,0,(EC122-EB122)/EB122*100)</f>
        <v>0</v>
      </c>
      <c r="EE122" s="817"/>
      <c r="EF122" s="817"/>
      <c r="EG122" s="712">
        <f>IF(EE122=0,0,(EF122-EE122)/EE122*100)</f>
        <v>0</v>
      </c>
      <c r="EH122" s="817"/>
      <c r="EI122" s="817"/>
      <c r="EJ122" s="712">
        <f>IF(EH122=0,0,(EI122-EH122)/EH122*100)</f>
        <v>0</v>
      </c>
      <c r="EK122" s="817"/>
      <c r="EL122" s="817"/>
      <c r="EM122" s="712">
        <f>IF(EK122=0,0,(EL122-EK122)/EK122*100)</f>
        <v>0</v>
      </c>
      <c r="EN122" s="817"/>
      <c r="EO122" s="817"/>
      <c r="EP122" s="712">
        <f>IF(EN122=0,0,(EO122-EN122)/EN122*100)</f>
        <v>0</v>
      </c>
      <c r="EQ122" s="817"/>
      <c r="ER122" s="817"/>
      <c r="ES122" s="712">
        <f>IF(EQ122=0,0,(ER122-EQ122)/EQ122*100)</f>
        <v>0</v>
      </c>
      <c r="ET122" s="817"/>
      <c r="EU122" s="817"/>
      <c r="EV122" s="712">
        <f>IF(ET122=0,0,(EU122-ET122)/ET122*100)</f>
        <v>0</v>
      </c>
      <c r="EW122" s="817"/>
      <c r="EX122" s="817"/>
      <c r="EY122" s="712">
        <f>IF(EW122=0,0,(EX122-EW122)/EW122*100)</f>
        <v>0</v>
      </c>
      <c r="EZ122" s="817"/>
      <c r="FA122" s="817"/>
      <c r="FB122" s="712">
        <f>IF(EZ122=0,0,(FA122-EZ122)/EZ122*100)</f>
        <v>0</v>
      </c>
      <c r="FC122" s="817"/>
      <c r="FD122" s="817"/>
      <c r="FE122" s="712">
        <f>IF(FC122=0,0,(FD122-FC122)/FC122*100)</f>
        <v>0</v>
      </c>
      <c r="FF122" s="817"/>
      <c r="FG122" s="817"/>
      <c r="FH122" s="712">
        <f>IF(FF122=0,0,(FG122-FF122)/FF122*100)</f>
        <v>0</v>
      </c>
      <c r="FI122" s="817"/>
      <c r="FJ122" s="817"/>
      <c r="FK122" s="712">
        <f>IF(FI122=0,0,(FJ122-FI122)/FI122*100)</f>
        <v>0</v>
      </c>
      <c r="FL122" s="817"/>
      <c r="FM122" s="817"/>
      <c r="FN122" s="712">
        <f>IF(FL122=0,0,(FM122-FL122)/FL122*100)</f>
        <v>0</v>
      </c>
      <c r="FO122" s="817"/>
      <c r="FP122" s="817"/>
      <c r="FQ122" s="712">
        <f>IF(FO122=0,0,(FP122-FO122)/FO122*100)</f>
        <v>0</v>
      </c>
      <c r="FR122" s="817"/>
      <c r="FS122" s="817"/>
      <c r="FT122" s="712">
        <f>IF(FR122=0,0,(FS122-FR122)/FR122*100)</f>
        <v>0</v>
      </c>
      <c r="FU122" s="817"/>
      <c r="FV122" s="817"/>
      <c r="FW122" s="712">
        <f>IF(FU122=0,0,(FV122-FU122)/FU122*100)</f>
        <v>0</v>
      </c>
      <c r="FZ122" s="689" t="s">
        <v>1709</v>
      </c>
    </row>
    <row r="123" spans="1:186" ht="14.25" hidden="1" customHeight="1">
      <c r="A123" s="59"/>
      <c r="B123" s="611" t="b" cm="1">
        <f t="array" ref="B123">B122</f>
        <v>0</v>
      </c>
      <c r="C123" s="59"/>
      <c r="D123" s="59"/>
      <c r="E123" s="460">
        <v>15</v>
      </c>
      <c r="F123" s="3" t="str" cm="1">
        <f t="array" aca="1" ref="F123" ca="1">OFFSET(E123,-1,1)</f>
        <v>1</v>
      </c>
      <c r="G123" s="25" t="s">
        <v>1710</v>
      </c>
      <c r="H123" s="59" t="s">
        <v>1684</v>
      </c>
      <c r="I123" s="59" t="s">
        <v>1664</v>
      </c>
      <c r="J123" s="59"/>
      <c r="K123" s="59"/>
      <c r="L123" s="59"/>
      <c r="M123" s="59"/>
      <c r="N123" s="59"/>
      <c r="O123" s="59"/>
      <c r="P123" s="59"/>
      <c r="Q123" s="59"/>
      <c r="R123" s="59"/>
      <c r="S123" s="59"/>
      <c r="T123" s="351" t="b" cm="1">
        <f t="array" aca="1" ref="T123" ca="1">T122</f>
        <v>1</v>
      </c>
      <c r="U123" s="59"/>
      <c r="V123" s="59"/>
      <c r="W123" s="59"/>
      <c r="X123" s="1046"/>
      <c r="Y123" s="59"/>
      <c r="Z123" s="1007"/>
      <c r="AA123" s="59"/>
      <c r="AB123" s="105" t="str">
        <f>"объём "&amp;IF(Q85="Водоснабжение","потребления холодной воды","водоотведения")</f>
        <v>объём потребления холодной воды</v>
      </c>
      <c r="AC123" s="12" t="s">
        <v>585</v>
      </c>
      <c r="AD123" s="833">
        <f ca="1">IF(AND(method_reg="Метод индексации",god&lt;&gt;first_year),SUMIFS(INDEX('Калькуляция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(МИ)'!$AJ$25:$BC$315,,MATCH(AD$8,'Калькуляция (МИ)'!$AJ$8:$BC$8,0)),'Калькуляция (МИ)'!$F$25:$F$315,$F123,'Калькуляция (МИ)'!$G$25:$G$315,$G123))))</f>
        <v>874.77624999999989</v>
      </c>
      <c r="AE123" s="833">
        <f ca="1">IF(AND(method_reg="Метод индексации",god&lt;&gt;first_year),SUMIFS(INDEX('Калькуляция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(МИ)'!$AJ$25:$BC$315,,MATCH(AE$8,'Калькуляция (МИ)'!$AJ$8:$BC$8,0)),'Калькуляция (МИ)'!$F$25:$F$315,$F123,'Калькуляция (МИ)'!$G$25:$G$315,$G123))))</f>
        <v>874.77633250000008</v>
      </c>
      <c r="AF123" s="713">
        <f ca="1">IF(AD123=0,0,(AE123-AD123)/AD123*100)</f>
        <v>9.4309830873450755E-6</v>
      </c>
      <c r="AG123" s="190">
        <f ca="1">IF(AND(method_reg="Метод индексации",god&lt;&gt;first_year),SUMIFS(INDEX('Калькуляция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(МИ)'!$AJ$25:$BC$315,,MATCH(AG$8,'Калькуляция (МИ)'!$AJ$8:$BC$8,0)),'Калькуляция (МИ)'!$F$25:$F$315,$F123,'Калькуляция (МИ)'!$G$25:$G$315,$G123))))</f>
        <v>1749.5525</v>
      </c>
      <c r="AH123" s="190">
        <f ca="1">IF(AND(method_reg="Метод индексации",god&lt;&gt;first_year),SUMIFS(INDEX('Калькуляция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(МИ)'!$AJ$25:$BC$315,,MATCH(AH$8,'Калькуляция (МИ)'!$AJ$8:$BC$8,0)),'Калькуляция (МИ)'!$F$25:$F$315,$F123,'Калькуляция (МИ)'!$G$25:$G$315,$G123))))</f>
        <v>1749.5526649999999</v>
      </c>
      <c r="AI123" s="713">
        <f ca="1">IF(AG123=0,0,(AH123-AG123)/AG123*100)</f>
        <v>9.4309830613528649E-6</v>
      </c>
      <c r="AJ123" s="190">
        <f ca="1">IF(AND(method_reg="Метод индексации",god&lt;&gt;first_year),SUMIFS(INDEX('Калькуляция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(МИ)'!$AJ$25:$BC$315,,MATCH(AJ$8,'Калькуляция (МИ)'!$AJ$8:$BC$8,0)),'Калькуляция (МИ)'!$F$25:$F$315,$F123,'Калькуляция (МИ)'!$G$25:$G$315,$G123))))</f>
        <v>1749.5525</v>
      </c>
      <c r="AK123" s="190">
        <f ca="1">IF(AND(method_reg="Метод индексации",god&lt;&gt;first_year),SUMIFS(INDEX('Калькуляция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(МИ)'!$AJ$25:$BC$315,,MATCH(AK$8,'Калькуляция (МИ)'!$AJ$8:$BC$8,0)),'Калькуляция (МИ)'!$F$25:$F$315,$F123,'Калькуляция (МИ)'!$G$25:$G$315,$G123))))</f>
        <v>1749.5526649999999</v>
      </c>
      <c r="AL123" s="713">
        <f ca="1">IF(AJ123=0,0,(AK123-AJ123)/AJ123*100)</f>
        <v>9.4309830613528649E-6</v>
      </c>
      <c r="AM123" s="833">
        <f ca="1">IF(AND(method_reg="Метод индексации",god&lt;&gt;first_year),SUMIFS(INDEX('Калькуляция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(МИ)'!$AJ$25:$BC$315,,MATCH(AM$8,'Калькуляция (МИ)'!$AJ$8:$BC$8,0)),'Калькуляция (МИ)'!$F$25:$F$315,$F123,'Калькуляция (МИ)'!$G$25:$G$315,$G123))))</f>
        <v>0</v>
      </c>
      <c r="AN123" s="833">
        <f ca="1">IF(AND(method_reg="Метод индексации",god&lt;&gt;first_year),SUMIFS(INDEX('Калькуляция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(МИ)'!$AJ$25:$BC$315,,MATCH(AN$8,'Калькуляция (МИ)'!$AJ$8:$BC$8,0)),'Калькуляция (МИ)'!$F$25:$F$315,$F123,'Калькуляция (МИ)'!$G$25:$G$315,$G123))))</f>
        <v>0</v>
      </c>
      <c r="AO123" s="713">
        <f ca="1">IF(AM123=0,0,(AN123-AM123)/AM123*100)</f>
        <v>0</v>
      </c>
      <c r="AP123" s="833">
        <f ca="1">IF(AND(method_reg="Метод индексации",god&lt;&gt;first_year),SUMIFS(INDEX('Калькуляция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(МИ)'!$AJ$25:$BC$315,,MATCH(AP$8,'Калькуляция (МИ)'!$AJ$8:$BC$8,0)),'Калькуляция (МИ)'!$F$25:$F$315,$F123,'Калькуляция (МИ)'!$G$25:$G$315,$G123))))</f>
        <v>0</v>
      </c>
      <c r="AQ123" s="833">
        <f ca="1">IF(AND(method_reg="Метод индексации",god&lt;&gt;first_year),SUMIFS(INDEX('Калькуляция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(МИ)'!$AJ$25:$BC$315,,MATCH(AQ$8,'Калькуляция (МИ)'!$AJ$8:$BC$8,0)),'Калькуляция (МИ)'!$F$25:$F$315,$F123,'Калькуляция (МИ)'!$G$25:$G$315,$G123))))</f>
        <v>0</v>
      </c>
      <c r="AR123" s="713">
        <f ca="1">IF(AP123=0,0,(AQ123-AP123)/AP123*100)</f>
        <v>0</v>
      </c>
      <c r="AS123" s="833">
        <f ca="1">IF(AND(method_reg="Метод индексации",god&lt;&gt;first_year),SUMIFS(INDEX('Калькуляция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(МИ)'!$AJ$25:$BC$315,,MATCH(AS$8,'Калькуляция (МИ)'!$AJ$8:$BC$8,0)),'Калькуляция (МИ)'!$F$25:$F$315,$F123,'Калькуляция (МИ)'!$G$25:$G$315,$G123))))</f>
        <v>0</v>
      </c>
      <c r="AT123" s="833">
        <f ca="1">IF(AND(method_reg="Метод индексации",god&lt;&gt;first_year),SUMIFS(INDEX('Калькуляция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(МИ)'!$AJ$25:$BC$315,,MATCH(AT$8,'Калькуляция (МИ)'!$AJ$8:$BC$8,0)),'Калькуляция (МИ)'!$F$25:$F$315,$F123,'Калькуляция (МИ)'!$G$25:$G$315,$G123))))</f>
        <v>0</v>
      </c>
      <c r="AU123" s="713">
        <f ca="1">IF(AS123=0,0,(AT123-AS123)/AS123*100)</f>
        <v>0</v>
      </c>
      <c r="AV123" s="833">
        <f ca="1">IF(AND(method_reg="Метод индексации",god&lt;&gt;first_year),SUMIFS(INDEX('Калькуляция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(МИ)'!$AJ$25:$BC$315,,MATCH(AV$8,'Калькуляция (МИ)'!$AJ$8:$BC$8,0)),'Калькуляция (МИ)'!$F$25:$F$315,$F123,'Калькуляция (МИ)'!$G$25:$G$315,$G123))))</f>
        <v>0</v>
      </c>
      <c r="AW123" s="833">
        <f ca="1">IF(AND(method_reg="Метод индексации",god&lt;&gt;first_year),SUMIFS(INDEX('Калькуляция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(МИ)'!$AJ$25:$BC$315,,MATCH(AW$8,'Калькуляция (МИ)'!$AJ$8:$BC$8,0)),'Калькуляция (МИ)'!$F$25:$F$315,$F123,'Калькуляция (МИ)'!$G$25:$G$315,$G123))))</f>
        <v>0</v>
      </c>
      <c r="AX123" s="713">
        <f ca="1">IF(AV123=0,0,(AW123-AV123)/AV123*100)</f>
        <v>0</v>
      </c>
      <c r="AY123" s="833">
        <f ca="1">IF(AND(method_reg="Метод индексации",god&lt;&gt;first_year),SUMIFS(INDEX('Калькуляция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(МИ)'!$AJ$25:$BC$315,,MATCH(AY$8,'Калькуляция (МИ)'!$AJ$8:$BC$8,0)),'Калькуляция (МИ)'!$F$25:$F$315,$F123,'Калькуляция (МИ)'!$G$25:$G$315,$G123))))</f>
        <v>0</v>
      </c>
      <c r="AZ123" s="833">
        <f ca="1">IF(AND(method_reg="Метод индексации",god&lt;&gt;first_year),SUMIFS(INDEX('Калькуляция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(МИ)'!$AJ$25:$BC$315,,MATCH(AZ$8,'Калькуляция (МИ)'!$AJ$8:$BC$8,0)),'Калькуляция (МИ)'!$F$25:$F$315,$F123,'Калькуляция (МИ)'!$G$25:$G$315,$G123))))</f>
        <v>0</v>
      </c>
      <c r="BA123" s="713">
        <f ca="1">IF(AY123=0,0,(AZ123-AY123)/AY123*100)</f>
        <v>0</v>
      </c>
      <c r="BB123" s="833">
        <f ca="1">IF(AND(method_reg="Метод индексации",god&lt;&gt;first_year),SUMIFS(INDEX('Калькуляция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(МИ)'!$AJ$25:$BC$315,,MATCH(BB$8,'Калькуляция (МИ)'!$AJ$8:$BC$8,0)),'Калькуляция (МИ)'!$F$25:$F$315,$F123,'Калькуляция (МИ)'!$G$25:$G$315,$G123))))</f>
        <v>0</v>
      </c>
      <c r="BC123" s="833">
        <f ca="1">IF(AND(method_reg="Метод индексации",god&lt;&gt;first_year),SUMIFS(INDEX('Калькуляция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(МИ)'!$AJ$25:$BC$315,,MATCH(BC$8,'Калькуляция (МИ)'!$AJ$8:$BC$8,0)),'Калькуляция (МИ)'!$F$25:$F$315,$F123,'Калькуляция (МИ)'!$G$25:$G$315,$G123))))</f>
        <v>0</v>
      </c>
      <c r="BD123" s="713">
        <f ca="1">IF(BB123=0,0,(BC123-BB123)/BB123*100)</f>
        <v>0</v>
      </c>
      <c r="BE123" s="833">
        <f ca="1">IF(AND(method_reg="Метод индексации",god&lt;&gt;first_year),SUMIFS(INDEX('Калькуляция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(МИ)'!$AJ$25:$BC$315,,MATCH(BE$8,'Калькуляция (МИ)'!$AJ$8:$BC$8,0)),'Калькуляция (МИ)'!$F$25:$F$315,$F123,'Калькуляция (МИ)'!$G$25:$G$315,$G123))))</f>
        <v>0</v>
      </c>
      <c r="BF123" s="833">
        <f ca="1">IF(AND(method_reg="Метод индексации",god&lt;&gt;first_year),SUMIFS(INDEX('Калькуляция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(МИ)'!$AJ$25:$BC$315,,MATCH(BF$8,'Калькуляция (МИ)'!$AJ$8:$BC$8,0)),'Калькуляция (МИ)'!$F$25:$F$315,$F123,'Калькуляция (МИ)'!$G$25:$G$315,$G123))))</f>
        <v>0</v>
      </c>
      <c r="BG123" s="713">
        <f ca="1">IF(BE123=0,0,(BF123-BE123)/BE123*100)</f>
        <v>0</v>
      </c>
      <c r="BH123" s="833"/>
      <c r="BI123" s="833"/>
      <c r="BJ123" s="713">
        <f>IF(BH123=0,0,(BI123-BH123)/BH123*100)</f>
        <v>0</v>
      </c>
      <c r="BK123" s="833"/>
      <c r="BL123" s="833"/>
      <c r="BM123" s="713">
        <f>IF(BK123=0,0,(BL123-BK123)/BK123*100)</f>
        <v>0</v>
      </c>
      <c r="BN123" s="833"/>
      <c r="BO123" s="833"/>
      <c r="BP123" s="713">
        <f>IF(BN123=0,0,(BO123-BN123)/BN123*100)</f>
        <v>0</v>
      </c>
      <c r="BQ123" s="833"/>
      <c r="BR123" s="833"/>
      <c r="BS123" s="713">
        <f>IF(BQ123=0,0,(BR123-BQ123)/BQ123*100)</f>
        <v>0</v>
      </c>
      <c r="BT123" s="833"/>
      <c r="BU123" s="833"/>
      <c r="BV123" s="713">
        <f>IF(BT123=0,0,(BU123-BT123)/BT123*100)</f>
        <v>0</v>
      </c>
      <c r="BW123" s="833"/>
      <c r="BX123" s="833"/>
      <c r="BY123" s="713">
        <f>IF(BW123=0,0,(BX123-BW123)/BW123*100)</f>
        <v>0</v>
      </c>
      <c r="BZ123" s="833"/>
      <c r="CA123" s="833"/>
      <c r="CB123" s="713">
        <f>IF(BZ123=0,0,(CA123-BZ123)/BZ123*100)</f>
        <v>0</v>
      </c>
      <c r="CC123" s="833"/>
      <c r="CD123" s="833"/>
      <c r="CE123" s="713">
        <f>IF(CC123=0,0,(CD123-CC123)/CC123*100)</f>
        <v>0</v>
      </c>
      <c r="CF123" s="833"/>
      <c r="CG123" s="833"/>
      <c r="CH123" s="713">
        <f>IF(CF123=0,0,(CG123-CF123)/CF123*100)</f>
        <v>0</v>
      </c>
      <c r="CI123" s="833"/>
      <c r="CJ123" s="833"/>
      <c r="CK123" s="713">
        <f>IF(CI123=0,0,(CJ123-CI123)/CI123*100)</f>
        <v>0</v>
      </c>
      <c r="CL123" s="833"/>
      <c r="CM123" s="833"/>
      <c r="CN123" s="713">
        <f>IF(CL123=0,0,(CM123-CL123)/CL123*100)</f>
        <v>0</v>
      </c>
      <c r="CO123" s="833"/>
      <c r="CP123" s="833"/>
      <c r="CQ123" s="713">
        <f>IF(CO123=0,0,(CP123-CO123)/CO123*100)</f>
        <v>0</v>
      </c>
      <c r="CR123" s="833"/>
      <c r="CS123" s="833"/>
      <c r="CT123" s="713">
        <f>IF(CR123=0,0,(CS123-CR123)/CR123*100)</f>
        <v>0</v>
      </c>
      <c r="CU123" s="833"/>
      <c r="CV123" s="833"/>
      <c r="CW123" s="713">
        <f>IF(CU123=0,0,(CV123-CU123)/CU123*100)</f>
        <v>0</v>
      </c>
      <c r="CX123" s="833"/>
      <c r="CY123" s="833"/>
      <c r="CZ123" s="713">
        <f>IF(CX123=0,0,(CY123-CX123)/CX123*100)</f>
        <v>0</v>
      </c>
      <c r="DA123" s="833"/>
      <c r="DB123" s="833"/>
      <c r="DC123" s="713">
        <f>IF(DA123=0,0,(DB123-DA123)/DA123*100)</f>
        <v>0</v>
      </c>
      <c r="DD123" s="833"/>
      <c r="DE123" s="833"/>
      <c r="DF123" s="713">
        <f>IF(DD123=0,0,(DE123-DD123)/DD123*100)</f>
        <v>0</v>
      </c>
      <c r="DG123" s="833"/>
      <c r="DH123" s="833"/>
      <c r="DI123" s="713">
        <f>IF(DG123=0,0,(DH123-DG123)/DG123*100)</f>
        <v>0</v>
      </c>
      <c r="DJ123" s="833"/>
      <c r="DK123" s="833"/>
      <c r="DL123" s="713">
        <f>IF(DJ123=0,0,(DK123-DJ123)/DJ123*100)</f>
        <v>0</v>
      </c>
      <c r="DM123" s="833"/>
      <c r="DN123" s="833"/>
      <c r="DO123" s="713">
        <f>IF(DM123=0,0,(DN123-DM123)/DM123*100)</f>
        <v>0</v>
      </c>
      <c r="DP123" s="833"/>
      <c r="DQ123" s="833"/>
      <c r="DR123" s="713">
        <f>IF(DP123=0,0,(DQ123-DP123)/DP123*100)</f>
        <v>0</v>
      </c>
      <c r="DS123" s="833"/>
      <c r="DT123" s="833"/>
      <c r="DU123" s="713">
        <f>IF(DS123=0,0,(DT123-DS123)/DS123*100)</f>
        <v>0</v>
      </c>
      <c r="DV123" s="833"/>
      <c r="DW123" s="833"/>
      <c r="DX123" s="713">
        <f>IF(DV123=0,0,(DW123-DV123)/DV123*100)</f>
        <v>0</v>
      </c>
      <c r="DY123" s="833"/>
      <c r="DZ123" s="833"/>
      <c r="EA123" s="713">
        <f>IF(DY123=0,0,(DZ123-DY123)/DY123*100)</f>
        <v>0</v>
      </c>
      <c r="EB123" s="833"/>
      <c r="EC123" s="833"/>
      <c r="ED123" s="713">
        <f>IF(EB123=0,0,(EC123-EB123)/EB123*100)</f>
        <v>0</v>
      </c>
      <c r="EE123" s="833"/>
      <c r="EF123" s="833"/>
      <c r="EG123" s="713">
        <f>IF(EE123=0,0,(EF123-EE123)/EE123*100)</f>
        <v>0</v>
      </c>
      <c r="EH123" s="833"/>
      <c r="EI123" s="833"/>
      <c r="EJ123" s="713">
        <f>IF(EH123=0,0,(EI123-EH123)/EH123*100)</f>
        <v>0</v>
      </c>
      <c r="EK123" s="833"/>
      <c r="EL123" s="833"/>
      <c r="EM123" s="713">
        <f>IF(EK123=0,0,(EL123-EK123)/EK123*100)</f>
        <v>0</v>
      </c>
      <c r="EN123" s="833"/>
      <c r="EO123" s="833"/>
      <c r="EP123" s="713">
        <f>IF(EN123=0,0,(EO123-EN123)/EN123*100)</f>
        <v>0</v>
      </c>
      <c r="EQ123" s="833"/>
      <c r="ER123" s="833"/>
      <c r="ES123" s="713">
        <f>IF(EQ123=0,0,(ER123-EQ123)/EQ123*100)</f>
        <v>0</v>
      </c>
      <c r="ET123" s="833"/>
      <c r="EU123" s="833"/>
      <c r="EV123" s="713">
        <f>IF(ET123=0,0,(EU123-ET123)/ET123*100)</f>
        <v>0</v>
      </c>
      <c r="EW123" s="833"/>
      <c r="EX123" s="833"/>
      <c r="EY123" s="713">
        <f>IF(EW123=0,0,(EX123-EW123)/EW123*100)</f>
        <v>0</v>
      </c>
      <c r="EZ123" s="833"/>
      <c r="FA123" s="833"/>
      <c r="FB123" s="713">
        <f>IF(EZ123=0,0,(FA123-EZ123)/EZ123*100)</f>
        <v>0</v>
      </c>
      <c r="FC123" s="833"/>
      <c r="FD123" s="833"/>
      <c r="FE123" s="713">
        <f>IF(FC123=0,0,(FD123-FC123)/FC123*100)</f>
        <v>0</v>
      </c>
      <c r="FF123" s="833"/>
      <c r="FG123" s="833"/>
      <c r="FH123" s="713">
        <f>IF(FF123=0,0,(FG123-FF123)/FF123*100)</f>
        <v>0</v>
      </c>
      <c r="FI123" s="833"/>
      <c r="FJ123" s="833"/>
      <c r="FK123" s="713">
        <f>IF(FI123=0,0,(FJ123-FI123)/FI123*100)</f>
        <v>0</v>
      </c>
      <c r="FL123" s="833"/>
      <c r="FM123" s="833"/>
      <c r="FN123" s="713">
        <f>IF(FL123=0,0,(FM123-FL123)/FL123*100)</f>
        <v>0</v>
      </c>
      <c r="FO123" s="833"/>
      <c r="FP123" s="833"/>
      <c r="FQ123" s="713">
        <f>IF(FO123=0,0,(FP123-FO123)/FO123*100)</f>
        <v>0</v>
      </c>
      <c r="FR123" s="833"/>
      <c r="FS123" s="833"/>
      <c r="FT123" s="713">
        <f>IF(FR123=0,0,(FS123-FR123)/FR123*100)</f>
        <v>0</v>
      </c>
      <c r="FU123" s="833"/>
      <c r="FV123" s="833"/>
      <c r="FW123" s="713">
        <f>IF(FU123=0,0,(FV123-FU123)/FU123*100)</f>
        <v>0</v>
      </c>
      <c r="FZ123" s="689" t="s">
        <v>1711</v>
      </c>
    </row>
    <row r="124" spans="1:186" ht="21.75" hidden="1" customHeight="1">
      <c r="A124" s="59"/>
      <c r="B124" s="611" t="b" cm="1">
        <f t="array" ref="B124">B123</f>
        <v>0</v>
      </c>
      <c r="C124" s="59"/>
      <c r="D124" s="59"/>
      <c r="E124" s="460">
        <v>22.5</v>
      </c>
      <c r="F124" s="3" t="str" cm="1">
        <f t="array" aca="1" ref="F124" ca="1">OFFSET(E124,-1,1)</f>
        <v>1</v>
      </c>
      <c r="G124" s="59"/>
      <c r="H124" s="59" t="s">
        <v>1686</v>
      </c>
      <c r="I124" s="59" t="s">
        <v>1664</v>
      </c>
      <c r="J124" s="59"/>
      <c r="K124" s="59"/>
      <c r="L124" s="59"/>
      <c r="M124" s="59"/>
      <c r="N124" s="59"/>
      <c r="O124" s="59"/>
      <c r="P124" s="59"/>
      <c r="Q124" s="59"/>
      <c r="R124" s="59"/>
      <c r="S124" s="59"/>
      <c r="T124" s="351" t="b" cm="1">
        <f t="array" aca="1" ref="T124" ca="1">T123</f>
        <v>1</v>
      </c>
      <c r="U124" s="59"/>
      <c r="V124" s="59"/>
      <c r="W124" s="59"/>
      <c r="X124" s="1046"/>
      <c r="Y124" s="59"/>
      <c r="Z124" s="1007"/>
      <c r="AA124" s="59"/>
      <c r="AB124"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12" t="s">
        <v>1687</v>
      </c>
      <c r="AD124" s="817"/>
      <c r="AE124" s="817"/>
      <c r="AF124" s="712">
        <f>IF(AD124=0,0,(AE124-AD124)/AD124*100)</f>
        <v>0</v>
      </c>
      <c r="AG124" s="57"/>
      <c r="AH124" s="57"/>
      <c r="AI124" s="712">
        <f>IF(AG124=0,0,(AH124-AG124)/AG124*100)</f>
        <v>0</v>
      </c>
      <c r="AJ124" s="57"/>
      <c r="AK124" s="57"/>
      <c r="AL124" s="712">
        <f>IF(AJ124=0,0,(AK124-AJ124)/AJ124*100)</f>
        <v>0</v>
      </c>
      <c r="AM124" s="817"/>
      <c r="AN124" s="817"/>
      <c r="AO124" s="712">
        <f>IF(AM124=0,0,(AN124-AM124)/AM124*100)</f>
        <v>0</v>
      </c>
      <c r="AP124" s="817"/>
      <c r="AQ124" s="817"/>
      <c r="AR124" s="712">
        <f>IF(AP124=0,0,(AQ124-AP124)/AP124*100)</f>
        <v>0</v>
      </c>
      <c r="AS124" s="817"/>
      <c r="AT124" s="817"/>
      <c r="AU124" s="712">
        <f>IF(AS124=0,0,(AT124-AS124)/AS124*100)</f>
        <v>0</v>
      </c>
      <c r="AV124" s="817"/>
      <c r="AW124" s="817"/>
      <c r="AX124" s="712">
        <f>IF(AV124=0,0,(AW124-AV124)/AV124*100)</f>
        <v>0</v>
      </c>
      <c r="AY124" s="817"/>
      <c r="AZ124" s="817"/>
      <c r="BA124" s="712">
        <f>IF(AY124=0,0,(AZ124-AY124)/AY124*100)</f>
        <v>0</v>
      </c>
      <c r="BB124" s="817"/>
      <c r="BC124" s="817"/>
      <c r="BD124" s="712">
        <f>IF(BB124=0,0,(BC124-BB124)/BB124*100)</f>
        <v>0</v>
      </c>
      <c r="BE124" s="817"/>
      <c r="BF124" s="817"/>
      <c r="BG124" s="712">
        <f>IF(BE124=0,0,(BF124-BE124)/BE124*100)</f>
        <v>0</v>
      </c>
      <c r="BH124" s="817"/>
      <c r="BI124" s="817"/>
      <c r="BJ124" s="712">
        <f>IF(BH124=0,0,(BI124-BH124)/BH124*100)</f>
        <v>0</v>
      </c>
      <c r="BK124" s="817"/>
      <c r="BL124" s="817"/>
      <c r="BM124" s="712">
        <f>IF(BK124=0,0,(BL124-BK124)/BK124*100)</f>
        <v>0</v>
      </c>
      <c r="BN124" s="817"/>
      <c r="BO124" s="817"/>
      <c r="BP124" s="712">
        <f>IF(BN124=0,0,(BO124-BN124)/BN124*100)</f>
        <v>0</v>
      </c>
      <c r="BQ124" s="817"/>
      <c r="BR124" s="817"/>
      <c r="BS124" s="712">
        <f>IF(BQ124=0,0,(BR124-BQ124)/BQ124*100)</f>
        <v>0</v>
      </c>
      <c r="BT124" s="817"/>
      <c r="BU124" s="817"/>
      <c r="BV124" s="712">
        <f>IF(BT124=0,0,(BU124-BT124)/BT124*100)</f>
        <v>0</v>
      </c>
      <c r="BW124" s="817"/>
      <c r="BX124" s="817"/>
      <c r="BY124" s="712">
        <f>IF(BW124=0,0,(BX124-BW124)/BW124*100)</f>
        <v>0</v>
      </c>
      <c r="BZ124" s="817"/>
      <c r="CA124" s="817"/>
      <c r="CB124" s="712">
        <f>IF(BZ124=0,0,(CA124-BZ124)/BZ124*100)</f>
        <v>0</v>
      </c>
      <c r="CC124" s="817"/>
      <c r="CD124" s="817"/>
      <c r="CE124" s="712">
        <f>IF(CC124=0,0,(CD124-CC124)/CC124*100)</f>
        <v>0</v>
      </c>
      <c r="CF124" s="817"/>
      <c r="CG124" s="817"/>
      <c r="CH124" s="712">
        <f>IF(CF124=0,0,(CG124-CF124)/CF124*100)</f>
        <v>0</v>
      </c>
      <c r="CI124" s="817"/>
      <c r="CJ124" s="817"/>
      <c r="CK124" s="712">
        <f>IF(CI124=0,0,(CJ124-CI124)/CI124*100)</f>
        <v>0</v>
      </c>
      <c r="CL124" s="817"/>
      <c r="CM124" s="817"/>
      <c r="CN124" s="712">
        <f>IF(CL124=0,0,(CM124-CL124)/CL124*100)</f>
        <v>0</v>
      </c>
      <c r="CO124" s="817"/>
      <c r="CP124" s="817"/>
      <c r="CQ124" s="712">
        <f>IF(CO124=0,0,(CP124-CO124)/CO124*100)</f>
        <v>0</v>
      </c>
      <c r="CR124" s="817"/>
      <c r="CS124" s="817"/>
      <c r="CT124" s="712">
        <f>IF(CR124=0,0,(CS124-CR124)/CR124*100)</f>
        <v>0</v>
      </c>
      <c r="CU124" s="817"/>
      <c r="CV124" s="817"/>
      <c r="CW124" s="712">
        <f>IF(CU124=0,0,(CV124-CU124)/CU124*100)</f>
        <v>0</v>
      </c>
      <c r="CX124" s="817"/>
      <c r="CY124" s="817"/>
      <c r="CZ124" s="712">
        <f>IF(CX124=0,0,(CY124-CX124)/CX124*100)</f>
        <v>0</v>
      </c>
      <c r="DA124" s="817"/>
      <c r="DB124" s="817"/>
      <c r="DC124" s="712">
        <f>IF(DA124=0,0,(DB124-DA124)/DA124*100)</f>
        <v>0</v>
      </c>
      <c r="DD124" s="817"/>
      <c r="DE124" s="817"/>
      <c r="DF124" s="712">
        <f>IF(DD124=0,0,(DE124-DD124)/DD124*100)</f>
        <v>0</v>
      </c>
      <c r="DG124" s="817"/>
      <c r="DH124" s="817"/>
      <c r="DI124" s="712">
        <f>IF(DG124=0,0,(DH124-DG124)/DG124*100)</f>
        <v>0</v>
      </c>
      <c r="DJ124" s="817"/>
      <c r="DK124" s="817"/>
      <c r="DL124" s="712">
        <f>IF(DJ124=0,0,(DK124-DJ124)/DJ124*100)</f>
        <v>0</v>
      </c>
      <c r="DM124" s="817"/>
      <c r="DN124" s="817"/>
      <c r="DO124" s="712">
        <f>IF(DM124=0,0,(DN124-DM124)/DM124*100)</f>
        <v>0</v>
      </c>
      <c r="DP124" s="817"/>
      <c r="DQ124" s="817"/>
      <c r="DR124" s="712">
        <f>IF(DP124=0,0,(DQ124-DP124)/DP124*100)</f>
        <v>0</v>
      </c>
      <c r="DS124" s="817"/>
      <c r="DT124" s="817"/>
      <c r="DU124" s="712">
        <f>IF(DS124=0,0,(DT124-DS124)/DS124*100)</f>
        <v>0</v>
      </c>
      <c r="DV124" s="817"/>
      <c r="DW124" s="817"/>
      <c r="DX124" s="712">
        <f>IF(DV124=0,0,(DW124-DV124)/DV124*100)</f>
        <v>0</v>
      </c>
      <c r="DY124" s="817"/>
      <c r="DZ124" s="817"/>
      <c r="EA124" s="712">
        <f>IF(DY124=0,0,(DZ124-DY124)/DY124*100)</f>
        <v>0</v>
      </c>
      <c r="EB124" s="817"/>
      <c r="EC124" s="817"/>
      <c r="ED124" s="712">
        <f>IF(EB124=0,0,(EC124-EB124)/EB124*100)</f>
        <v>0</v>
      </c>
      <c r="EE124" s="817"/>
      <c r="EF124" s="817"/>
      <c r="EG124" s="712">
        <f>IF(EE124=0,0,(EF124-EE124)/EE124*100)</f>
        <v>0</v>
      </c>
      <c r="EH124" s="817"/>
      <c r="EI124" s="817"/>
      <c r="EJ124" s="712">
        <f>IF(EH124=0,0,(EI124-EH124)/EH124*100)</f>
        <v>0</v>
      </c>
      <c r="EK124" s="817"/>
      <c r="EL124" s="817"/>
      <c r="EM124" s="712">
        <f>IF(EK124=0,0,(EL124-EK124)/EK124*100)</f>
        <v>0</v>
      </c>
      <c r="EN124" s="817"/>
      <c r="EO124" s="817"/>
      <c r="EP124" s="712">
        <f>IF(EN124=0,0,(EO124-EN124)/EN124*100)</f>
        <v>0</v>
      </c>
      <c r="EQ124" s="817"/>
      <c r="ER124" s="817"/>
      <c r="ES124" s="712">
        <f>IF(EQ124=0,0,(ER124-EQ124)/EQ124*100)</f>
        <v>0</v>
      </c>
      <c r="ET124" s="817"/>
      <c r="EU124" s="817"/>
      <c r="EV124" s="712">
        <f>IF(ET124=0,0,(EU124-ET124)/ET124*100)</f>
        <v>0</v>
      </c>
      <c r="EW124" s="817"/>
      <c r="EX124" s="817"/>
      <c r="EY124" s="712">
        <f>IF(EW124=0,0,(EX124-EW124)/EW124*100)</f>
        <v>0</v>
      </c>
      <c r="EZ124" s="817"/>
      <c r="FA124" s="817"/>
      <c r="FB124" s="712">
        <f>IF(EZ124=0,0,(FA124-EZ124)/EZ124*100)</f>
        <v>0</v>
      </c>
      <c r="FC124" s="817"/>
      <c r="FD124" s="817"/>
      <c r="FE124" s="712">
        <f>IF(FC124=0,0,(FD124-FC124)/FC124*100)</f>
        <v>0</v>
      </c>
      <c r="FF124" s="817"/>
      <c r="FG124" s="817"/>
      <c r="FH124" s="712">
        <f>IF(FF124=0,0,(FG124-FF124)/FF124*100)</f>
        <v>0</v>
      </c>
      <c r="FI124" s="817"/>
      <c r="FJ124" s="817"/>
      <c r="FK124" s="712">
        <f>IF(FI124=0,0,(FJ124-FI124)/FI124*100)</f>
        <v>0</v>
      </c>
      <c r="FL124" s="817"/>
      <c r="FM124" s="817"/>
      <c r="FN124" s="712">
        <f>IF(FL124=0,0,(FM124-FL124)/FL124*100)</f>
        <v>0</v>
      </c>
      <c r="FO124" s="817"/>
      <c r="FP124" s="817"/>
      <c r="FQ124" s="712">
        <f>IF(FO124=0,0,(FP124-FO124)/FO124*100)</f>
        <v>0</v>
      </c>
      <c r="FR124" s="817"/>
      <c r="FS124" s="817"/>
      <c r="FT124" s="712">
        <f>IF(FR124=0,0,(FS124-FR124)/FR124*100)</f>
        <v>0</v>
      </c>
      <c r="FU124" s="817"/>
      <c r="FV124" s="817"/>
      <c r="FW124" s="712">
        <f>IF(FU124=0,0,(FV124-FU124)/FU124*100)</f>
        <v>0</v>
      </c>
      <c r="FZ124" s="689" t="s">
        <v>1712</v>
      </c>
    </row>
    <row r="125" spans="1:186" ht="14.25" hidden="1" customHeight="1">
      <c r="A125" s="59"/>
      <c r="B125" s="611" t="b" cm="1">
        <f t="array" ref="B125">B124</f>
        <v>0</v>
      </c>
      <c r="C125" s="59"/>
      <c r="D125" s="59"/>
      <c r="E125" s="460">
        <v>15</v>
      </c>
      <c r="F125" s="3" t="str" cm="1">
        <f t="array" aca="1" ref="F125" ca="1">OFFSET(E125,-1,1)</f>
        <v>1</v>
      </c>
      <c r="G125" s="59"/>
      <c r="H125" s="59" t="s">
        <v>1689</v>
      </c>
      <c r="I125" s="59" t="s">
        <v>1664</v>
      </c>
      <c r="J125" s="59"/>
      <c r="K125" s="59"/>
      <c r="L125" s="59"/>
      <c r="M125" s="59"/>
      <c r="N125" s="59"/>
      <c r="O125" s="59"/>
      <c r="P125" s="59"/>
      <c r="Q125" s="59"/>
      <c r="R125" s="59"/>
      <c r="S125" s="59"/>
      <c r="T125" s="351" t="b" cm="1">
        <f t="array" aca="1" ref="T125" ca="1">T124</f>
        <v>1</v>
      </c>
      <c r="U125" s="59"/>
      <c r="V125" s="59"/>
      <c r="W125" s="59"/>
      <c r="X125" s="1046"/>
      <c r="Y125" s="59"/>
      <c r="Z125" s="1007"/>
      <c r="AA125" s="59"/>
      <c r="AB125" s="105" t="s">
        <v>1690</v>
      </c>
      <c r="AC125" s="12" t="s">
        <v>1691</v>
      </c>
      <c r="AD125" s="817"/>
      <c r="AE125" s="817"/>
      <c r="AF125" s="712">
        <f>IF(AD125=0,0,(AE125-AD125)/AD125*100)</f>
        <v>0</v>
      </c>
      <c r="AG125" s="57"/>
      <c r="AH125" s="57"/>
      <c r="AI125" s="712">
        <f>IF(AG125=0,0,(AH125-AG125)/AG125*100)</f>
        <v>0</v>
      </c>
      <c r="AJ125" s="57"/>
      <c r="AK125" s="57"/>
      <c r="AL125" s="712">
        <f>IF(AJ125=0,0,(AK125-AJ125)/AJ125*100)</f>
        <v>0</v>
      </c>
      <c r="AM125" s="817"/>
      <c r="AN125" s="817"/>
      <c r="AO125" s="712">
        <f>IF(AM125=0,0,(AN125-AM125)/AM125*100)</f>
        <v>0</v>
      </c>
      <c r="AP125" s="817"/>
      <c r="AQ125" s="817"/>
      <c r="AR125" s="712">
        <f>IF(AP125=0,0,(AQ125-AP125)/AP125*100)</f>
        <v>0</v>
      </c>
      <c r="AS125" s="817"/>
      <c r="AT125" s="817"/>
      <c r="AU125" s="712">
        <f>IF(AS125=0,0,(AT125-AS125)/AS125*100)</f>
        <v>0</v>
      </c>
      <c r="AV125" s="817"/>
      <c r="AW125" s="817"/>
      <c r="AX125" s="712">
        <f>IF(AV125=0,0,(AW125-AV125)/AV125*100)</f>
        <v>0</v>
      </c>
      <c r="AY125" s="817"/>
      <c r="AZ125" s="817"/>
      <c r="BA125" s="712">
        <f>IF(AY125=0,0,(AZ125-AY125)/AY125*100)</f>
        <v>0</v>
      </c>
      <c r="BB125" s="817"/>
      <c r="BC125" s="817"/>
      <c r="BD125" s="712">
        <f>IF(BB125=0,0,(BC125-BB125)/BB125*100)</f>
        <v>0</v>
      </c>
      <c r="BE125" s="817"/>
      <c r="BF125" s="817"/>
      <c r="BG125" s="712">
        <f>IF(BE125=0,0,(BF125-BE125)/BE125*100)</f>
        <v>0</v>
      </c>
      <c r="BH125" s="817"/>
      <c r="BI125" s="817"/>
      <c r="BJ125" s="712">
        <f>IF(BH125=0,0,(BI125-BH125)/BH125*100)</f>
        <v>0</v>
      </c>
      <c r="BK125" s="817"/>
      <c r="BL125" s="817"/>
      <c r="BM125" s="712">
        <f>IF(BK125=0,0,(BL125-BK125)/BK125*100)</f>
        <v>0</v>
      </c>
      <c r="BN125" s="817"/>
      <c r="BO125" s="817"/>
      <c r="BP125" s="712">
        <f>IF(BN125=0,0,(BO125-BN125)/BN125*100)</f>
        <v>0</v>
      </c>
      <c r="BQ125" s="817"/>
      <c r="BR125" s="817"/>
      <c r="BS125" s="712">
        <f>IF(BQ125=0,0,(BR125-BQ125)/BQ125*100)</f>
        <v>0</v>
      </c>
      <c r="BT125" s="817"/>
      <c r="BU125" s="817"/>
      <c r="BV125" s="712">
        <f>IF(BT125=0,0,(BU125-BT125)/BT125*100)</f>
        <v>0</v>
      </c>
      <c r="BW125" s="817"/>
      <c r="BX125" s="817"/>
      <c r="BY125" s="712">
        <f>IF(BW125=0,0,(BX125-BW125)/BW125*100)</f>
        <v>0</v>
      </c>
      <c r="BZ125" s="817"/>
      <c r="CA125" s="817"/>
      <c r="CB125" s="712">
        <f>IF(BZ125=0,0,(CA125-BZ125)/BZ125*100)</f>
        <v>0</v>
      </c>
      <c r="CC125" s="817"/>
      <c r="CD125" s="817"/>
      <c r="CE125" s="712">
        <f>IF(CC125=0,0,(CD125-CC125)/CC125*100)</f>
        <v>0</v>
      </c>
      <c r="CF125" s="817"/>
      <c r="CG125" s="817"/>
      <c r="CH125" s="712">
        <f>IF(CF125=0,0,(CG125-CF125)/CF125*100)</f>
        <v>0</v>
      </c>
      <c r="CI125" s="817"/>
      <c r="CJ125" s="817"/>
      <c r="CK125" s="712">
        <f>IF(CI125=0,0,(CJ125-CI125)/CI125*100)</f>
        <v>0</v>
      </c>
      <c r="CL125" s="817"/>
      <c r="CM125" s="817"/>
      <c r="CN125" s="712">
        <f>IF(CL125=0,0,(CM125-CL125)/CL125*100)</f>
        <v>0</v>
      </c>
      <c r="CO125" s="817"/>
      <c r="CP125" s="817"/>
      <c r="CQ125" s="712">
        <f>IF(CO125=0,0,(CP125-CO125)/CO125*100)</f>
        <v>0</v>
      </c>
      <c r="CR125" s="817"/>
      <c r="CS125" s="817"/>
      <c r="CT125" s="712">
        <f>IF(CR125=0,0,(CS125-CR125)/CR125*100)</f>
        <v>0</v>
      </c>
      <c r="CU125" s="817"/>
      <c r="CV125" s="817"/>
      <c r="CW125" s="712">
        <f>IF(CU125=0,0,(CV125-CU125)/CU125*100)</f>
        <v>0</v>
      </c>
      <c r="CX125" s="817"/>
      <c r="CY125" s="817"/>
      <c r="CZ125" s="712">
        <f>IF(CX125=0,0,(CY125-CX125)/CX125*100)</f>
        <v>0</v>
      </c>
      <c r="DA125" s="817"/>
      <c r="DB125" s="817"/>
      <c r="DC125" s="712">
        <f>IF(DA125=0,0,(DB125-DA125)/DA125*100)</f>
        <v>0</v>
      </c>
      <c r="DD125" s="817"/>
      <c r="DE125" s="817"/>
      <c r="DF125" s="712">
        <f>IF(DD125=0,0,(DE125-DD125)/DD125*100)</f>
        <v>0</v>
      </c>
      <c r="DG125" s="817"/>
      <c r="DH125" s="817"/>
      <c r="DI125" s="712">
        <f>IF(DG125=0,0,(DH125-DG125)/DG125*100)</f>
        <v>0</v>
      </c>
      <c r="DJ125" s="817"/>
      <c r="DK125" s="817"/>
      <c r="DL125" s="712">
        <f>IF(DJ125=0,0,(DK125-DJ125)/DJ125*100)</f>
        <v>0</v>
      </c>
      <c r="DM125" s="817"/>
      <c r="DN125" s="817"/>
      <c r="DO125" s="712">
        <f>IF(DM125=0,0,(DN125-DM125)/DM125*100)</f>
        <v>0</v>
      </c>
      <c r="DP125" s="817"/>
      <c r="DQ125" s="817"/>
      <c r="DR125" s="712">
        <f>IF(DP125=0,0,(DQ125-DP125)/DP125*100)</f>
        <v>0</v>
      </c>
      <c r="DS125" s="817"/>
      <c r="DT125" s="817"/>
      <c r="DU125" s="712">
        <f>IF(DS125=0,0,(DT125-DS125)/DS125*100)</f>
        <v>0</v>
      </c>
      <c r="DV125" s="817"/>
      <c r="DW125" s="817"/>
      <c r="DX125" s="712">
        <f>IF(DV125=0,0,(DW125-DV125)/DV125*100)</f>
        <v>0</v>
      </c>
      <c r="DY125" s="817"/>
      <c r="DZ125" s="817"/>
      <c r="EA125" s="712">
        <f>IF(DY125=0,0,(DZ125-DY125)/DY125*100)</f>
        <v>0</v>
      </c>
      <c r="EB125" s="817"/>
      <c r="EC125" s="817"/>
      <c r="ED125" s="712">
        <f>IF(EB125=0,0,(EC125-EB125)/EB125*100)</f>
        <v>0</v>
      </c>
      <c r="EE125" s="817"/>
      <c r="EF125" s="817"/>
      <c r="EG125" s="712">
        <f>IF(EE125=0,0,(EF125-EE125)/EE125*100)</f>
        <v>0</v>
      </c>
      <c r="EH125" s="817"/>
      <c r="EI125" s="817"/>
      <c r="EJ125" s="712">
        <f>IF(EH125=0,0,(EI125-EH125)/EH125*100)</f>
        <v>0</v>
      </c>
      <c r="EK125" s="817"/>
      <c r="EL125" s="817"/>
      <c r="EM125" s="712">
        <f>IF(EK125=0,0,(EL125-EK125)/EK125*100)</f>
        <v>0</v>
      </c>
      <c r="EN125" s="817"/>
      <c r="EO125" s="817"/>
      <c r="EP125" s="712">
        <f>IF(EN125=0,0,(EO125-EN125)/EN125*100)</f>
        <v>0</v>
      </c>
      <c r="EQ125" s="817"/>
      <c r="ER125" s="817"/>
      <c r="ES125" s="712">
        <f>IF(EQ125=0,0,(ER125-EQ125)/EQ125*100)</f>
        <v>0</v>
      </c>
      <c r="ET125" s="817"/>
      <c r="EU125" s="817"/>
      <c r="EV125" s="712">
        <f>IF(ET125=0,0,(EU125-ET125)/ET125*100)</f>
        <v>0</v>
      </c>
      <c r="EW125" s="817"/>
      <c r="EX125" s="817"/>
      <c r="EY125" s="712">
        <f>IF(EW125=0,0,(EX125-EW125)/EW125*100)</f>
        <v>0</v>
      </c>
      <c r="EZ125" s="817"/>
      <c r="FA125" s="817"/>
      <c r="FB125" s="712">
        <f>IF(EZ125=0,0,(FA125-EZ125)/EZ125*100)</f>
        <v>0</v>
      </c>
      <c r="FC125" s="817"/>
      <c r="FD125" s="817"/>
      <c r="FE125" s="712">
        <f>IF(FC125=0,0,(FD125-FC125)/FC125*100)</f>
        <v>0</v>
      </c>
      <c r="FF125" s="817"/>
      <c r="FG125" s="817"/>
      <c r="FH125" s="712">
        <f>IF(FF125=0,0,(FG125-FF125)/FF125*100)</f>
        <v>0</v>
      </c>
      <c r="FI125" s="817"/>
      <c r="FJ125" s="817"/>
      <c r="FK125" s="712">
        <f>IF(FI125=0,0,(FJ125-FI125)/FI125*100)</f>
        <v>0</v>
      </c>
      <c r="FL125" s="817"/>
      <c r="FM125" s="817"/>
      <c r="FN125" s="712">
        <f>IF(FL125=0,0,(FM125-FL125)/FL125*100)</f>
        <v>0</v>
      </c>
      <c r="FO125" s="817"/>
      <c r="FP125" s="817"/>
      <c r="FQ125" s="712">
        <f>IF(FO125=0,0,(FP125-FO125)/FO125*100)</f>
        <v>0</v>
      </c>
      <c r="FR125" s="817"/>
      <c r="FS125" s="817"/>
      <c r="FT125" s="712">
        <f>IF(FR125=0,0,(FS125-FR125)/FR125*100)</f>
        <v>0</v>
      </c>
      <c r="FU125" s="817"/>
      <c r="FV125" s="817"/>
      <c r="FW125" s="712">
        <f>IF(FU125=0,0,(FV125-FU125)/FU125*100)</f>
        <v>0</v>
      </c>
      <c r="FZ125" s="689" t="s">
        <v>1713</v>
      </c>
    </row>
    <row r="126" spans="1:186" ht="18" hidden="1" customHeight="1">
      <c r="A126" s="59"/>
      <c r="B126" s="611" t="b" cm="1">
        <f t="array" ref="B126">B125</f>
        <v>0</v>
      </c>
      <c r="C126" s="59"/>
      <c r="D126" s="59"/>
      <c r="E126" s="460">
        <v>18.75</v>
      </c>
      <c r="F126" s="3" t="str" cm="1">
        <f t="array" aca="1" ref="F126" ca="1">OFFSET(E126,-1,1)</f>
        <v>1</v>
      </c>
      <c r="G126" s="59"/>
      <c r="H126" s="59"/>
      <c r="I126" s="59"/>
      <c r="J126" s="59"/>
      <c r="K126" s="59"/>
      <c r="L126" s="59"/>
      <c r="M126" s="59"/>
      <c r="N126" s="59"/>
      <c r="O126" s="59"/>
      <c r="P126" s="59"/>
      <c r="Q126" s="59"/>
      <c r="R126" s="59"/>
      <c r="S126" s="59"/>
      <c r="T126" s="351" t="b">
        <f ca="1">AND(F126&gt;0,Y126&gt;0)</f>
        <v>0</v>
      </c>
      <c r="U126" s="59"/>
      <c r="V126" s="59"/>
      <c r="W126" s="59" t="s">
        <v>171</v>
      </c>
      <c r="X126" s="1046"/>
      <c r="Y126" s="1046">
        <v>0</v>
      </c>
      <c r="Z126" s="1007"/>
      <c r="AA126" s="995" t="s">
        <v>172</v>
      </c>
      <c r="AB126" s="897"/>
      <c r="AC126" s="582"/>
      <c r="AD126" s="719"/>
      <c r="AE126" s="720"/>
      <c r="AF126" s="720"/>
      <c r="AG126" s="719"/>
      <c r="AH126" s="720"/>
      <c r="AI126" s="720"/>
      <c r="AJ126" s="719"/>
      <c r="AK126" s="720"/>
      <c r="AL126" s="720"/>
      <c r="AM126" s="719"/>
      <c r="AN126" s="720"/>
      <c r="AO126" s="720"/>
      <c r="AP126" s="719"/>
      <c r="AQ126" s="720"/>
      <c r="AR126" s="720"/>
      <c r="AS126" s="719"/>
      <c r="AT126" s="720"/>
      <c r="AU126" s="720"/>
      <c r="AV126" s="719"/>
      <c r="AW126" s="720"/>
      <c r="AX126" s="720"/>
      <c r="AY126" s="719"/>
      <c r="AZ126" s="720"/>
      <c r="BA126" s="720"/>
      <c r="BB126" s="719"/>
      <c r="BC126" s="720"/>
      <c r="BD126" s="720"/>
      <c r="BE126" s="719"/>
      <c r="BF126" s="720"/>
      <c r="BG126" s="720"/>
      <c r="BH126" s="719"/>
      <c r="BI126" s="720"/>
      <c r="BJ126" s="720"/>
      <c r="BK126" s="719"/>
      <c r="BL126" s="720"/>
      <c r="BM126" s="720"/>
      <c r="BN126" s="719"/>
      <c r="BO126" s="720"/>
      <c r="BP126" s="720"/>
      <c r="BQ126" s="719"/>
      <c r="BR126" s="720"/>
      <c r="BS126" s="720"/>
      <c r="BT126" s="719"/>
      <c r="BU126" s="720"/>
      <c r="BV126" s="720"/>
      <c r="BW126" s="719"/>
      <c r="BX126" s="720"/>
      <c r="BY126" s="720"/>
      <c r="BZ126" s="719"/>
      <c r="CA126" s="720"/>
      <c r="CB126" s="720"/>
      <c r="CC126" s="719"/>
      <c r="CD126" s="720"/>
      <c r="CE126" s="720"/>
      <c r="CF126" s="719"/>
      <c r="CG126" s="720"/>
      <c r="CH126" s="720"/>
      <c r="CI126" s="719"/>
      <c r="CJ126" s="720"/>
      <c r="CK126" s="720"/>
      <c r="CL126" s="719"/>
      <c r="CM126" s="720"/>
      <c r="CN126" s="720"/>
      <c r="CO126" s="719"/>
      <c r="CP126" s="720"/>
      <c r="CQ126" s="720"/>
      <c r="CR126" s="719"/>
      <c r="CS126" s="720"/>
      <c r="CT126" s="720"/>
      <c r="CU126" s="719"/>
      <c r="CV126" s="720"/>
      <c r="CW126" s="720"/>
      <c r="CX126" s="719"/>
      <c r="CY126" s="720"/>
      <c r="CZ126" s="720"/>
      <c r="DA126" s="719"/>
      <c r="DB126" s="720"/>
      <c r="DC126" s="720"/>
      <c r="DD126" s="719"/>
      <c r="DE126" s="720"/>
      <c r="DF126" s="720"/>
      <c r="DG126" s="719"/>
      <c r="DH126" s="720"/>
      <c r="DI126" s="720"/>
      <c r="DJ126" s="719"/>
      <c r="DK126" s="720"/>
      <c r="DL126" s="720"/>
      <c r="DM126" s="719"/>
      <c r="DN126" s="720"/>
      <c r="DO126" s="720"/>
      <c r="DP126" s="719"/>
      <c r="DQ126" s="720"/>
      <c r="DR126" s="720"/>
      <c r="DS126" s="719"/>
      <c r="DT126" s="720"/>
      <c r="DU126" s="720"/>
      <c r="DV126" s="719"/>
      <c r="DW126" s="720"/>
      <c r="DX126" s="720"/>
      <c r="DY126" s="719"/>
      <c r="DZ126" s="720"/>
      <c r="EA126" s="720"/>
      <c r="EB126" s="719"/>
      <c r="EC126" s="720"/>
      <c r="ED126" s="720"/>
      <c r="EE126" s="719"/>
      <c r="EF126" s="720"/>
      <c r="EG126" s="720"/>
      <c r="EH126" s="719"/>
      <c r="EI126" s="720"/>
      <c r="EJ126" s="720"/>
      <c r="EK126" s="719"/>
      <c r="EL126" s="720"/>
      <c r="EM126" s="720"/>
      <c r="EN126" s="719"/>
      <c r="EO126" s="720"/>
      <c r="EP126" s="720"/>
      <c r="EQ126" s="719"/>
      <c r="ER126" s="720"/>
      <c r="ES126" s="720"/>
      <c r="ET126" s="719"/>
      <c r="EU126" s="720"/>
      <c r="EV126" s="720"/>
      <c r="EW126" s="719"/>
      <c r="EX126" s="720"/>
      <c r="EY126" s="720"/>
      <c r="EZ126" s="719"/>
      <c r="FA126" s="720"/>
      <c r="FB126" s="720"/>
      <c r="FC126" s="719"/>
      <c r="FD126" s="720"/>
      <c r="FE126" s="720"/>
      <c r="FF126" s="719"/>
      <c r="FG126" s="720"/>
      <c r="FH126" s="720"/>
      <c r="FI126" s="719"/>
      <c r="FJ126" s="720"/>
      <c r="FK126" s="720"/>
      <c r="FL126" s="719"/>
      <c r="FM126" s="720"/>
      <c r="FN126" s="720"/>
      <c r="FO126" s="719"/>
      <c r="FP126" s="720"/>
      <c r="FQ126" s="720"/>
      <c r="FR126" s="719"/>
      <c r="FS126" s="720"/>
      <c r="FT126" s="720"/>
      <c r="FU126" s="719"/>
      <c r="FV126" s="720"/>
      <c r="FW126" s="721"/>
      <c r="FZ126" s="689"/>
      <c r="GD126" s="459" t="b">
        <v>1</v>
      </c>
    </row>
    <row r="127" spans="1:186" ht="14.25" hidden="1" customHeight="1">
      <c r="A127" s="59"/>
      <c r="B127" s="611" t="b" cm="1">
        <f t="array" ref="B127">B126</f>
        <v>0</v>
      </c>
      <c r="C127" s="59"/>
      <c r="D127" s="59"/>
      <c r="E127" s="460">
        <v>15</v>
      </c>
      <c r="F127" s="3" t="str" cm="1">
        <f t="array" aca="1" ref="F127" ca="1">OFFSET(E127,-1,1)</f>
        <v>1</v>
      </c>
      <c r="G127" s="59"/>
      <c r="H127" s="59" t="s">
        <v>1604</v>
      </c>
      <c r="I127" s="59" cm="1">
        <f t="array" ref="I127">AB126</f>
        <v>0</v>
      </c>
      <c r="J127" s="59"/>
      <c r="K127" s="59"/>
      <c r="L127" s="59"/>
      <c r="M127" s="59"/>
      <c r="N127" s="59"/>
      <c r="O127" s="59"/>
      <c r="P127" s="59"/>
      <c r="Q127" s="59"/>
      <c r="R127" s="59"/>
      <c r="S127" s="59"/>
      <c r="T127" s="351" t="b" cm="1">
        <f t="array" aca="1" ref="T127" ca="1">T126</f>
        <v>0</v>
      </c>
      <c r="U127" s="59"/>
      <c r="V127" s="59"/>
      <c r="W127" s="59"/>
      <c r="X127" s="1046"/>
      <c r="Y127" s="1046"/>
      <c r="Z127" s="1007"/>
      <c r="AA127" s="995"/>
      <c r="AB127" s="105" t="s">
        <v>1680</v>
      </c>
      <c r="AC127" s="12" t="s">
        <v>1647</v>
      </c>
      <c r="AD127" s="817">
        <f>IF(AD129=0,0,(AD128*AD129+AD130*AD131*IF(god=2026,3,6))/AD129)</f>
        <v>0</v>
      </c>
      <c r="AE127" s="817">
        <f>IF(AE129=0,0,(AE128*AE129+AE130*AE131*IF(god=2026,3,6))/AE129)</f>
        <v>0</v>
      </c>
      <c r="AF127" s="712">
        <f>IF(AD127=0,0,(AE127-AD127)/AD127*100)</f>
        <v>0</v>
      </c>
      <c r="AG127" s="57">
        <f>IF(AG129=0,0,(AG128*AG129+AG130*AG131*IF(god=2025,3,6))/AG129)</f>
        <v>0</v>
      </c>
      <c r="AH127" s="57">
        <f>IF(AH129=0,0,(AH128*AH129+AH130*AH131*IF(god=2025,3,6))/AH129)</f>
        <v>0</v>
      </c>
      <c r="AI127" s="712">
        <f>IF(AG127=0,0,(AH127-AG127)/AG127*100)</f>
        <v>0</v>
      </c>
      <c r="AJ127" s="57">
        <f>IF(AJ129=0,0,(AJ128*AJ129+AJ130*AJ131*6)/AJ129)</f>
        <v>0</v>
      </c>
      <c r="AK127" s="57">
        <f>IF(AK129=0,0,(AK128*AK129+AK130*AK131*6)/AK129)</f>
        <v>0</v>
      </c>
      <c r="AL127" s="712">
        <f>IF(AJ127=0,0,(AK127-AJ127)/AJ127*100)</f>
        <v>0</v>
      </c>
      <c r="AM127" s="817">
        <f>IF(AM129=0,0,(AM128*AM129+AM130*AM131*6)/AM129)</f>
        <v>0</v>
      </c>
      <c r="AN127" s="817">
        <f>IF(AN129=0,0,(AN128*AN129+AN130*AN131*6)/AN129)</f>
        <v>0</v>
      </c>
      <c r="AO127" s="712">
        <f>IF(AM127=0,0,(AN127-AM127)/AM127*100)</f>
        <v>0</v>
      </c>
      <c r="AP127" s="817">
        <f>IF(AP129=0,0,(AP128*AP129+AP130*AP131*6)/AP129)</f>
        <v>0</v>
      </c>
      <c r="AQ127" s="817">
        <f>IF(AQ129=0,0,(AQ128*AQ129+AQ130*AQ131*6)/AQ129)</f>
        <v>0</v>
      </c>
      <c r="AR127" s="712">
        <f>IF(AP127=0,0,(AQ127-AP127)/AP127*100)</f>
        <v>0</v>
      </c>
      <c r="AS127" s="817">
        <f>IF(AS129=0,0,(AS128*AS129+AS130*AS131*6)/AS129)</f>
        <v>0</v>
      </c>
      <c r="AT127" s="817">
        <f>IF(AT129=0,0,(AT128*AT129+AT130*AT131*6)/AT129)</f>
        <v>0</v>
      </c>
      <c r="AU127" s="712">
        <f>IF(AS127=0,0,(AT127-AS127)/AS127*100)</f>
        <v>0</v>
      </c>
      <c r="AV127" s="817">
        <f>IF(AV129=0,0,(AV128*AV129+AV130*AV131*6)/AV129)</f>
        <v>0</v>
      </c>
      <c r="AW127" s="817">
        <f>IF(AW129=0,0,(AW128*AW129+AW130*AW131*6)/AW129)</f>
        <v>0</v>
      </c>
      <c r="AX127" s="712">
        <f>IF(AV127=0,0,(AW127-AV127)/AV127*100)</f>
        <v>0</v>
      </c>
      <c r="AY127" s="817">
        <f>IF(AY129=0,0,(AY128*AY129+AY130*AY131*6)/AY129)</f>
        <v>0</v>
      </c>
      <c r="AZ127" s="817">
        <f>IF(AZ129=0,0,(AZ128*AZ129+AZ130*AZ131*6)/AZ129)</f>
        <v>0</v>
      </c>
      <c r="BA127" s="712">
        <f>IF(AY127=0,0,(AZ127-AY127)/AY127*100)</f>
        <v>0</v>
      </c>
      <c r="BB127" s="817">
        <f>IF(BB129=0,0,(BB128*BB129+BB130*BB131*6)/BB129)</f>
        <v>0</v>
      </c>
      <c r="BC127" s="817">
        <f>IF(BC129=0,0,(BC128*BC129+BC130*BC131*6)/BC129)</f>
        <v>0</v>
      </c>
      <c r="BD127" s="712">
        <f>IF(BB127=0,0,(BC127-BB127)/BB127*100)</f>
        <v>0</v>
      </c>
      <c r="BE127" s="817">
        <f>IF(BE129=0,0,(BE128*BE129+BE130*BE131*6)/BE129)</f>
        <v>0</v>
      </c>
      <c r="BF127" s="817">
        <f>IF(BF129=0,0,(BF128*BF129+BF130*BF131*6)/BF129)</f>
        <v>0</v>
      </c>
      <c r="BG127" s="712">
        <f>IF(BE127=0,0,(BF127-BE127)/BE127*100)</f>
        <v>0</v>
      </c>
      <c r="BH127" s="817">
        <f>IF(BH129=0,0,(BH128*BH129+BH130*BH131*6)/BH129)</f>
        <v>0</v>
      </c>
      <c r="BI127" s="817">
        <f>IF(BI129=0,0,(BI128*BI129+BI130*BI131*6)/BI129)</f>
        <v>0</v>
      </c>
      <c r="BJ127" s="712">
        <f>IF(BH127=0,0,(BI127-BH127)/BH127*100)</f>
        <v>0</v>
      </c>
      <c r="BK127" s="817">
        <f>IF(BK129=0,0,(BK128*BK129+BK130*BK131*6)/BK129)</f>
        <v>0</v>
      </c>
      <c r="BL127" s="817">
        <f>IF(BL129=0,0,(BL128*BL129+BL130*BL131*6)/BL129)</f>
        <v>0</v>
      </c>
      <c r="BM127" s="712">
        <f>IF(BK127=0,0,(BL127-BK127)/BK127*100)</f>
        <v>0</v>
      </c>
      <c r="BN127" s="817">
        <f>IF(BN129=0,0,(BN128*BN129+BN130*BN131*6)/BN129)</f>
        <v>0</v>
      </c>
      <c r="BO127" s="817">
        <f>IF(BO129=0,0,(BO128*BO129+BO130*BO131*6)/BO129)</f>
        <v>0</v>
      </c>
      <c r="BP127" s="712">
        <f>IF(BN127=0,0,(BO127-BN127)/BN127*100)</f>
        <v>0</v>
      </c>
      <c r="BQ127" s="817">
        <f>IF(BQ129=0,0,(BQ128*BQ129+BQ130*BQ131*6)/BQ129)</f>
        <v>0</v>
      </c>
      <c r="BR127" s="817">
        <f>IF(BR129=0,0,(BR128*BR129+BR130*BR131*6)/BR129)</f>
        <v>0</v>
      </c>
      <c r="BS127" s="712">
        <f>IF(BQ127=0,0,(BR127-BQ127)/BQ127*100)</f>
        <v>0</v>
      </c>
      <c r="BT127" s="817">
        <f>IF(BT129=0,0,(BT128*BT129+BT130*BT131*6)/BT129)</f>
        <v>0</v>
      </c>
      <c r="BU127" s="817">
        <f>IF(BU129=0,0,(BU128*BU129+BU130*BU131*6)/BU129)</f>
        <v>0</v>
      </c>
      <c r="BV127" s="712">
        <f>IF(BT127=0,0,(BU127-BT127)/BT127*100)</f>
        <v>0</v>
      </c>
      <c r="BW127" s="817">
        <f>IF(BW129=0,0,(BW128*BW129+BW130*BW131*6)/BW129)</f>
        <v>0</v>
      </c>
      <c r="BX127" s="817">
        <f>IF(BX129=0,0,(BX128*BX129+BX130*BX131*6)/BX129)</f>
        <v>0</v>
      </c>
      <c r="BY127" s="712">
        <f>IF(BW127=0,0,(BX127-BW127)/BW127*100)</f>
        <v>0</v>
      </c>
      <c r="BZ127" s="817">
        <f>IF(BZ129=0,0,(BZ128*BZ129+BZ130*BZ131*6)/BZ129)</f>
        <v>0</v>
      </c>
      <c r="CA127" s="817">
        <f>IF(CA129=0,0,(CA128*CA129+CA130*CA131*6)/CA129)</f>
        <v>0</v>
      </c>
      <c r="CB127" s="712">
        <f>IF(BZ127=0,0,(CA127-BZ127)/BZ127*100)</f>
        <v>0</v>
      </c>
      <c r="CC127" s="817">
        <f>IF(CC129=0,0,(CC128*CC129+CC130*CC131*6)/CC129)</f>
        <v>0</v>
      </c>
      <c r="CD127" s="817">
        <f>IF(CD129=0,0,(CD128*CD129+CD130*CD131*6)/CD129)</f>
        <v>0</v>
      </c>
      <c r="CE127" s="712">
        <f>IF(CC127=0,0,(CD127-CC127)/CC127*100)</f>
        <v>0</v>
      </c>
      <c r="CF127" s="817">
        <f>IF(CF129=0,0,(CF128*CF129+CF130*CF131*6)/CF129)</f>
        <v>0</v>
      </c>
      <c r="CG127" s="817">
        <f>IF(CG129=0,0,(CG128*CG129+CG130*CG131*6)/CG129)</f>
        <v>0</v>
      </c>
      <c r="CH127" s="712">
        <f>IF(CF127=0,0,(CG127-CF127)/CF127*100)</f>
        <v>0</v>
      </c>
      <c r="CI127" s="817">
        <f>IF(CI129=0,0,(CI128*CI129+CI130*CI131*6)/CI129)</f>
        <v>0</v>
      </c>
      <c r="CJ127" s="817">
        <f>IF(CJ129=0,0,(CJ128*CJ129+CJ130*CJ131*6)/CJ129)</f>
        <v>0</v>
      </c>
      <c r="CK127" s="712">
        <f>IF(CI127=0,0,(CJ127-CI127)/CI127*100)</f>
        <v>0</v>
      </c>
      <c r="CL127" s="817">
        <f>IF(CL129=0,0,(CL128*CL129+CL130*CL131*6)/CL129)</f>
        <v>0</v>
      </c>
      <c r="CM127" s="817">
        <f>IF(CM129=0,0,(CM128*CM129+CM130*CM131*6)/CM129)</f>
        <v>0</v>
      </c>
      <c r="CN127" s="712">
        <f>IF(CL127=0,0,(CM127-CL127)/CL127*100)</f>
        <v>0</v>
      </c>
      <c r="CO127" s="817">
        <f>IF(CO129=0,0,(CO128*CO129+CO130*CO131*6)/CO129)</f>
        <v>0</v>
      </c>
      <c r="CP127" s="817">
        <f>IF(CP129=0,0,(CP128*CP129+CP130*CP131*6)/CP129)</f>
        <v>0</v>
      </c>
      <c r="CQ127" s="712">
        <f>IF(CO127=0,0,(CP127-CO127)/CO127*100)</f>
        <v>0</v>
      </c>
      <c r="CR127" s="817">
        <f>IF(CR129=0,0,(CR128*CR129+CR130*CR131*6)/CR129)</f>
        <v>0</v>
      </c>
      <c r="CS127" s="817">
        <f>IF(CS129=0,0,(CS128*CS129+CS130*CS131*6)/CS129)</f>
        <v>0</v>
      </c>
      <c r="CT127" s="712">
        <f>IF(CR127=0,0,(CS127-CR127)/CR127*100)</f>
        <v>0</v>
      </c>
      <c r="CU127" s="817">
        <f>IF(CU129=0,0,(CU128*CU129+CU130*CU131*6)/CU129)</f>
        <v>0</v>
      </c>
      <c r="CV127" s="817">
        <f>IF(CV129=0,0,(CV128*CV129+CV130*CV131*6)/CV129)</f>
        <v>0</v>
      </c>
      <c r="CW127" s="712">
        <f>IF(CU127=0,0,(CV127-CU127)/CU127*100)</f>
        <v>0</v>
      </c>
      <c r="CX127" s="817">
        <f>IF(CX129=0,0,(CX128*CX129+CX130*CX131*6)/CX129)</f>
        <v>0</v>
      </c>
      <c r="CY127" s="817">
        <f>IF(CY129=0,0,(CY128*CY129+CY130*CY131*6)/CY129)</f>
        <v>0</v>
      </c>
      <c r="CZ127" s="712">
        <f>IF(CX127=0,0,(CY127-CX127)/CX127*100)</f>
        <v>0</v>
      </c>
      <c r="DA127" s="817">
        <f>IF(DA129=0,0,(DA128*DA129+DA130*DA131*6)/DA129)</f>
        <v>0</v>
      </c>
      <c r="DB127" s="817">
        <f>IF(DB129=0,0,(DB128*DB129+DB130*DB131*6)/DB129)</f>
        <v>0</v>
      </c>
      <c r="DC127" s="712">
        <f>IF(DA127=0,0,(DB127-DA127)/DA127*100)</f>
        <v>0</v>
      </c>
      <c r="DD127" s="817">
        <f>IF(DD129=0,0,(DD128*DD129+DD130*DD131*6)/DD129)</f>
        <v>0</v>
      </c>
      <c r="DE127" s="817">
        <f>IF(DE129=0,0,(DE128*DE129+DE130*DE131*6)/DE129)</f>
        <v>0</v>
      </c>
      <c r="DF127" s="712">
        <f>IF(DD127=0,0,(DE127-DD127)/DD127*100)</f>
        <v>0</v>
      </c>
      <c r="DG127" s="817">
        <f>IF(DG129=0,0,(DG128*DG129+DG130*DG131*6)/DG129)</f>
        <v>0</v>
      </c>
      <c r="DH127" s="817">
        <f>IF(DH129=0,0,(DH128*DH129+DH130*DH131*6)/DH129)</f>
        <v>0</v>
      </c>
      <c r="DI127" s="712">
        <f>IF(DG127=0,0,(DH127-DG127)/DG127*100)</f>
        <v>0</v>
      </c>
      <c r="DJ127" s="817">
        <f>IF(DJ129=0,0,(DJ128*DJ129+DJ130*DJ131*6)/DJ129)</f>
        <v>0</v>
      </c>
      <c r="DK127" s="817">
        <f>IF(DK129=0,0,(DK128*DK129+DK130*DK131*6)/DK129)</f>
        <v>0</v>
      </c>
      <c r="DL127" s="712">
        <f>IF(DJ127=0,0,(DK127-DJ127)/DJ127*100)</f>
        <v>0</v>
      </c>
      <c r="DM127" s="817">
        <f>IF(DM129=0,0,(DM128*DM129+DM130*DM131*6)/DM129)</f>
        <v>0</v>
      </c>
      <c r="DN127" s="817">
        <f>IF(DN129=0,0,(DN128*DN129+DN130*DN131*6)/DN129)</f>
        <v>0</v>
      </c>
      <c r="DO127" s="712">
        <f>IF(DM127=0,0,(DN127-DM127)/DM127*100)</f>
        <v>0</v>
      </c>
      <c r="DP127" s="817">
        <f>IF(DP129=0,0,(DP128*DP129+DP130*DP131*6)/DP129)</f>
        <v>0</v>
      </c>
      <c r="DQ127" s="817">
        <f>IF(DQ129=0,0,(DQ128*DQ129+DQ130*DQ131*6)/DQ129)</f>
        <v>0</v>
      </c>
      <c r="DR127" s="712">
        <f>IF(DP127=0,0,(DQ127-DP127)/DP127*100)</f>
        <v>0</v>
      </c>
      <c r="DS127" s="817">
        <f>IF(DS129=0,0,(DS128*DS129+DS130*DS131*6)/DS129)</f>
        <v>0</v>
      </c>
      <c r="DT127" s="817">
        <f>IF(DT129=0,0,(DT128*DT129+DT130*DT131*6)/DT129)</f>
        <v>0</v>
      </c>
      <c r="DU127" s="712">
        <f>IF(DS127=0,0,(DT127-DS127)/DS127*100)</f>
        <v>0</v>
      </c>
      <c r="DV127" s="817">
        <f>IF(DV129=0,0,(DV128*DV129+DV130*DV131*6)/DV129)</f>
        <v>0</v>
      </c>
      <c r="DW127" s="817">
        <f>IF(DW129=0,0,(DW128*DW129+DW130*DW131*6)/DW129)</f>
        <v>0</v>
      </c>
      <c r="DX127" s="712">
        <f>IF(DV127=0,0,(DW127-DV127)/DV127*100)</f>
        <v>0</v>
      </c>
      <c r="DY127" s="817">
        <f>IF(DY129=0,0,(DY128*DY129+DY130*DY131*6)/DY129)</f>
        <v>0</v>
      </c>
      <c r="DZ127" s="817">
        <f>IF(DZ129=0,0,(DZ128*DZ129+DZ130*DZ131*6)/DZ129)</f>
        <v>0</v>
      </c>
      <c r="EA127" s="712">
        <f>IF(DY127=0,0,(DZ127-DY127)/DY127*100)</f>
        <v>0</v>
      </c>
      <c r="EB127" s="817">
        <f>IF(EB129=0,0,(EB128*EB129+EB130*EB131*6)/EB129)</f>
        <v>0</v>
      </c>
      <c r="EC127" s="817">
        <f>IF(EC129=0,0,(EC128*EC129+EC130*EC131*6)/EC129)</f>
        <v>0</v>
      </c>
      <c r="ED127" s="712">
        <f>IF(EB127=0,0,(EC127-EB127)/EB127*100)</f>
        <v>0</v>
      </c>
      <c r="EE127" s="817">
        <f>IF(EE129=0,0,(EE128*EE129+EE130*EE131*6)/EE129)</f>
        <v>0</v>
      </c>
      <c r="EF127" s="817">
        <f>IF(EF129=0,0,(EF128*EF129+EF130*EF131*6)/EF129)</f>
        <v>0</v>
      </c>
      <c r="EG127" s="712">
        <f>IF(EE127=0,0,(EF127-EE127)/EE127*100)</f>
        <v>0</v>
      </c>
      <c r="EH127" s="817">
        <f>IF(EH129=0,0,(EH128*EH129+EH130*EH131*6)/EH129)</f>
        <v>0</v>
      </c>
      <c r="EI127" s="817">
        <f>IF(EI129=0,0,(EI128*EI129+EI130*EI131*6)/EI129)</f>
        <v>0</v>
      </c>
      <c r="EJ127" s="712">
        <f>IF(EH127=0,0,(EI127-EH127)/EH127*100)</f>
        <v>0</v>
      </c>
      <c r="EK127" s="817">
        <f>IF(EK129=0,0,(EK128*EK129+EK130*EK131*6)/EK129)</f>
        <v>0</v>
      </c>
      <c r="EL127" s="817">
        <f>IF(EL129=0,0,(EL128*EL129+EL130*EL131*6)/EL129)</f>
        <v>0</v>
      </c>
      <c r="EM127" s="712">
        <f>IF(EK127=0,0,(EL127-EK127)/EK127*100)</f>
        <v>0</v>
      </c>
      <c r="EN127" s="817">
        <f>IF(EN129=0,0,(EN128*EN129+EN130*EN131*6)/EN129)</f>
        <v>0</v>
      </c>
      <c r="EO127" s="817">
        <f>IF(EO129=0,0,(EO128*EO129+EO130*EO131*6)/EO129)</f>
        <v>0</v>
      </c>
      <c r="EP127" s="712">
        <f>IF(EN127=0,0,(EO127-EN127)/EN127*100)</f>
        <v>0</v>
      </c>
      <c r="EQ127" s="817">
        <f>IF(EQ129=0,0,(EQ128*EQ129+EQ130*EQ131*6)/EQ129)</f>
        <v>0</v>
      </c>
      <c r="ER127" s="817">
        <f>IF(ER129=0,0,(ER128*ER129+ER130*ER131*6)/ER129)</f>
        <v>0</v>
      </c>
      <c r="ES127" s="712">
        <f>IF(EQ127=0,0,(ER127-EQ127)/EQ127*100)</f>
        <v>0</v>
      </c>
      <c r="ET127" s="817">
        <f>IF(ET129=0,0,(ET128*ET129+ET130*ET131*6)/ET129)</f>
        <v>0</v>
      </c>
      <c r="EU127" s="817">
        <f>IF(EU129=0,0,(EU128*EU129+EU130*EU131*6)/EU129)</f>
        <v>0</v>
      </c>
      <c r="EV127" s="712">
        <f>IF(ET127=0,0,(EU127-ET127)/ET127*100)</f>
        <v>0</v>
      </c>
      <c r="EW127" s="817">
        <f>IF(EW129=0,0,(EW128*EW129+EW130*EW131*6)/EW129)</f>
        <v>0</v>
      </c>
      <c r="EX127" s="817">
        <f>IF(EX129=0,0,(EX128*EX129+EX130*EX131*6)/EX129)</f>
        <v>0</v>
      </c>
      <c r="EY127" s="712">
        <f>IF(EW127=0,0,(EX127-EW127)/EW127*100)</f>
        <v>0</v>
      </c>
      <c r="EZ127" s="817">
        <f>IF(EZ129=0,0,(EZ128*EZ129+EZ130*EZ131*6)/EZ129)</f>
        <v>0</v>
      </c>
      <c r="FA127" s="817">
        <f>IF(FA129=0,0,(FA128*FA129+FA130*FA131*6)/FA129)</f>
        <v>0</v>
      </c>
      <c r="FB127" s="712">
        <f>IF(EZ127=0,0,(FA127-EZ127)/EZ127*100)</f>
        <v>0</v>
      </c>
      <c r="FC127" s="817">
        <f>IF(FC129=0,0,(FC128*FC129+FC130*FC131*6)/FC129)</f>
        <v>0</v>
      </c>
      <c r="FD127" s="817">
        <f>IF(FD129=0,0,(FD128*FD129+FD130*FD131*6)/FD129)</f>
        <v>0</v>
      </c>
      <c r="FE127" s="712">
        <f>IF(FC127=0,0,(FD127-FC127)/FC127*100)</f>
        <v>0</v>
      </c>
      <c r="FF127" s="817">
        <f>IF(FF129=0,0,(FF128*FF129+FF130*FF131*6)/FF129)</f>
        <v>0</v>
      </c>
      <c r="FG127" s="817">
        <f>IF(FG129=0,0,(FG128*FG129+FG130*FG131*6)/FG129)</f>
        <v>0</v>
      </c>
      <c r="FH127" s="712">
        <f>IF(FF127=0,0,(FG127-FF127)/FF127*100)</f>
        <v>0</v>
      </c>
      <c r="FI127" s="817">
        <f>IF(FI129=0,0,(FI128*FI129+FI130*FI131*6)/FI129)</f>
        <v>0</v>
      </c>
      <c r="FJ127" s="817">
        <f>IF(FJ129=0,0,(FJ128*FJ129+FJ130*FJ131*6)/FJ129)</f>
        <v>0</v>
      </c>
      <c r="FK127" s="712">
        <f>IF(FI127=0,0,(FJ127-FI127)/FI127*100)</f>
        <v>0</v>
      </c>
      <c r="FL127" s="817">
        <f>IF(FL129=0,0,(FL128*FL129+FL130*FL131*6)/FL129)</f>
        <v>0</v>
      </c>
      <c r="FM127" s="817">
        <f>IF(FM129=0,0,(FM128*FM129+FM130*FM131*6)/FM129)</f>
        <v>0</v>
      </c>
      <c r="FN127" s="712">
        <f>IF(FL127=0,0,(FM127-FL127)/FL127*100)</f>
        <v>0</v>
      </c>
      <c r="FO127" s="817">
        <f>IF(FO129=0,0,(FO128*FO129+FO130*FO131*6)/FO129)</f>
        <v>0</v>
      </c>
      <c r="FP127" s="817">
        <f>IF(FP129=0,0,(FP128*FP129+FP130*FP131*6)/FP129)</f>
        <v>0</v>
      </c>
      <c r="FQ127" s="712">
        <f>IF(FO127=0,0,(FP127-FO127)/FO127*100)</f>
        <v>0</v>
      </c>
      <c r="FR127" s="817">
        <f>IF(FR129=0,0,(FR128*FR129+FR130*FR131*6)/FR129)</f>
        <v>0</v>
      </c>
      <c r="FS127" s="817">
        <f>IF(FS129=0,0,(FS128*FS129+FS130*FS131*6)/FS129)</f>
        <v>0</v>
      </c>
      <c r="FT127" s="712">
        <f>IF(FR127=0,0,(FS127-FR127)/FR127*100)</f>
        <v>0</v>
      </c>
      <c r="FU127" s="817">
        <f>IF(FU129=0,0,(FU128*FU129+FU130*FU131*6)/FU129)</f>
        <v>0</v>
      </c>
      <c r="FV127" s="817">
        <f>IF(FV129=0,0,(FV128*FV129+FV130*FV131*6)/FV129)</f>
        <v>0</v>
      </c>
      <c r="FW127" s="712">
        <f>IF(FU127=0,0,(FV127-FU127)/FU127*100)</f>
        <v>0</v>
      </c>
      <c r="FZ127" s="689" t="s">
        <v>1714</v>
      </c>
      <c r="GA127" s="669" t="s">
        <v>899</v>
      </c>
      <c r="GB127" s="691" cm="1">
        <f t="array" ref="GB127">AB126</f>
        <v>0</v>
      </c>
    </row>
    <row r="128" spans="1:186" ht="14.25" hidden="1" customHeight="1">
      <c r="A128" s="59"/>
      <c r="B128" s="611" t="b" cm="1">
        <f t="array" ref="B128">B127</f>
        <v>0</v>
      </c>
      <c r="C128" s="59"/>
      <c r="D128" s="59"/>
      <c r="E128" s="460">
        <v>15</v>
      </c>
      <c r="F128" s="3" t="str" cm="1">
        <f t="array" aca="1" ref="F128" ca="1">OFFSET(E128,-1,1)</f>
        <v>1</v>
      </c>
      <c r="G128" s="59"/>
      <c r="H128" s="59" t="s">
        <v>1608</v>
      </c>
      <c r="I128" s="59" cm="1">
        <f t="array" ref="I128">I127</f>
        <v>0</v>
      </c>
      <c r="J128" s="59"/>
      <c r="K128" s="59"/>
      <c r="L128" s="59"/>
      <c r="M128" s="59"/>
      <c r="N128" s="59"/>
      <c r="O128" s="59"/>
      <c r="P128" s="59"/>
      <c r="Q128" s="59"/>
      <c r="R128" s="59"/>
      <c r="S128" s="59"/>
      <c r="T128" s="351" t="b" cm="1">
        <f t="array" aca="1" ref="T128" ca="1">T127</f>
        <v>0</v>
      </c>
      <c r="U128" s="59"/>
      <c r="V128" s="59"/>
      <c r="W128" s="59"/>
      <c r="X128" s="1046"/>
      <c r="Y128" s="1046"/>
      <c r="Z128" s="1007"/>
      <c r="AA128" s="995"/>
      <c r="AB128"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12" t="s">
        <v>1647</v>
      </c>
      <c r="AD128" s="817"/>
      <c r="AE128" s="817"/>
      <c r="AF128" s="712">
        <f>IF(AD128=0,0,(AE128-AD128)/AD128*100)</f>
        <v>0</v>
      </c>
      <c r="AG128" s="57"/>
      <c r="AH128" s="57"/>
      <c r="AI128" s="712">
        <f>IF(AG128=0,0,(AH128-AG128)/AG128*100)</f>
        <v>0</v>
      </c>
      <c r="AJ128" s="57"/>
      <c r="AK128" s="57"/>
      <c r="AL128" s="712">
        <f>IF(AJ128=0,0,(AK128-AJ128)/AJ128*100)</f>
        <v>0</v>
      </c>
      <c r="AM128" s="817"/>
      <c r="AN128" s="817"/>
      <c r="AO128" s="712">
        <f>IF(AM128=0,0,(AN128-AM128)/AM128*100)</f>
        <v>0</v>
      </c>
      <c r="AP128" s="817"/>
      <c r="AQ128" s="817"/>
      <c r="AR128" s="712">
        <f>IF(AP128=0,0,(AQ128-AP128)/AP128*100)</f>
        <v>0</v>
      </c>
      <c r="AS128" s="817"/>
      <c r="AT128" s="817"/>
      <c r="AU128" s="712">
        <f>IF(AS128=0,0,(AT128-AS128)/AS128*100)</f>
        <v>0</v>
      </c>
      <c r="AV128" s="817"/>
      <c r="AW128" s="817"/>
      <c r="AX128" s="712">
        <f>IF(AV128=0,0,(AW128-AV128)/AV128*100)</f>
        <v>0</v>
      </c>
      <c r="AY128" s="817"/>
      <c r="AZ128" s="817"/>
      <c r="BA128" s="712">
        <f>IF(AY128=0,0,(AZ128-AY128)/AY128*100)</f>
        <v>0</v>
      </c>
      <c r="BB128" s="817"/>
      <c r="BC128" s="817"/>
      <c r="BD128" s="712">
        <f>IF(BB128=0,0,(BC128-BB128)/BB128*100)</f>
        <v>0</v>
      </c>
      <c r="BE128" s="817"/>
      <c r="BF128" s="817"/>
      <c r="BG128" s="712">
        <f>IF(BE128=0,0,(BF128-BE128)/BE128*100)</f>
        <v>0</v>
      </c>
      <c r="BH128" s="817"/>
      <c r="BI128" s="817"/>
      <c r="BJ128" s="712">
        <f>IF(BH128=0,0,(BI128-BH128)/BH128*100)</f>
        <v>0</v>
      </c>
      <c r="BK128" s="817"/>
      <c r="BL128" s="817"/>
      <c r="BM128" s="712">
        <f>IF(BK128=0,0,(BL128-BK128)/BK128*100)</f>
        <v>0</v>
      </c>
      <c r="BN128" s="817"/>
      <c r="BO128" s="817"/>
      <c r="BP128" s="712">
        <f>IF(BN128=0,0,(BO128-BN128)/BN128*100)</f>
        <v>0</v>
      </c>
      <c r="BQ128" s="817"/>
      <c r="BR128" s="817"/>
      <c r="BS128" s="712">
        <f>IF(BQ128=0,0,(BR128-BQ128)/BQ128*100)</f>
        <v>0</v>
      </c>
      <c r="BT128" s="817"/>
      <c r="BU128" s="817"/>
      <c r="BV128" s="712">
        <f>IF(BT128=0,0,(BU128-BT128)/BT128*100)</f>
        <v>0</v>
      </c>
      <c r="BW128" s="817"/>
      <c r="BX128" s="817"/>
      <c r="BY128" s="712">
        <f>IF(BW128=0,0,(BX128-BW128)/BW128*100)</f>
        <v>0</v>
      </c>
      <c r="BZ128" s="817"/>
      <c r="CA128" s="817"/>
      <c r="CB128" s="712">
        <f>IF(BZ128=0,0,(CA128-BZ128)/BZ128*100)</f>
        <v>0</v>
      </c>
      <c r="CC128" s="817"/>
      <c r="CD128" s="817"/>
      <c r="CE128" s="712">
        <f>IF(CC128=0,0,(CD128-CC128)/CC128*100)</f>
        <v>0</v>
      </c>
      <c r="CF128" s="817"/>
      <c r="CG128" s="817"/>
      <c r="CH128" s="712">
        <f>IF(CF128=0,0,(CG128-CF128)/CF128*100)</f>
        <v>0</v>
      </c>
      <c r="CI128" s="817"/>
      <c r="CJ128" s="817"/>
      <c r="CK128" s="712">
        <f>IF(CI128=0,0,(CJ128-CI128)/CI128*100)</f>
        <v>0</v>
      </c>
      <c r="CL128" s="817"/>
      <c r="CM128" s="817"/>
      <c r="CN128" s="712">
        <f>IF(CL128=0,0,(CM128-CL128)/CL128*100)</f>
        <v>0</v>
      </c>
      <c r="CO128" s="817"/>
      <c r="CP128" s="817"/>
      <c r="CQ128" s="712">
        <f>IF(CO128=0,0,(CP128-CO128)/CO128*100)</f>
        <v>0</v>
      </c>
      <c r="CR128" s="817"/>
      <c r="CS128" s="817"/>
      <c r="CT128" s="712">
        <f>IF(CR128=0,0,(CS128-CR128)/CR128*100)</f>
        <v>0</v>
      </c>
      <c r="CU128" s="817"/>
      <c r="CV128" s="817"/>
      <c r="CW128" s="712">
        <f>IF(CU128=0,0,(CV128-CU128)/CU128*100)</f>
        <v>0</v>
      </c>
      <c r="CX128" s="817"/>
      <c r="CY128" s="817"/>
      <c r="CZ128" s="712">
        <f>IF(CX128=0,0,(CY128-CX128)/CX128*100)</f>
        <v>0</v>
      </c>
      <c r="DA128" s="817"/>
      <c r="DB128" s="817"/>
      <c r="DC128" s="712">
        <f>IF(DA128=0,0,(DB128-DA128)/DA128*100)</f>
        <v>0</v>
      </c>
      <c r="DD128" s="817"/>
      <c r="DE128" s="817"/>
      <c r="DF128" s="712">
        <f>IF(DD128=0,0,(DE128-DD128)/DD128*100)</f>
        <v>0</v>
      </c>
      <c r="DG128" s="817"/>
      <c r="DH128" s="817"/>
      <c r="DI128" s="712">
        <f>IF(DG128=0,0,(DH128-DG128)/DG128*100)</f>
        <v>0</v>
      </c>
      <c r="DJ128" s="817"/>
      <c r="DK128" s="817"/>
      <c r="DL128" s="712">
        <f>IF(DJ128=0,0,(DK128-DJ128)/DJ128*100)</f>
        <v>0</v>
      </c>
      <c r="DM128" s="817"/>
      <c r="DN128" s="817"/>
      <c r="DO128" s="712">
        <f>IF(DM128=0,0,(DN128-DM128)/DM128*100)</f>
        <v>0</v>
      </c>
      <c r="DP128" s="817"/>
      <c r="DQ128" s="817"/>
      <c r="DR128" s="712">
        <f>IF(DP128=0,0,(DQ128-DP128)/DP128*100)</f>
        <v>0</v>
      </c>
      <c r="DS128" s="817"/>
      <c r="DT128" s="817"/>
      <c r="DU128" s="712">
        <f>IF(DS128=0,0,(DT128-DS128)/DS128*100)</f>
        <v>0</v>
      </c>
      <c r="DV128" s="817"/>
      <c r="DW128" s="817"/>
      <c r="DX128" s="712">
        <f>IF(DV128=0,0,(DW128-DV128)/DV128*100)</f>
        <v>0</v>
      </c>
      <c r="DY128" s="817"/>
      <c r="DZ128" s="817"/>
      <c r="EA128" s="712">
        <f>IF(DY128=0,0,(DZ128-DY128)/DY128*100)</f>
        <v>0</v>
      </c>
      <c r="EB128" s="817"/>
      <c r="EC128" s="817"/>
      <c r="ED128" s="712">
        <f>IF(EB128=0,0,(EC128-EB128)/EB128*100)</f>
        <v>0</v>
      </c>
      <c r="EE128" s="817"/>
      <c r="EF128" s="817"/>
      <c r="EG128" s="712">
        <f>IF(EE128=0,0,(EF128-EE128)/EE128*100)</f>
        <v>0</v>
      </c>
      <c r="EH128" s="817"/>
      <c r="EI128" s="817"/>
      <c r="EJ128" s="712">
        <f>IF(EH128=0,0,(EI128-EH128)/EH128*100)</f>
        <v>0</v>
      </c>
      <c r="EK128" s="817"/>
      <c r="EL128" s="817"/>
      <c r="EM128" s="712">
        <f>IF(EK128=0,0,(EL128-EK128)/EK128*100)</f>
        <v>0</v>
      </c>
      <c r="EN128" s="817"/>
      <c r="EO128" s="817"/>
      <c r="EP128" s="712">
        <f>IF(EN128=0,0,(EO128-EN128)/EN128*100)</f>
        <v>0</v>
      </c>
      <c r="EQ128" s="817"/>
      <c r="ER128" s="817"/>
      <c r="ES128" s="712">
        <f>IF(EQ128=0,0,(ER128-EQ128)/EQ128*100)</f>
        <v>0</v>
      </c>
      <c r="ET128" s="817"/>
      <c r="EU128" s="817"/>
      <c r="EV128" s="712">
        <f>IF(ET128=0,0,(EU128-ET128)/ET128*100)</f>
        <v>0</v>
      </c>
      <c r="EW128" s="817"/>
      <c r="EX128" s="817"/>
      <c r="EY128" s="712">
        <f>IF(EW128=0,0,(EX128-EW128)/EW128*100)</f>
        <v>0</v>
      </c>
      <c r="EZ128" s="817"/>
      <c r="FA128" s="817"/>
      <c r="FB128" s="712">
        <f>IF(EZ128=0,0,(FA128-EZ128)/EZ128*100)</f>
        <v>0</v>
      </c>
      <c r="FC128" s="817"/>
      <c r="FD128" s="817"/>
      <c r="FE128" s="712">
        <f>IF(FC128=0,0,(FD128-FC128)/FC128*100)</f>
        <v>0</v>
      </c>
      <c r="FF128" s="817"/>
      <c r="FG128" s="817"/>
      <c r="FH128" s="712">
        <f>IF(FF128=0,0,(FG128-FF128)/FF128*100)</f>
        <v>0</v>
      </c>
      <c r="FI128" s="817"/>
      <c r="FJ128" s="817"/>
      <c r="FK128" s="712">
        <f>IF(FI128=0,0,(FJ128-FI128)/FI128*100)</f>
        <v>0</v>
      </c>
      <c r="FL128" s="817"/>
      <c r="FM128" s="817"/>
      <c r="FN128" s="712">
        <f>IF(FL128=0,0,(FM128-FL128)/FL128*100)</f>
        <v>0</v>
      </c>
      <c r="FO128" s="817"/>
      <c r="FP128" s="817"/>
      <c r="FQ128" s="712">
        <f>IF(FO128=0,0,(FP128-FO128)/FO128*100)</f>
        <v>0</v>
      </c>
      <c r="FR128" s="817"/>
      <c r="FS128" s="817"/>
      <c r="FT128" s="712">
        <f>IF(FR128=0,0,(FS128-FR128)/FR128*100)</f>
        <v>0</v>
      </c>
      <c r="FU128" s="817"/>
      <c r="FV128" s="817"/>
      <c r="FW128" s="712">
        <f>IF(FU128=0,0,(FV128-FU128)/FU128*100)</f>
        <v>0</v>
      </c>
      <c r="FZ128" s="689" t="s">
        <v>1715</v>
      </c>
      <c r="GA128" s="669" t="s">
        <v>899</v>
      </c>
      <c r="GB128" s="669" cm="1">
        <f t="array" ref="GB128">GB127</f>
        <v>0</v>
      </c>
    </row>
    <row r="129" spans="1:186" ht="14.25" hidden="1" customHeight="1">
      <c r="A129" s="59"/>
      <c r="B129" s="611" t="b" cm="1">
        <f t="array" ref="B129">B128</f>
        <v>0</v>
      </c>
      <c r="C129" s="59"/>
      <c r="D129" s="59"/>
      <c r="E129" s="460">
        <v>15</v>
      </c>
      <c r="F129" s="3" t="str" cm="1">
        <f t="array" aca="1" ref="F129" ca="1">OFFSET(E129,-1,1)</f>
        <v>1</v>
      </c>
      <c r="G129" s="59"/>
      <c r="H129" s="59" t="s">
        <v>1684</v>
      </c>
      <c r="I129" s="59" cm="1">
        <f t="array" ref="I129">I128</f>
        <v>0</v>
      </c>
      <c r="J129" s="59"/>
      <c r="K129" s="59"/>
      <c r="L129" s="59"/>
      <c r="M129" s="59"/>
      <c r="N129" s="59"/>
      <c r="O129" s="59"/>
      <c r="P129" s="59"/>
      <c r="Q129" s="59"/>
      <c r="R129" s="59"/>
      <c r="S129" s="59"/>
      <c r="T129" s="351" t="b" cm="1">
        <f t="array" aca="1" ref="T129" ca="1">T128</f>
        <v>0</v>
      </c>
      <c r="U129" s="59"/>
      <c r="V129" s="59"/>
      <c r="W129" s="59"/>
      <c r="X129" s="1046"/>
      <c r="Y129" s="1046"/>
      <c r="Z129" s="1007"/>
      <c r="AA129" s="995"/>
      <c r="AB129" s="105" t="str">
        <f>"объём "&amp;IF(Q85="Водоснабжение","потребления холодной воды","водоотведения")</f>
        <v>объём потребления холодной воды</v>
      </c>
      <c r="AC129" s="12" t="s">
        <v>585</v>
      </c>
      <c r="AD129" s="833"/>
      <c r="AE129" s="833"/>
      <c r="AF129" s="713">
        <f>IF(AD129=0,0,(AE129-AD129)/AD129*100)</f>
        <v>0</v>
      </c>
      <c r="AG129" s="190"/>
      <c r="AH129" s="190"/>
      <c r="AI129" s="713">
        <f>IF(AG129=0,0,(AH129-AG129)/AG129*100)</f>
        <v>0</v>
      </c>
      <c r="AJ129" s="190"/>
      <c r="AK129" s="190"/>
      <c r="AL129" s="713">
        <f>IF(AJ129=0,0,(AK129-AJ129)/AJ129*100)</f>
        <v>0</v>
      </c>
      <c r="AM129" s="833"/>
      <c r="AN129" s="833"/>
      <c r="AO129" s="713">
        <f>IF(AM129=0,0,(AN129-AM129)/AM129*100)</f>
        <v>0</v>
      </c>
      <c r="AP129" s="833"/>
      <c r="AQ129" s="833"/>
      <c r="AR129" s="713">
        <f>IF(AP129=0,0,(AQ129-AP129)/AP129*100)</f>
        <v>0</v>
      </c>
      <c r="AS129" s="833"/>
      <c r="AT129" s="833"/>
      <c r="AU129" s="713">
        <f>IF(AS129=0,0,(AT129-AS129)/AS129*100)</f>
        <v>0</v>
      </c>
      <c r="AV129" s="833"/>
      <c r="AW129" s="833"/>
      <c r="AX129" s="713">
        <f>IF(AV129=0,0,(AW129-AV129)/AV129*100)</f>
        <v>0</v>
      </c>
      <c r="AY129" s="833"/>
      <c r="AZ129" s="833"/>
      <c r="BA129" s="713">
        <f>IF(AY129=0,0,(AZ129-AY129)/AY129*100)</f>
        <v>0</v>
      </c>
      <c r="BB129" s="833"/>
      <c r="BC129" s="833"/>
      <c r="BD129" s="713">
        <f>IF(BB129=0,0,(BC129-BB129)/BB129*100)</f>
        <v>0</v>
      </c>
      <c r="BE129" s="833"/>
      <c r="BF129" s="833"/>
      <c r="BG129" s="713">
        <f>IF(BE129=0,0,(BF129-BE129)/BE129*100)</f>
        <v>0</v>
      </c>
      <c r="BH129" s="833"/>
      <c r="BI129" s="833"/>
      <c r="BJ129" s="713">
        <f>IF(BH129=0,0,(BI129-BH129)/BH129*100)</f>
        <v>0</v>
      </c>
      <c r="BK129" s="833"/>
      <c r="BL129" s="833"/>
      <c r="BM129" s="713">
        <f>IF(BK129=0,0,(BL129-BK129)/BK129*100)</f>
        <v>0</v>
      </c>
      <c r="BN129" s="833"/>
      <c r="BO129" s="833"/>
      <c r="BP129" s="713">
        <f>IF(BN129=0,0,(BO129-BN129)/BN129*100)</f>
        <v>0</v>
      </c>
      <c r="BQ129" s="833"/>
      <c r="BR129" s="833"/>
      <c r="BS129" s="713">
        <f>IF(BQ129=0,0,(BR129-BQ129)/BQ129*100)</f>
        <v>0</v>
      </c>
      <c r="BT129" s="833"/>
      <c r="BU129" s="833"/>
      <c r="BV129" s="713">
        <f>IF(BT129=0,0,(BU129-BT129)/BT129*100)</f>
        <v>0</v>
      </c>
      <c r="BW129" s="833"/>
      <c r="BX129" s="833"/>
      <c r="BY129" s="713">
        <f>IF(BW129=0,0,(BX129-BW129)/BW129*100)</f>
        <v>0</v>
      </c>
      <c r="BZ129" s="833"/>
      <c r="CA129" s="833"/>
      <c r="CB129" s="713">
        <f>IF(BZ129=0,0,(CA129-BZ129)/BZ129*100)</f>
        <v>0</v>
      </c>
      <c r="CC129" s="833"/>
      <c r="CD129" s="833"/>
      <c r="CE129" s="713">
        <f>IF(CC129=0,0,(CD129-CC129)/CC129*100)</f>
        <v>0</v>
      </c>
      <c r="CF129" s="833"/>
      <c r="CG129" s="833"/>
      <c r="CH129" s="713">
        <f>IF(CF129=0,0,(CG129-CF129)/CF129*100)</f>
        <v>0</v>
      </c>
      <c r="CI129" s="833"/>
      <c r="CJ129" s="833"/>
      <c r="CK129" s="713">
        <f>IF(CI129=0,0,(CJ129-CI129)/CI129*100)</f>
        <v>0</v>
      </c>
      <c r="CL129" s="833"/>
      <c r="CM129" s="833"/>
      <c r="CN129" s="713">
        <f>IF(CL129=0,0,(CM129-CL129)/CL129*100)</f>
        <v>0</v>
      </c>
      <c r="CO129" s="833"/>
      <c r="CP129" s="833"/>
      <c r="CQ129" s="713">
        <f>IF(CO129=0,0,(CP129-CO129)/CO129*100)</f>
        <v>0</v>
      </c>
      <c r="CR129" s="833"/>
      <c r="CS129" s="833"/>
      <c r="CT129" s="713">
        <f>IF(CR129=0,0,(CS129-CR129)/CR129*100)</f>
        <v>0</v>
      </c>
      <c r="CU129" s="833"/>
      <c r="CV129" s="833"/>
      <c r="CW129" s="713">
        <f>IF(CU129=0,0,(CV129-CU129)/CU129*100)</f>
        <v>0</v>
      </c>
      <c r="CX129" s="833"/>
      <c r="CY129" s="833"/>
      <c r="CZ129" s="713">
        <f>IF(CX129=0,0,(CY129-CX129)/CX129*100)</f>
        <v>0</v>
      </c>
      <c r="DA129" s="833"/>
      <c r="DB129" s="833"/>
      <c r="DC129" s="713">
        <f>IF(DA129=0,0,(DB129-DA129)/DA129*100)</f>
        <v>0</v>
      </c>
      <c r="DD129" s="833"/>
      <c r="DE129" s="833"/>
      <c r="DF129" s="713">
        <f>IF(DD129=0,0,(DE129-DD129)/DD129*100)</f>
        <v>0</v>
      </c>
      <c r="DG129" s="833"/>
      <c r="DH129" s="833"/>
      <c r="DI129" s="713">
        <f>IF(DG129=0,0,(DH129-DG129)/DG129*100)</f>
        <v>0</v>
      </c>
      <c r="DJ129" s="833"/>
      <c r="DK129" s="833"/>
      <c r="DL129" s="713">
        <f>IF(DJ129=0,0,(DK129-DJ129)/DJ129*100)</f>
        <v>0</v>
      </c>
      <c r="DM129" s="833"/>
      <c r="DN129" s="833"/>
      <c r="DO129" s="713">
        <f>IF(DM129=0,0,(DN129-DM129)/DM129*100)</f>
        <v>0</v>
      </c>
      <c r="DP129" s="833"/>
      <c r="DQ129" s="833"/>
      <c r="DR129" s="713">
        <f>IF(DP129=0,0,(DQ129-DP129)/DP129*100)</f>
        <v>0</v>
      </c>
      <c r="DS129" s="833"/>
      <c r="DT129" s="833"/>
      <c r="DU129" s="713">
        <f>IF(DS129=0,0,(DT129-DS129)/DS129*100)</f>
        <v>0</v>
      </c>
      <c r="DV129" s="833"/>
      <c r="DW129" s="833"/>
      <c r="DX129" s="713">
        <f>IF(DV129=0,0,(DW129-DV129)/DV129*100)</f>
        <v>0</v>
      </c>
      <c r="DY129" s="833"/>
      <c r="DZ129" s="833"/>
      <c r="EA129" s="713">
        <f>IF(DY129=0,0,(DZ129-DY129)/DY129*100)</f>
        <v>0</v>
      </c>
      <c r="EB129" s="833"/>
      <c r="EC129" s="833"/>
      <c r="ED129" s="713">
        <f>IF(EB129=0,0,(EC129-EB129)/EB129*100)</f>
        <v>0</v>
      </c>
      <c r="EE129" s="833"/>
      <c r="EF129" s="833"/>
      <c r="EG129" s="713">
        <f>IF(EE129=0,0,(EF129-EE129)/EE129*100)</f>
        <v>0</v>
      </c>
      <c r="EH129" s="833"/>
      <c r="EI129" s="833"/>
      <c r="EJ129" s="713">
        <f>IF(EH129=0,0,(EI129-EH129)/EH129*100)</f>
        <v>0</v>
      </c>
      <c r="EK129" s="833"/>
      <c r="EL129" s="833"/>
      <c r="EM129" s="713">
        <f>IF(EK129=0,0,(EL129-EK129)/EK129*100)</f>
        <v>0</v>
      </c>
      <c r="EN129" s="833"/>
      <c r="EO129" s="833"/>
      <c r="EP129" s="713">
        <f>IF(EN129=0,0,(EO129-EN129)/EN129*100)</f>
        <v>0</v>
      </c>
      <c r="EQ129" s="833"/>
      <c r="ER129" s="833"/>
      <c r="ES129" s="713">
        <f>IF(EQ129=0,0,(ER129-EQ129)/EQ129*100)</f>
        <v>0</v>
      </c>
      <c r="ET129" s="833"/>
      <c r="EU129" s="833"/>
      <c r="EV129" s="713">
        <f>IF(ET129=0,0,(EU129-ET129)/ET129*100)</f>
        <v>0</v>
      </c>
      <c r="EW129" s="833"/>
      <c r="EX129" s="833"/>
      <c r="EY129" s="713">
        <f>IF(EW129=0,0,(EX129-EW129)/EW129*100)</f>
        <v>0</v>
      </c>
      <c r="EZ129" s="833"/>
      <c r="FA129" s="833"/>
      <c r="FB129" s="713">
        <f>IF(EZ129=0,0,(FA129-EZ129)/EZ129*100)</f>
        <v>0</v>
      </c>
      <c r="FC129" s="833"/>
      <c r="FD129" s="833"/>
      <c r="FE129" s="713">
        <f>IF(FC129=0,0,(FD129-FC129)/FC129*100)</f>
        <v>0</v>
      </c>
      <c r="FF129" s="833"/>
      <c r="FG129" s="833"/>
      <c r="FH129" s="713">
        <f>IF(FF129=0,0,(FG129-FF129)/FF129*100)</f>
        <v>0</v>
      </c>
      <c r="FI129" s="833"/>
      <c r="FJ129" s="833"/>
      <c r="FK129" s="713">
        <f>IF(FI129=0,0,(FJ129-FI129)/FI129*100)</f>
        <v>0</v>
      </c>
      <c r="FL129" s="833"/>
      <c r="FM129" s="833"/>
      <c r="FN129" s="713">
        <f>IF(FL129=0,0,(FM129-FL129)/FL129*100)</f>
        <v>0</v>
      </c>
      <c r="FO129" s="833"/>
      <c r="FP129" s="833"/>
      <c r="FQ129" s="713">
        <f>IF(FO129=0,0,(FP129-FO129)/FO129*100)</f>
        <v>0</v>
      </c>
      <c r="FR129" s="833"/>
      <c r="FS129" s="833"/>
      <c r="FT129" s="713">
        <f>IF(FR129=0,0,(FS129-FR129)/FR129*100)</f>
        <v>0</v>
      </c>
      <c r="FU129" s="833"/>
      <c r="FV129" s="833"/>
      <c r="FW129" s="713">
        <f>IF(FU129=0,0,(FV129-FU129)/FU129*100)</f>
        <v>0</v>
      </c>
      <c r="FZ129" s="689" t="s">
        <v>1716</v>
      </c>
      <c r="GA129" s="669" t="s">
        <v>899</v>
      </c>
      <c r="GB129" s="669" cm="1">
        <f t="array" ref="GB129">GB128</f>
        <v>0</v>
      </c>
    </row>
    <row r="130" spans="1:186" ht="21.75" hidden="1" customHeight="1">
      <c r="A130" s="59"/>
      <c r="B130" s="611" t="b" cm="1">
        <f t="array" ref="B130">B129</f>
        <v>0</v>
      </c>
      <c r="C130" s="59"/>
      <c r="D130" s="59"/>
      <c r="E130" s="460">
        <v>22.5</v>
      </c>
      <c r="F130" s="3" t="str" cm="1">
        <f t="array" aca="1" ref="F130" ca="1">OFFSET(E130,-1,1)</f>
        <v>1</v>
      </c>
      <c r="G130" s="59"/>
      <c r="H130" s="59" t="s">
        <v>1686</v>
      </c>
      <c r="I130" s="59" cm="1">
        <f t="array" ref="I130">I129</f>
        <v>0</v>
      </c>
      <c r="J130" s="59"/>
      <c r="K130" s="59"/>
      <c r="L130" s="59"/>
      <c r="M130" s="59"/>
      <c r="N130" s="59"/>
      <c r="O130" s="59"/>
      <c r="P130" s="59"/>
      <c r="Q130" s="59"/>
      <c r="R130" s="59"/>
      <c r="S130" s="59"/>
      <c r="T130" s="351" t="b" cm="1">
        <f t="array" aca="1" ref="T130" ca="1">T129</f>
        <v>0</v>
      </c>
      <c r="U130" s="59"/>
      <c r="V130" s="59"/>
      <c r="W130" s="59"/>
      <c r="X130" s="1046"/>
      <c r="Y130" s="1046"/>
      <c r="Z130" s="1007"/>
      <c r="AA130" s="995"/>
      <c r="AB130"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12" t="s">
        <v>1687</v>
      </c>
      <c r="AD130" s="817"/>
      <c r="AE130" s="817"/>
      <c r="AF130" s="712">
        <f>IF(AD130=0,0,(AE130-AD130)/AD130*100)</f>
        <v>0</v>
      </c>
      <c r="AG130" s="57"/>
      <c r="AH130" s="57"/>
      <c r="AI130" s="712">
        <f>IF(AG130=0,0,(AH130-AG130)/AG130*100)</f>
        <v>0</v>
      </c>
      <c r="AJ130" s="57"/>
      <c r="AK130" s="57"/>
      <c r="AL130" s="712">
        <f>IF(AJ130=0,0,(AK130-AJ130)/AJ130*100)</f>
        <v>0</v>
      </c>
      <c r="AM130" s="817"/>
      <c r="AN130" s="817"/>
      <c r="AO130" s="712">
        <f>IF(AM130=0,0,(AN130-AM130)/AM130*100)</f>
        <v>0</v>
      </c>
      <c r="AP130" s="817"/>
      <c r="AQ130" s="817"/>
      <c r="AR130" s="712">
        <f>IF(AP130=0,0,(AQ130-AP130)/AP130*100)</f>
        <v>0</v>
      </c>
      <c r="AS130" s="817"/>
      <c r="AT130" s="817"/>
      <c r="AU130" s="712">
        <f>IF(AS130=0,0,(AT130-AS130)/AS130*100)</f>
        <v>0</v>
      </c>
      <c r="AV130" s="817"/>
      <c r="AW130" s="817"/>
      <c r="AX130" s="712">
        <f>IF(AV130=0,0,(AW130-AV130)/AV130*100)</f>
        <v>0</v>
      </c>
      <c r="AY130" s="817"/>
      <c r="AZ130" s="817"/>
      <c r="BA130" s="712">
        <f>IF(AY130=0,0,(AZ130-AY130)/AY130*100)</f>
        <v>0</v>
      </c>
      <c r="BB130" s="817"/>
      <c r="BC130" s="817"/>
      <c r="BD130" s="712">
        <f>IF(BB130=0,0,(BC130-BB130)/BB130*100)</f>
        <v>0</v>
      </c>
      <c r="BE130" s="817"/>
      <c r="BF130" s="817"/>
      <c r="BG130" s="712">
        <f>IF(BE130=0,0,(BF130-BE130)/BE130*100)</f>
        <v>0</v>
      </c>
      <c r="BH130" s="817"/>
      <c r="BI130" s="817"/>
      <c r="BJ130" s="712">
        <f>IF(BH130=0,0,(BI130-BH130)/BH130*100)</f>
        <v>0</v>
      </c>
      <c r="BK130" s="817"/>
      <c r="BL130" s="817"/>
      <c r="BM130" s="712">
        <f>IF(BK130=0,0,(BL130-BK130)/BK130*100)</f>
        <v>0</v>
      </c>
      <c r="BN130" s="817"/>
      <c r="BO130" s="817"/>
      <c r="BP130" s="712">
        <f>IF(BN130=0,0,(BO130-BN130)/BN130*100)</f>
        <v>0</v>
      </c>
      <c r="BQ130" s="817"/>
      <c r="BR130" s="817"/>
      <c r="BS130" s="712">
        <f>IF(BQ130=0,0,(BR130-BQ130)/BQ130*100)</f>
        <v>0</v>
      </c>
      <c r="BT130" s="817"/>
      <c r="BU130" s="817"/>
      <c r="BV130" s="712">
        <f>IF(BT130=0,0,(BU130-BT130)/BT130*100)</f>
        <v>0</v>
      </c>
      <c r="BW130" s="817"/>
      <c r="BX130" s="817"/>
      <c r="BY130" s="712">
        <f>IF(BW130=0,0,(BX130-BW130)/BW130*100)</f>
        <v>0</v>
      </c>
      <c r="BZ130" s="817"/>
      <c r="CA130" s="817"/>
      <c r="CB130" s="712">
        <f>IF(BZ130=0,0,(CA130-BZ130)/BZ130*100)</f>
        <v>0</v>
      </c>
      <c r="CC130" s="817"/>
      <c r="CD130" s="817"/>
      <c r="CE130" s="712">
        <f>IF(CC130=0,0,(CD130-CC130)/CC130*100)</f>
        <v>0</v>
      </c>
      <c r="CF130" s="817"/>
      <c r="CG130" s="817"/>
      <c r="CH130" s="712">
        <f>IF(CF130=0,0,(CG130-CF130)/CF130*100)</f>
        <v>0</v>
      </c>
      <c r="CI130" s="817"/>
      <c r="CJ130" s="817"/>
      <c r="CK130" s="712">
        <f>IF(CI130=0,0,(CJ130-CI130)/CI130*100)</f>
        <v>0</v>
      </c>
      <c r="CL130" s="817"/>
      <c r="CM130" s="817"/>
      <c r="CN130" s="712">
        <f>IF(CL130=0,0,(CM130-CL130)/CL130*100)</f>
        <v>0</v>
      </c>
      <c r="CO130" s="817"/>
      <c r="CP130" s="817"/>
      <c r="CQ130" s="712">
        <f>IF(CO130=0,0,(CP130-CO130)/CO130*100)</f>
        <v>0</v>
      </c>
      <c r="CR130" s="817"/>
      <c r="CS130" s="817"/>
      <c r="CT130" s="712">
        <f>IF(CR130=0,0,(CS130-CR130)/CR130*100)</f>
        <v>0</v>
      </c>
      <c r="CU130" s="817"/>
      <c r="CV130" s="817"/>
      <c r="CW130" s="712">
        <f>IF(CU130=0,0,(CV130-CU130)/CU130*100)</f>
        <v>0</v>
      </c>
      <c r="CX130" s="817"/>
      <c r="CY130" s="817"/>
      <c r="CZ130" s="712">
        <f>IF(CX130=0,0,(CY130-CX130)/CX130*100)</f>
        <v>0</v>
      </c>
      <c r="DA130" s="817"/>
      <c r="DB130" s="817"/>
      <c r="DC130" s="712">
        <f>IF(DA130=0,0,(DB130-DA130)/DA130*100)</f>
        <v>0</v>
      </c>
      <c r="DD130" s="817"/>
      <c r="DE130" s="817"/>
      <c r="DF130" s="712">
        <f>IF(DD130=0,0,(DE130-DD130)/DD130*100)</f>
        <v>0</v>
      </c>
      <c r="DG130" s="817"/>
      <c r="DH130" s="817"/>
      <c r="DI130" s="712">
        <f>IF(DG130=0,0,(DH130-DG130)/DG130*100)</f>
        <v>0</v>
      </c>
      <c r="DJ130" s="817"/>
      <c r="DK130" s="817"/>
      <c r="DL130" s="712">
        <f>IF(DJ130=0,0,(DK130-DJ130)/DJ130*100)</f>
        <v>0</v>
      </c>
      <c r="DM130" s="817"/>
      <c r="DN130" s="817"/>
      <c r="DO130" s="712">
        <f>IF(DM130=0,0,(DN130-DM130)/DM130*100)</f>
        <v>0</v>
      </c>
      <c r="DP130" s="817"/>
      <c r="DQ130" s="817"/>
      <c r="DR130" s="712">
        <f>IF(DP130=0,0,(DQ130-DP130)/DP130*100)</f>
        <v>0</v>
      </c>
      <c r="DS130" s="817"/>
      <c r="DT130" s="817"/>
      <c r="DU130" s="712">
        <f>IF(DS130=0,0,(DT130-DS130)/DS130*100)</f>
        <v>0</v>
      </c>
      <c r="DV130" s="817"/>
      <c r="DW130" s="817"/>
      <c r="DX130" s="712">
        <f>IF(DV130=0,0,(DW130-DV130)/DV130*100)</f>
        <v>0</v>
      </c>
      <c r="DY130" s="817"/>
      <c r="DZ130" s="817"/>
      <c r="EA130" s="712">
        <f>IF(DY130=0,0,(DZ130-DY130)/DY130*100)</f>
        <v>0</v>
      </c>
      <c r="EB130" s="817"/>
      <c r="EC130" s="817"/>
      <c r="ED130" s="712">
        <f>IF(EB130=0,0,(EC130-EB130)/EB130*100)</f>
        <v>0</v>
      </c>
      <c r="EE130" s="817"/>
      <c r="EF130" s="817"/>
      <c r="EG130" s="712">
        <f>IF(EE130=0,0,(EF130-EE130)/EE130*100)</f>
        <v>0</v>
      </c>
      <c r="EH130" s="817"/>
      <c r="EI130" s="817"/>
      <c r="EJ130" s="712">
        <f>IF(EH130=0,0,(EI130-EH130)/EH130*100)</f>
        <v>0</v>
      </c>
      <c r="EK130" s="817"/>
      <c r="EL130" s="817"/>
      <c r="EM130" s="712">
        <f>IF(EK130=0,0,(EL130-EK130)/EK130*100)</f>
        <v>0</v>
      </c>
      <c r="EN130" s="817"/>
      <c r="EO130" s="817"/>
      <c r="EP130" s="712">
        <f>IF(EN130=0,0,(EO130-EN130)/EN130*100)</f>
        <v>0</v>
      </c>
      <c r="EQ130" s="817"/>
      <c r="ER130" s="817"/>
      <c r="ES130" s="712">
        <f>IF(EQ130=0,0,(ER130-EQ130)/EQ130*100)</f>
        <v>0</v>
      </c>
      <c r="ET130" s="817"/>
      <c r="EU130" s="817"/>
      <c r="EV130" s="712">
        <f>IF(ET130=0,0,(EU130-ET130)/ET130*100)</f>
        <v>0</v>
      </c>
      <c r="EW130" s="817"/>
      <c r="EX130" s="817"/>
      <c r="EY130" s="712">
        <f>IF(EW130=0,0,(EX130-EW130)/EW130*100)</f>
        <v>0</v>
      </c>
      <c r="EZ130" s="817"/>
      <c r="FA130" s="817"/>
      <c r="FB130" s="712">
        <f>IF(EZ130=0,0,(FA130-EZ130)/EZ130*100)</f>
        <v>0</v>
      </c>
      <c r="FC130" s="817"/>
      <c r="FD130" s="817"/>
      <c r="FE130" s="712">
        <f>IF(FC130=0,0,(FD130-FC130)/FC130*100)</f>
        <v>0</v>
      </c>
      <c r="FF130" s="817"/>
      <c r="FG130" s="817"/>
      <c r="FH130" s="712">
        <f>IF(FF130=0,0,(FG130-FF130)/FF130*100)</f>
        <v>0</v>
      </c>
      <c r="FI130" s="817"/>
      <c r="FJ130" s="817"/>
      <c r="FK130" s="712">
        <f>IF(FI130=0,0,(FJ130-FI130)/FI130*100)</f>
        <v>0</v>
      </c>
      <c r="FL130" s="817"/>
      <c r="FM130" s="817"/>
      <c r="FN130" s="712">
        <f>IF(FL130=0,0,(FM130-FL130)/FL130*100)</f>
        <v>0</v>
      </c>
      <c r="FO130" s="817"/>
      <c r="FP130" s="817"/>
      <c r="FQ130" s="712">
        <f>IF(FO130=0,0,(FP130-FO130)/FO130*100)</f>
        <v>0</v>
      </c>
      <c r="FR130" s="817"/>
      <c r="FS130" s="817"/>
      <c r="FT130" s="712">
        <f>IF(FR130=0,0,(FS130-FR130)/FR130*100)</f>
        <v>0</v>
      </c>
      <c r="FU130" s="817"/>
      <c r="FV130" s="817"/>
      <c r="FW130" s="712">
        <f>IF(FU130=0,0,(FV130-FU130)/FU130*100)</f>
        <v>0</v>
      </c>
      <c r="FZ130" s="689" t="s">
        <v>1717</v>
      </c>
      <c r="GA130" s="669" t="s">
        <v>899</v>
      </c>
      <c r="GB130" s="669" cm="1">
        <f t="array" ref="GB130">GB129</f>
        <v>0</v>
      </c>
    </row>
    <row r="131" spans="1:186" ht="14.25" hidden="1" customHeight="1">
      <c r="A131" s="59"/>
      <c r="B131" s="611" t="b" cm="1">
        <f t="array" ref="B131">B130</f>
        <v>0</v>
      </c>
      <c r="C131" s="59"/>
      <c r="D131" s="59"/>
      <c r="E131" s="460">
        <v>15</v>
      </c>
      <c r="F131" s="3" t="str" cm="1">
        <f t="array" aca="1" ref="F131" ca="1">OFFSET(E131,-1,1)</f>
        <v>1</v>
      </c>
      <c r="G131" s="59"/>
      <c r="H131" s="59" t="s">
        <v>1689</v>
      </c>
      <c r="I131" s="59" cm="1">
        <f t="array" ref="I131">I130</f>
        <v>0</v>
      </c>
      <c r="J131" s="59"/>
      <c r="K131" s="59"/>
      <c r="L131" s="59"/>
      <c r="M131" s="59"/>
      <c r="N131" s="59"/>
      <c r="O131" s="59"/>
      <c r="P131" s="59"/>
      <c r="Q131" s="59"/>
      <c r="R131" s="59"/>
      <c r="S131" s="59"/>
      <c r="T131" s="351" t="b" cm="1">
        <f t="array" aca="1" ref="T131" ca="1">T130</f>
        <v>0</v>
      </c>
      <c r="U131" s="59"/>
      <c r="V131" s="59"/>
      <c r="W131" s="59"/>
      <c r="X131" s="1046"/>
      <c r="Y131" s="1046"/>
      <c r="Z131" s="1007"/>
      <c r="AA131" s="995"/>
      <c r="AB131" s="105" t="s">
        <v>1690</v>
      </c>
      <c r="AC131" s="12" t="s">
        <v>1691</v>
      </c>
      <c r="AD131" s="817"/>
      <c r="AE131" s="817"/>
      <c r="AF131" s="712">
        <f>IF(AD131=0,0,(AE131-AD131)/AD131*100)</f>
        <v>0</v>
      </c>
      <c r="AG131" s="57"/>
      <c r="AH131" s="57"/>
      <c r="AI131" s="712">
        <f>IF(AG131=0,0,(AH131-AG131)/AG131*100)</f>
        <v>0</v>
      </c>
      <c r="AJ131" s="57"/>
      <c r="AK131" s="57"/>
      <c r="AL131" s="712">
        <f>IF(AJ131=0,0,(AK131-AJ131)/AJ131*100)</f>
        <v>0</v>
      </c>
      <c r="AM131" s="817"/>
      <c r="AN131" s="817"/>
      <c r="AO131" s="712">
        <f>IF(AM131=0,0,(AN131-AM131)/AM131*100)</f>
        <v>0</v>
      </c>
      <c r="AP131" s="817"/>
      <c r="AQ131" s="817"/>
      <c r="AR131" s="712">
        <f>IF(AP131=0,0,(AQ131-AP131)/AP131*100)</f>
        <v>0</v>
      </c>
      <c r="AS131" s="817"/>
      <c r="AT131" s="817"/>
      <c r="AU131" s="712">
        <f>IF(AS131=0,0,(AT131-AS131)/AS131*100)</f>
        <v>0</v>
      </c>
      <c r="AV131" s="817"/>
      <c r="AW131" s="817"/>
      <c r="AX131" s="712">
        <f>IF(AV131=0,0,(AW131-AV131)/AV131*100)</f>
        <v>0</v>
      </c>
      <c r="AY131" s="817"/>
      <c r="AZ131" s="817"/>
      <c r="BA131" s="712">
        <f>IF(AY131=0,0,(AZ131-AY131)/AY131*100)</f>
        <v>0</v>
      </c>
      <c r="BB131" s="817"/>
      <c r="BC131" s="817"/>
      <c r="BD131" s="712">
        <f>IF(BB131=0,0,(BC131-BB131)/BB131*100)</f>
        <v>0</v>
      </c>
      <c r="BE131" s="817"/>
      <c r="BF131" s="817"/>
      <c r="BG131" s="712">
        <f>IF(BE131=0,0,(BF131-BE131)/BE131*100)</f>
        <v>0</v>
      </c>
      <c r="BH131" s="817"/>
      <c r="BI131" s="817"/>
      <c r="BJ131" s="712">
        <f>IF(BH131=0,0,(BI131-BH131)/BH131*100)</f>
        <v>0</v>
      </c>
      <c r="BK131" s="817"/>
      <c r="BL131" s="817"/>
      <c r="BM131" s="712">
        <f>IF(BK131=0,0,(BL131-BK131)/BK131*100)</f>
        <v>0</v>
      </c>
      <c r="BN131" s="817"/>
      <c r="BO131" s="817"/>
      <c r="BP131" s="712">
        <f>IF(BN131=0,0,(BO131-BN131)/BN131*100)</f>
        <v>0</v>
      </c>
      <c r="BQ131" s="817"/>
      <c r="BR131" s="817"/>
      <c r="BS131" s="712">
        <f>IF(BQ131=0,0,(BR131-BQ131)/BQ131*100)</f>
        <v>0</v>
      </c>
      <c r="BT131" s="817"/>
      <c r="BU131" s="817"/>
      <c r="BV131" s="712">
        <f>IF(BT131=0,0,(BU131-BT131)/BT131*100)</f>
        <v>0</v>
      </c>
      <c r="BW131" s="817"/>
      <c r="BX131" s="817"/>
      <c r="BY131" s="712">
        <f>IF(BW131=0,0,(BX131-BW131)/BW131*100)</f>
        <v>0</v>
      </c>
      <c r="BZ131" s="817"/>
      <c r="CA131" s="817"/>
      <c r="CB131" s="712">
        <f>IF(BZ131=0,0,(CA131-BZ131)/BZ131*100)</f>
        <v>0</v>
      </c>
      <c r="CC131" s="817"/>
      <c r="CD131" s="817"/>
      <c r="CE131" s="712">
        <f>IF(CC131=0,0,(CD131-CC131)/CC131*100)</f>
        <v>0</v>
      </c>
      <c r="CF131" s="817"/>
      <c r="CG131" s="817"/>
      <c r="CH131" s="712">
        <f>IF(CF131=0,0,(CG131-CF131)/CF131*100)</f>
        <v>0</v>
      </c>
      <c r="CI131" s="817"/>
      <c r="CJ131" s="817"/>
      <c r="CK131" s="712">
        <f>IF(CI131=0,0,(CJ131-CI131)/CI131*100)</f>
        <v>0</v>
      </c>
      <c r="CL131" s="817"/>
      <c r="CM131" s="817"/>
      <c r="CN131" s="712">
        <f>IF(CL131=0,0,(CM131-CL131)/CL131*100)</f>
        <v>0</v>
      </c>
      <c r="CO131" s="817"/>
      <c r="CP131" s="817"/>
      <c r="CQ131" s="712">
        <f>IF(CO131=0,0,(CP131-CO131)/CO131*100)</f>
        <v>0</v>
      </c>
      <c r="CR131" s="817"/>
      <c r="CS131" s="817"/>
      <c r="CT131" s="712">
        <f>IF(CR131=0,0,(CS131-CR131)/CR131*100)</f>
        <v>0</v>
      </c>
      <c r="CU131" s="817"/>
      <c r="CV131" s="817"/>
      <c r="CW131" s="712">
        <f>IF(CU131=0,0,(CV131-CU131)/CU131*100)</f>
        <v>0</v>
      </c>
      <c r="CX131" s="817"/>
      <c r="CY131" s="817"/>
      <c r="CZ131" s="712">
        <f>IF(CX131=0,0,(CY131-CX131)/CX131*100)</f>
        <v>0</v>
      </c>
      <c r="DA131" s="817"/>
      <c r="DB131" s="817"/>
      <c r="DC131" s="712">
        <f>IF(DA131=0,0,(DB131-DA131)/DA131*100)</f>
        <v>0</v>
      </c>
      <c r="DD131" s="817"/>
      <c r="DE131" s="817"/>
      <c r="DF131" s="712">
        <f>IF(DD131=0,0,(DE131-DD131)/DD131*100)</f>
        <v>0</v>
      </c>
      <c r="DG131" s="817"/>
      <c r="DH131" s="817"/>
      <c r="DI131" s="712">
        <f>IF(DG131=0,0,(DH131-DG131)/DG131*100)</f>
        <v>0</v>
      </c>
      <c r="DJ131" s="817"/>
      <c r="DK131" s="817"/>
      <c r="DL131" s="712">
        <f>IF(DJ131=0,0,(DK131-DJ131)/DJ131*100)</f>
        <v>0</v>
      </c>
      <c r="DM131" s="817"/>
      <c r="DN131" s="817"/>
      <c r="DO131" s="712">
        <f>IF(DM131=0,0,(DN131-DM131)/DM131*100)</f>
        <v>0</v>
      </c>
      <c r="DP131" s="817"/>
      <c r="DQ131" s="817"/>
      <c r="DR131" s="712">
        <f>IF(DP131=0,0,(DQ131-DP131)/DP131*100)</f>
        <v>0</v>
      </c>
      <c r="DS131" s="817"/>
      <c r="DT131" s="817"/>
      <c r="DU131" s="712">
        <f>IF(DS131=0,0,(DT131-DS131)/DS131*100)</f>
        <v>0</v>
      </c>
      <c r="DV131" s="817"/>
      <c r="DW131" s="817"/>
      <c r="DX131" s="712">
        <f>IF(DV131=0,0,(DW131-DV131)/DV131*100)</f>
        <v>0</v>
      </c>
      <c r="DY131" s="817"/>
      <c r="DZ131" s="817"/>
      <c r="EA131" s="712">
        <f>IF(DY131=0,0,(DZ131-DY131)/DY131*100)</f>
        <v>0</v>
      </c>
      <c r="EB131" s="817"/>
      <c r="EC131" s="817"/>
      <c r="ED131" s="712">
        <f>IF(EB131=0,0,(EC131-EB131)/EB131*100)</f>
        <v>0</v>
      </c>
      <c r="EE131" s="817"/>
      <c r="EF131" s="817"/>
      <c r="EG131" s="712">
        <f>IF(EE131=0,0,(EF131-EE131)/EE131*100)</f>
        <v>0</v>
      </c>
      <c r="EH131" s="817"/>
      <c r="EI131" s="817"/>
      <c r="EJ131" s="712">
        <f>IF(EH131=0,0,(EI131-EH131)/EH131*100)</f>
        <v>0</v>
      </c>
      <c r="EK131" s="817"/>
      <c r="EL131" s="817"/>
      <c r="EM131" s="712">
        <f>IF(EK131=0,0,(EL131-EK131)/EK131*100)</f>
        <v>0</v>
      </c>
      <c r="EN131" s="817"/>
      <c r="EO131" s="817"/>
      <c r="EP131" s="712">
        <f>IF(EN131=0,0,(EO131-EN131)/EN131*100)</f>
        <v>0</v>
      </c>
      <c r="EQ131" s="817"/>
      <c r="ER131" s="817"/>
      <c r="ES131" s="712">
        <f>IF(EQ131=0,0,(ER131-EQ131)/EQ131*100)</f>
        <v>0</v>
      </c>
      <c r="ET131" s="817"/>
      <c r="EU131" s="817"/>
      <c r="EV131" s="712">
        <f>IF(ET131=0,0,(EU131-ET131)/ET131*100)</f>
        <v>0</v>
      </c>
      <c r="EW131" s="817"/>
      <c r="EX131" s="817"/>
      <c r="EY131" s="712">
        <f>IF(EW131=0,0,(EX131-EW131)/EW131*100)</f>
        <v>0</v>
      </c>
      <c r="EZ131" s="817"/>
      <c r="FA131" s="817"/>
      <c r="FB131" s="712">
        <f>IF(EZ131=0,0,(FA131-EZ131)/EZ131*100)</f>
        <v>0</v>
      </c>
      <c r="FC131" s="817"/>
      <c r="FD131" s="817"/>
      <c r="FE131" s="712">
        <f>IF(FC131=0,0,(FD131-FC131)/FC131*100)</f>
        <v>0</v>
      </c>
      <c r="FF131" s="817"/>
      <c r="FG131" s="817"/>
      <c r="FH131" s="712">
        <f>IF(FF131=0,0,(FG131-FF131)/FF131*100)</f>
        <v>0</v>
      </c>
      <c r="FI131" s="817"/>
      <c r="FJ131" s="817"/>
      <c r="FK131" s="712">
        <f>IF(FI131=0,0,(FJ131-FI131)/FI131*100)</f>
        <v>0</v>
      </c>
      <c r="FL131" s="817"/>
      <c r="FM131" s="817"/>
      <c r="FN131" s="712">
        <f>IF(FL131=0,0,(FM131-FL131)/FL131*100)</f>
        <v>0</v>
      </c>
      <c r="FO131" s="817"/>
      <c r="FP131" s="817"/>
      <c r="FQ131" s="712">
        <f>IF(FO131=0,0,(FP131-FO131)/FO131*100)</f>
        <v>0</v>
      </c>
      <c r="FR131" s="817"/>
      <c r="FS131" s="817"/>
      <c r="FT131" s="712">
        <f>IF(FR131=0,0,(FS131-FR131)/FR131*100)</f>
        <v>0</v>
      </c>
      <c r="FU131" s="817"/>
      <c r="FV131" s="817"/>
      <c r="FW131" s="712">
        <f>IF(FU131=0,0,(FV131-FU131)/FU131*100)</f>
        <v>0</v>
      </c>
      <c r="FZ131" s="689" t="s">
        <v>1718</v>
      </c>
      <c r="GA131" s="669" t="s">
        <v>899</v>
      </c>
      <c r="GB131" s="669" cm="1">
        <f t="array" ref="GB131">GB130</f>
        <v>0</v>
      </c>
    </row>
    <row r="132" spans="1:186" ht="14.25" hidden="1" customHeight="1">
      <c r="A132" s="59"/>
      <c r="B132" s="611" t="b" cm="1">
        <f t="array" ref="B132">B131</f>
        <v>0</v>
      </c>
      <c r="C132" s="59"/>
      <c r="D132" s="59"/>
      <c r="E132" s="460">
        <v>15</v>
      </c>
      <c r="F132" s="3" t="str" cm="1">
        <f t="array" aca="1" ref="F132" ca="1">OFFSET(E132,-1,1)</f>
        <v>1</v>
      </c>
      <c r="G132" s="59"/>
      <c r="H132" s="59"/>
      <c r="I132" s="17" t="s">
        <v>1719</v>
      </c>
      <c r="J132" s="59"/>
      <c r="K132" s="59"/>
      <c r="L132" s="59"/>
      <c r="M132" s="59"/>
      <c r="N132" s="59"/>
      <c r="O132" s="59"/>
      <c r="P132" s="59"/>
      <c r="Q132" s="59"/>
      <c r="R132" s="59"/>
      <c r="S132" s="59"/>
      <c r="T132" s="351" t="b">
        <f ca="1">F132&gt;0</f>
        <v>1</v>
      </c>
      <c r="U132" s="59"/>
      <c r="W132" s="515" t="s">
        <v>1677</v>
      </c>
      <c r="X132" s="1046"/>
      <c r="Z132" s="1007"/>
      <c r="AB132" s="171" t="s">
        <v>175</v>
      </c>
      <c r="AC132" s="175"/>
      <c r="AD132" s="715"/>
      <c r="AE132" s="715"/>
      <c r="AF132" s="715"/>
      <c r="AG132" s="715"/>
      <c r="AH132" s="715"/>
      <c r="AI132" s="715"/>
      <c r="AJ132" s="715"/>
      <c r="AK132" s="715"/>
      <c r="AL132" s="715"/>
      <c r="AM132" s="715"/>
      <c r="AN132" s="715"/>
      <c r="AO132" s="715"/>
      <c r="AP132" s="715"/>
      <c r="AQ132" s="715"/>
      <c r="AR132" s="715"/>
      <c r="AS132" s="715"/>
      <c r="AT132" s="715"/>
      <c r="AU132" s="715"/>
      <c r="AV132" s="715"/>
      <c r="AW132" s="715"/>
      <c r="AX132" s="715"/>
      <c r="AY132" s="715"/>
      <c r="AZ132" s="715"/>
      <c r="BA132" s="715"/>
      <c r="BB132" s="715"/>
      <c r="BC132" s="715"/>
      <c r="BD132" s="715"/>
      <c r="BE132" s="715"/>
      <c r="BF132" s="715"/>
      <c r="BG132" s="715"/>
      <c r="BH132" s="715"/>
      <c r="BI132" s="715"/>
      <c r="BJ132" s="715"/>
      <c r="BK132" s="715"/>
      <c r="BL132" s="715"/>
      <c r="BM132" s="715"/>
      <c r="BN132" s="715"/>
      <c r="BO132" s="715"/>
      <c r="BP132" s="715"/>
      <c r="BQ132" s="715"/>
      <c r="BR132" s="715"/>
      <c r="BS132" s="715"/>
      <c r="BT132" s="715"/>
      <c r="BU132" s="715"/>
      <c r="BV132" s="715"/>
      <c r="BW132" s="715"/>
      <c r="BX132" s="715"/>
      <c r="BY132" s="715"/>
      <c r="BZ132" s="715"/>
      <c r="CA132" s="715"/>
      <c r="CB132" s="715"/>
      <c r="CC132" s="715"/>
      <c r="CD132" s="715"/>
      <c r="CE132" s="715"/>
      <c r="CF132" s="715"/>
      <c r="CG132" s="715"/>
      <c r="CH132" s="715"/>
      <c r="CI132" s="715"/>
      <c r="CJ132" s="715"/>
      <c r="CK132" s="715"/>
      <c r="CL132" s="715"/>
      <c r="CM132" s="715"/>
      <c r="CN132" s="715"/>
      <c r="CO132" s="715"/>
      <c r="CP132" s="715"/>
      <c r="CQ132" s="715"/>
      <c r="CR132" s="715"/>
      <c r="CS132" s="715"/>
      <c r="CT132" s="715"/>
      <c r="CU132" s="715"/>
      <c r="CV132" s="715"/>
      <c r="CW132" s="715"/>
      <c r="CX132" s="715"/>
      <c r="CY132" s="715"/>
      <c r="CZ132" s="715"/>
      <c r="DA132" s="715"/>
      <c r="DB132" s="715"/>
      <c r="DC132" s="715"/>
      <c r="DD132" s="715"/>
      <c r="DE132" s="715"/>
      <c r="DF132" s="715"/>
      <c r="DG132" s="715"/>
      <c r="DH132" s="715"/>
      <c r="DI132" s="715"/>
      <c r="DJ132" s="715"/>
      <c r="DK132" s="715"/>
      <c r="DL132" s="715"/>
      <c r="DM132" s="715"/>
      <c r="DN132" s="715"/>
      <c r="DO132" s="715"/>
      <c r="DP132" s="715"/>
      <c r="DQ132" s="715"/>
      <c r="DR132" s="715"/>
      <c r="DS132" s="715"/>
      <c r="DT132" s="715"/>
      <c r="DU132" s="715"/>
      <c r="DV132" s="715"/>
      <c r="DW132" s="715"/>
      <c r="DX132" s="715"/>
      <c r="DY132" s="715"/>
      <c r="DZ132" s="715"/>
      <c r="EA132" s="715"/>
      <c r="EB132" s="715"/>
      <c r="EC132" s="715"/>
      <c r="ED132" s="715"/>
      <c r="EE132" s="715"/>
      <c r="EF132" s="715"/>
      <c r="EG132" s="715"/>
      <c r="EH132" s="715"/>
      <c r="EI132" s="715"/>
      <c r="EJ132" s="715"/>
      <c r="EK132" s="715"/>
      <c r="EL132" s="715"/>
      <c r="EM132" s="715"/>
      <c r="EN132" s="715"/>
      <c r="EO132" s="715"/>
      <c r="EP132" s="715"/>
      <c r="EQ132" s="715"/>
      <c r="ER132" s="715"/>
      <c r="ES132" s="715"/>
      <c r="ET132" s="715"/>
      <c r="EU132" s="715"/>
      <c r="EV132" s="715"/>
      <c r="EW132" s="715"/>
      <c r="EX132" s="715"/>
      <c r="EY132" s="715"/>
      <c r="EZ132" s="715"/>
      <c r="FA132" s="715"/>
      <c r="FB132" s="715"/>
      <c r="FC132" s="715"/>
      <c r="FD132" s="715"/>
      <c r="FE132" s="715"/>
      <c r="FF132" s="715"/>
      <c r="FG132" s="715"/>
      <c r="FH132" s="715"/>
      <c r="FI132" s="715"/>
      <c r="FJ132" s="715"/>
      <c r="FK132" s="715"/>
      <c r="FL132" s="715"/>
      <c r="FM132" s="715"/>
      <c r="FN132" s="715"/>
      <c r="FO132" s="715"/>
      <c r="FP132" s="715"/>
      <c r="FQ132" s="715"/>
      <c r="FR132" s="715"/>
      <c r="FS132" s="715"/>
      <c r="FT132" s="715"/>
      <c r="FU132" s="715"/>
      <c r="FV132" s="715"/>
      <c r="FW132" s="716"/>
      <c r="FZ132" s="689" t="s">
        <v>124</v>
      </c>
      <c r="GC132" s="459" t="s">
        <v>899</v>
      </c>
    </row>
    <row r="133" spans="1:186" ht="11.25" hidden="1" customHeight="1">
      <c r="A133" s="314"/>
      <c r="B133" s="611"/>
      <c r="C133" s="314"/>
      <c r="D133" s="314"/>
      <c r="E133" s="478">
        <v>0</v>
      </c>
      <c r="F133" s="764" t="str" cm="1">
        <f t="array" aca="1" ref="F133" ca="1">OFFSET(E133,-1,1)</f>
        <v>1</v>
      </c>
      <c r="G133" s="314"/>
      <c r="H133" s="314"/>
      <c r="I133" s="314"/>
      <c r="J133" s="314"/>
      <c r="K133" s="314"/>
      <c r="L133" s="314"/>
      <c r="M133" s="314"/>
      <c r="N133" s="314"/>
      <c r="O133" s="314"/>
      <c r="P133" s="314"/>
      <c r="Q133" s="314"/>
      <c r="R133" s="314"/>
      <c r="S133" s="314"/>
      <c r="T133" s="351" t="b">
        <v>0</v>
      </c>
      <c r="U133" s="314"/>
      <c r="V133" s="314"/>
      <c r="W133" s="314"/>
      <c r="X133" s="1046"/>
      <c r="Y133" s="314"/>
      <c r="Z133" s="1007"/>
      <c r="AA133" s="314"/>
      <c r="AB133"/>
      <c r="AC133" s="314"/>
      <c r="AD133" s="314"/>
      <c r="AE133" s="314"/>
      <c r="AF133" s="314"/>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s="689" t="s">
        <v>124</v>
      </c>
      <c r="GA133" s="659"/>
      <c r="GB133" s="653"/>
      <c r="GC133" s="452"/>
      <c r="GD133" s="452"/>
    </row>
    <row r="134" spans="1:186" s="900" customFormat="1" ht="23.25" hidden="1" customHeight="1">
      <c r="A134" s="592"/>
      <c r="B134" s="611" t="b" cm="1">
        <f t="array" ref="B134">S85</f>
        <v>0</v>
      </c>
      <c r="C134" s="592"/>
      <c r="D134" s="592"/>
      <c r="E134" s="460">
        <v>24.5</v>
      </c>
      <c r="F134" s="3" t="str" cm="1">
        <f t="array" aca="1" ref="F134" ca="1">OFFSET(E134,-1,1)</f>
        <v>1</v>
      </c>
      <c r="G134" s="25" t="s">
        <v>1644</v>
      </c>
      <c r="H134" s="59" t="s">
        <v>507</v>
      </c>
      <c r="I134" s="59" t="s">
        <v>1720</v>
      </c>
      <c r="J134" s="592"/>
      <c r="K134" s="592"/>
      <c r="L134" s="592"/>
      <c r="M134" s="592"/>
      <c r="N134" s="592"/>
      <c r="O134" s="592"/>
      <c r="P134" s="592"/>
      <c r="Q134" s="592"/>
      <c r="R134" s="592"/>
      <c r="S134" s="59"/>
      <c r="T134" s="351" t="b" cm="1">
        <f t="array" aca="1" ref="T134" ca="1">T132</f>
        <v>1</v>
      </c>
      <c r="U134" s="592"/>
      <c r="V134" s="592"/>
      <c r="W134" s="592"/>
      <c r="X134" s="1046"/>
      <c r="Y134" s="592"/>
      <c r="Z134" s="1007"/>
      <c r="AA134" s="592"/>
      <c r="AB134" s="132" t="s">
        <v>1721</v>
      </c>
      <c r="AC134" s="147" t="s">
        <v>1647</v>
      </c>
      <c r="AD134" s="899">
        <f ca="1">IF(AND(method_reg="Метод индексации",god&lt;&gt;first_year),SUMIFS(INDEX('Калькуляция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(МИ)'!$AJ$25:$BC$315,,MATCH(AD$8,'Калькуляция (МИ)'!$AJ$8:$BC$8,0)),'Калькуляция (МИ)'!$F$25:$F$315,$F134,'Калькуляция (МИ)'!$G$25:$G$315,$G134))))</f>
        <v>62.52</v>
      </c>
      <c r="AE134" s="899">
        <f ca="1">IF(AND(method_reg="Метод индексации",god&lt;&gt;first_year),SUMIFS(INDEX('Калькуляция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(МИ)'!$AJ$25:$BC$315,,MATCH(AE$8,'Калькуляция (МИ)'!$AJ$8:$BC$8,0)),'Калькуляция (МИ)'!$F$25:$F$315,$F134,'Калькуляция (МИ)'!$G$25:$G$315,$G134))))</f>
        <v>62.52</v>
      </c>
      <c r="AF134" s="207">
        <f ca="1">IF(AD134=0,0,(AE134-AD134)/AD134*100)</f>
        <v>0</v>
      </c>
      <c r="AG134" s="209">
        <f ca="1">IF(AND(method_reg="Метод индексации",god&lt;&gt;first_year),SUMIFS(INDEX('Калькуляция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(МИ)'!$AJ$25:$BC$315,,MATCH(AG$8,'Калькуляция (МИ)'!$AJ$8:$BC$8,0)),'Калькуляция (МИ)'!$F$25:$F$315,$F134,'Калькуляция (МИ)'!$G$25:$G$315,$G134))))</f>
        <v>76.239999999999995</v>
      </c>
      <c r="AH134" s="209">
        <f ca="1">IF(AND(method_reg="Метод индексации",god&lt;&gt;first_year),SUMIFS(INDEX('Калькуляция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(МИ)'!$AJ$25:$BC$315,,MATCH(AH$8,'Калькуляция (МИ)'!$AJ$8:$BC$8,0)),'Калькуляция (МИ)'!$F$25:$F$315,$F134,'Калькуляция (МИ)'!$G$25:$G$315,$G134))))</f>
        <v>68.769998234097599</v>
      </c>
      <c r="AI134" s="207">
        <f ca="1">IF(AG134=0,0,(AH134-AG134)/AG134*100)</f>
        <v>-9.7980086121489975</v>
      </c>
      <c r="AJ134" s="209">
        <f ca="1">IF(AND(method_reg="Метод индексации",god&lt;&gt;first_year),SUMIFS(INDEX('Калькуляция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(МИ)'!$AJ$25:$BC$315,,MATCH(AJ$8,'Калькуляция (МИ)'!$AJ$8:$BC$8,0)),'Калькуляция (МИ)'!$F$25:$F$315,$F134,'Калькуляция (МИ)'!$G$25:$G$315,$G134))))</f>
        <v>76.25</v>
      </c>
      <c r="AK134" s="209">
        <f ca="1">IF(AND(method_reg="Метод индексации",god&lt;&gt;first_year),SUMIFS(INDEX('Калькуляция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(МИ)'!$AJ$25:$BC$315,,MATCH(AK$8,'Калькуляция (МИ)'!$AJ$8:$BC$8,0)),'Калькуляция (МИ)'!$F$25:$F$315,$F134,'Калькуляция (МИ)'!$G$25:$G$315,$G134))))</f>
        <v>73.720003014450896</v>
      </c>
      <c r="AL134" s="207">
        <f ca="1">IF(AJ134=0,0,(AK134-AJ134)/AJ134*100)</f>
        <v>-3.3180288335070216</v>
      </c>
      <c r="AM134" s="899">
        <f ca="1">IF(AND(method_reg="Метод индексации",god&lt;&gt;first_year),SUMIFS(INDEX('Калькуляция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(МИ)'!$AJ$25:$BC$315,,MATCH(AM$8,'Калькуляция (МИ)'!$AJ$8:$BC$8,0)),'Калькуляция (МИ)'!$F$25:$F$315,$F134,'Калькуляция (МИ)'!$G$25:$G$315,$G134))))</f>
        <v>0</v>
      </c>
      <c r="AN134" s="899">
        <f ca="1">IF(AND(method_reg="Метод индексации",god&lt;&gt;first_year),SUMIFS(INDEX('Калькуляция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(МИ)'!$AJ$25:$BC$315,,MATCH(AN$8,'Калькуляция (МИ)'!$AJ$8:$BC$8,0)),'Калькуляция (МИ)'!$F$25:$F$315,$F134,'Калькуляция (МИ)'!$G$25:$G$315,$G134))))</f>
        <v>75.409995641422384</v>
      </c>
      <c r="AO134" s="207">
        <f ca="1">IF(AM134=0,0,(AN134-AM134)/AM134*100)</f>
        <v>0</v>
      </c>
      <c r="AP134" s="899">
        <f ca="1">IF(AND(method_reg="Метод индексации",god&lt;&gt;first_year),SUMIFS(INDEX('Калькуляция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(МИ)'!$AJ$25:$BC$315,,MATCH(AP$8,'Калькуляция (МИ)'!$AJ$8:$BC$8,0)),'Калькуляция (МИ)'!$F$25:$F$315,$F134,'Калькуляция (МИ)'!$G$25:$G$315,$G134))))</f>
        <v>0</v>
      </c>
      <c r="AQ134" s="899">
        <f ca="1">IF(AND(method_reg="Метод индексации",god&lt;&gt;first_year),SUMIFS(INDEX('Калькуляция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(МИ)'!$AJ$25:$BC$315,,MATCH(AQ$8,'Калькуляция (МИ)'!$AJ$8:$BC$8,0)),'Калькуляция (МИ)'!$F$25:$F$315,$F134,'Калькуляция (МИ)'!$G$25:$G$315,$G134))))</f>
        <v>0</v>
      </c>
      <c r="AR134" s="207">
        <f ca="1">IF(AP134=0,0,(AQ134-AP134)/AP134*100)</f>
        <v>0</v>
      </c>
      <c r="AS134" s="899">
        <f ca="1">IF(AND(method_reg="Метод индексации",god&lt;&gt;first_year),SUMIFS(INDEX('Калькуляция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(МИ)'!$AJ$25:$BC$315,,MATCH(AS$8,'Калькуляция (МИ)'!$AJ$8:$BC$8,0)),'Калькуляция (МИ)'!$F$25:$F$315,$F134,'Калькуляция (МИ)'!$G$25:$G$315,$G134))))</f>
        <v>0</v>
      </c>
      <c r="AT134" s="899">
        <f ca="1">IF(AND(method_reg="Метод индексации",god&lt;&gt;first_year),SUMIFS(INDEX('Калькуляция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(МИ)'!$AJ$25:$BC$315,,MATCH(AT$8,'Калькуляция (МИ)'!$AJ$8:$BC$8,0)),'Калькуляция (МИ)'!$F$25:$F$315,$F134,'Калькуляция (МИ)'!$G$25:$G$315,$G134))))</f>
        <v>0</v>
      </c>
      <c r="AU134" s="207">
        <f ca="1">IF(AS134=0,0,(AT134-AS134)/AS134*100)</f>
        <v>0</v>
      </c>
      <c r="AV134" s="899">
        <f ca="1">IF(AND(method_reg="Метод индексации",god&lt;&gt;first_year),SUMIFS(INDEX('Калькуляция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(МИ)'!$AJ$25:$BC$315,,MATCH(AV$8,'Калькуляция (МИ)'!$AJ$8:$BC$8,0)),'Калькуляция (МИ)'!$F$25:$F$315,$F134,'Калькуляция (МИ)'!$G$25:$G$315,$G134))))</f>
        <v>0</v>
      </c>
      <c r="AW134" s="899">
        <f ca="1">IF(AND(method_reg="Метод индексации",god&lt;&gt;first_year),SUMIFS(INDEX('Калькуляция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(МИ)'!$AJ$25:$BC$315,,MATCH(AW$8,'Калькуляция (МИ)'!$AJ$8:$BC$8,0)),'Калькуляция (МИ)'!$F$25:$F$315,$F134,'Калькуляция (МИ)'!$G$25:$G$315,$G134))))</f>
        <v>0</v>
      </c>
      <c r="AX134" s="207">
        <f ca="1">IF(AV134=0,0,(AW134-AV134)/AV134*100)</f>
        <v>0</v>
      </c>
      <c r="AY134" s="899">
        <f ca="1">IF(AND(method_reg="Метод индексации",god&lt;&gt;first_year),SUMIFS(INDEX('Калькуляция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(МИ)'!$AJ$25:$BC$315,,MATCH(AY$8,'Калькуляция (МИ)'!$AJ$8:$BC$8,0)),'Калькуляция (МИ)'!$F$25:$F$315,$F134,'Калькуляция (МИ)'!$G$25:$G$315,$G134))))</f>
        <v>0</v>
      </c>
      <c r="AZ134" s="899">
        <f ca="1">IF(AND(method_reg="Метод индексации",god&lt;&gt;first_year),SUMIFS(INDEX('Калькуляция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(МИ)'!$AJ$25:$BC$315,,MATCH(AZ$8,'Калькуляция (МИ)'!$AJ$8:$BC$8,0)),'Калькуляция (МИ)'!$F$25:$F$315,$F134,'Калькуляция (МИ)'!$G$25:$G$315,$G134))))</f>
        <v>0</v>
      </c>
      <c r="BA134" s="207">
        <f ca="1">IF(AY134=0,0,(AZ134-AY134)/AY134*100)</f>
        <v>0</v>
      </c>
      <c r="BB134" s="899">
        <f ca="1">IF(AND(method_reg="Метод индексации",god&lt;&gt;first_year),SUMIFS(INDEX('Калькуляция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(МИ)'!$AJ$25:$BC$315,,MATCH(BB$8,'Калькуляция (МИ)'!$AJ$8:$BC$8,0)),'Калькуляция (МИ)'!$F$25:$F$315,$F134,'Калькуляция (МИ)'!$G$25:$G$315,$G134))))</f>
        <v>0</v>
      </c>
      <c r="BC134" s="899">
        <f ca="1">IF(AND(method_reg="Метод индексации",god&lt;&gt;first_year),SUMIFS(INDEX('Калькуляция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(МИ)'!$AJ$25:$BC$315,,MATCH(BC$8,'Калькуляция (МИ)'!$AJ$8:$BC$8,0)),'Калькуляция (МИ)'!$F$25:$F$315,$F134,'Калькуляция (МИ)'!$G$25:$G$315,$G134))))</f>
        <v>0</v>
      </c>
      <c r="BD134" s="207">
        <f ca="1">IF(BB134=0,0,(BC134-BB134)/BB134*100)</f>
        <v>0</v>
      </c>
      <c r="BE134" s="899">
        <f ca="1">IF(AND(method_reg="Метод индексации",god&lt;&gt;first_year),SUMIFS(INDEX('Калькуляция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(МИ)'!$AJ$25:$BC$315,,MATCH(BE$8,'Калькуляция (МИ)'!$AJ$8:$BC$8,0)),'Калькуляция (МИ)'!$F$25:$F$315,$F134,'Калькуляция (МИ)'!$G$25:$G$315,$G134))))</f>
        <v>0</v>
      </c>
      <c r="BF134" s="899">
        <f ca="1">IF(AND(method_reg="Метод индексации",god&lt;&gt;first_year),SUMIFS(INDEX('Калькуляция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(МИ)'!$AJ$25:$BC$315,,MATCH(BF$8,'Калькуляция (МИ)'!$AJ$8:$BC$8,0)),'Калькуляция (МИ)'!$F$25:$F$315,$F134,'Калькуляция (МИ)'!$G$25:$G$315,$G134))))</f>
        <v>0</v>
      </c>
      <c r="BG134" s="207">
        <f ca="1">IF(BE134=0,0,(BF134-BE134)/BE134*100)</f>
        <v>0</v>
      </c>
      <c r="BH134" s="899"/>
      <c r="BI134" s="899"/>
      <c r="BJ134" s="207">
        <f>IF(BH134=0,0,(BI134-BH134)/BH134*100)</f>
        <v>0</v>
      </c>
      <c r="BK134" s="899"/>
      <c r="BL134" s="899"/>
      <c r="BM134" s="207">
        <f>IF(BK134=0,0,(BL134-BK134)/BK134*100)</f>
        <v>0</v>
      </c>
      <c r="BN134" s="899"/>
      <c r="BO134" s="899"/>
      <c r="BP134" s="207">
        <f>IF(BN134=0,0,(BO134-BN134)/BN134*100)</f>
        <v>0</v>
      </c>
      <c r="BQ134" s="899"/>
      <c r="BR134" s="899"/>
      <c r="BS134" s="207">
        <f>IF(BQ134=0,0,(BR134-BQ134)/BQ134*100)</f>
        <v>0</v>
      </c>
      <c r="BT134" s="899"/>
      <c r="BU134" s="899"/>
      <c r="BV134" s="207">
        <f>IF(BT134=0,0,(BU134-BT134)/BT134*100)</f>
        <v>0</v>
      </c>
      <c r="BW134" s="899"/>
      <c r="BX134" s="899"/>
      <c r="BY134" s="207">
        <f>IF(BW134=0,0,(BX134-BW134)/BW134*100)</f>
        <v>0</v>
      </c>
      <c r="BZ134" s="899"/>
      <c r="CA134" s="899"/>
      <c r="CB134" s="207">
        <f>IF(BZ134=0,0,(CA134-BZ134)/BZ134*100)</f>
        <v>0</v>
      </c>
      <c r="CC134" s="899"/>
      <c r="CD134" s="899"/>
      <c r="CE134" s="207">
        <f>IF(CC134=0,0,(CD134-CC134)/CC134*100)</f>
        <v>0</v>
      </c>
      <c r="CF134" s="899"/>
      <c r="CG134" s="899"/>
      <c r="CH134" s="207">
        <f>IF(CF134=0,0,(CG134-CF134)/CF134*100)</f>
        <v>0</v>
      </c>
      <c r="CI134" s="899"/>
      <c r="CJ134" s="899"/>
      <c r="CK134" s="207">
        <f>IF(CI134=0,0,(CJ134-CI134)/CI134*100)</f>
        <v>0</v>
      </c>
      <c r="CL134" s="899"/>
      <c r="CM134" s="899"/>
      <c r="CN134" s="207">
        <f>IF(CL134=0,0,(CM134-CL134)/CL134*100)</f>
        <v>0</v>
      </c>
      <c r="CO134" s="899"/>
      <c r="CP134" s="899"/>
      <c r="CQ134" s="207">
        <f>IF(CO134=0,0,(CP134-CO134)/CO134*100)</f>
        <v>0</v>
      </c>
      <c r="CR134" s="899"/>
      <c r="CS134" s="899"/>
      <c r="CT134" s="207">
        <f>IF(CR134=0,0,(CS134-CR134)/CR134*100)</f>
        <v>0</v>
      </c>
      <c r="CU134" s="899"/>
      <c r="CV134" s="899"/>
      <c r="CW134" s="207">
        <f>IF(CU134=0,0,(CV134-CU134)/CU134*100)</f>
        <v>0</v>
      </c>
      <c r="CX134" s="899"/>
      <c r="CY134" s="899"/>
      <c r="CZ134" s="207">
        <f>IF(CX134=0,0,(CY134-CX134)/CX134*100)</f>
        <v>0</v>
      </c>
      <c r="DA134" s="899"/>
      <c r="DB134" s="899"/>
      <c r="DC134" s="207">
        <f>IF(DA134=0,0,(DB134-DA134)/DA134*100)</f>
        <v>0</v>
      </c>
      <c r="DD134" s="899"/>
      <c r="DE134" s="899"/>
      <c r="DF134" s="207">
        <f>IF(DD134=0,0,(DE134-DD134)/DD134*100)</f>
        <v>0</v>
      </c>
      <c r="DG134" s="899"/>
      <c r="DH134" s="899"/>
      <c r="DI134" s="207">
        <f>IF(DG134=0,0,(DH134-DG134)/DG134*100)</f>
        <v>0</v>
      </c>
      <c r="DJ134" s="899"/>
      <c r="DK134" s="899"/>
      <c r="DL134" s="207">
        <f>IF(DJ134=0,0,(DK134-DJ134)/DJ134*100)</f>
        <v>0</v>
      </c>
      <c r="DM134" s="899"/>
      <c r="DN134" s="899"/>
      <c r="DO134" s="207">
        <f>IF(DM134=0,0,(DN134-DM134)/DM134*100)</f>
        <v>0</v>
      </c>
      <c r="DP134" s="899"/>
      <c r="DQ134" s="899"/>
      <c r="DR134" s="207">
        <f>IF(DP134=0,0,(DQ134-DP134)/DP134*100)</f>
        <v>0</v>
      </c>
      <c r="DS134" s="899"/>
      <c r="DT134" s="899"/>
      <c r="DU134" s="207">
        <f>IF(DS134=0,0,(DT134-DS134)/DS134*100)</f>
        <v>0</v>
      </c>
      <c r="DV134" s="899"/>
      <c r="DW134" s="899"/>
      <c r="DX134" s="207">
        <f>IF(DV134=0,0,(DW134-DV134)/DV134*100)</f>
        <v>0</v>
      </c>
      <c r="DY134" s="899"/>
      <c r="DZ134" s="899"/>
      <c r="EA134" s="207">
        <f>IF(DY134=0,0,(DZ134-DY134)/DY134*100)</f>
        <v>0</v>
      </c>
      <c r="EB134" s="899"/>
      <c r="EC134" s="899"/>
      <c r="ED134" s="207">
        <f>IF(EB134=0,0,(EC134-EB134)/EB134*100)</f>
        <v>0</v>
      </c>
      <c r="EE134" s="899"/>
      <c r="EF134" s="899"/>
      <c r="EG134" s="207">
        <f>IF(EE134=0,0,(EF134-EE134)/EE134*100)</f>
        <v>0</v>
      </c>
      <c r="EH134" s="899"/>
      <c r="EI134" s="899"/>
      <c r="EJ134" s="207">
        <f>IF(EH134=0,0,(EI134-EH134)/EH134*100)</f>
        <v>0</v>
      </c>
      <c r="EK134" s="899"/>
      <c r="EL134" s="899"/>
      <c r="EM134" s="207">
        <f>IF(EK134=0,0,(EL134-EK134)/EK134*100)</f>
        <v>0</v>
      </c>
      <c r="EN134" s="899"/>
      <c r="EO134" s="899"/>
      <c r="EP134" s="207">
        <f>IF(EN134=0,0,(EO134-EN134)/EN134*100)</f>
        <v>0</v>
      </c>
      <c r="EQ134" s="899"/>
      <c r="ER134" s="899"/>
      <c r="ES134" s="207">
        <f>IF(EQ134=0,0,(ER134-EQ134)/EQ134*100)</f>
        <v>0</v>
      </c>
      <c r="ET134" s="899"/>
      <c r="EU134" s="899"/>
      <c r="EV134" s="207">
        <f>IF(ET134=0,0,(EU134-ET134)/ET134*100)</f>
        <v>0</v>
      </c>
      <c r="EW134" s="899"/>
      <c r="EX134" s="899"/>
      <c r="EY134" s="207">
        <f>IF(EW134=0,0,(EX134-EW134)/EW134*100)</f>
        <v>0</v>
      </c>
      <c r="EZ134" s="899"/>
      <c r="FA134" s="899"/>
      <c r="FB134" s="207">
        <f>IF(EZ134=0,0,(FA134-EZ134)/EZ134*100)</f>
        <v>0</v>
      </c>
      <c r="FC134" s="899"/>
      <c r="FD134" s="899"/>
      <c r="FE134" s="207">
        <f>IF(FC134=0,0,(FD134-FC134)/FC134*100)</f>
        <v>0</v>
      </c>
      <c r="FF134" s="899"/>
      <c r="FG134" s="899"/>
      <c r="FH134" s="207">
        <f>IF(FF134=0,0,(FG134-FF134)/FF134*100)</f>
        <v>0</v>
      </c>
      <c r="FI134" s="899"/>
      <c r="FJ134" s="899"/>
      <c r="FK134" s="207">
        <f>IF(FI134=0,0,(FJ134-FI134)/FI134*100)</f>
        <v>0</v>
      </c>
      <c r="FL134" s="899"/>
      <c r="FM134" s="899"/>
      <c r="FN134" s="207">
        <f>IF(FL134=0,0,(FM134-FL134)/FL134*100)</f>
        <v>0</v>
      </c>
      <c r="FO134" s="899"/>
      <c r="FP134" s="899"/>
      <c r="FQ134" s="207">
        <f>IF(FO134=0,0,(FP134-FO134)/FO134*100)</f>
        <v>0</v>
      </c>
      <c r="FR134" s="899"/>
      <c r="FS134" s="899"/>
      <c r="FT134" s="207">
        <f>IF(FR134=0,0,(FS134-FR134)/FR134*100)</f>
        <v>0</v>
      </c>
      <c r="FU134" s="899"/>
      <c r="FV134" s="899"/>
      <c r="FW134" s="207">
        <f>IF(FU134=0,0,(FV134-FU134)/FU134*100)</f>
        <v>0</v>
      </c>
      <c r="FX134" s="203"/>
      <c r="FY134" s="203"/>
      <c r="FZ134" s="689" t="s">
        <v>1722</v>
      </c>
      <c r="GA134" s="689"/>
      <c r="GB134" s="689"/>
      <c r="GC134" s="690"/>
      <c r="GD134" s="690"/>
    </row>
    <row r="135" spans="1:186" s="900" customFormat="1" ht="23.25" hidden="1" customHeight="1">
      <c r="A135" s="592"/>
      <c r="B135" s="611" t="b" cm="1">
        <f t="array" ref="B135">B134</f>
        <v>0</v>
      </c>
      <c r="C135" s="592"/>
      <c r="D135" s="592"/>
      <c r="E135" s="460">
        <v>24.5</v>
      </c>
      <c r="F135" s="3" t="str" cm="1">
        <f t="array" aca="1" ref="F135" ca="1">OFFSET(E135,-1,1)</f>
        <v>1</v>
      </c>
      <c r="G135" s="25" t="s">
        <v>1649</v>
      </c>
      <c r="H135" s="59" t="s">
        <v>507</v>
      </c>
      <c r="I135" s="59" t="s">
        <v>1723</v>
      </c>
      <c r="J135" s="592"/>
      <c r="K135" s="592"/>
      <c r="L135" s="592"/>
      <c r="M135" s="592"/>
      <c r="N135" s="592"/>
      <c r="O135" s="592"/>
      <c r="P135" s="592"/>
      <c r="Q135" s="592"/>
      <c r="R135" s="592"/>
      <c r="S135" s="59"/>
      <c r="T135" s="351" t="b" cm="1">
        <f t="array" aca="1" ref="T135" ca="1">T134</f>
        <v>1</v>
      </c>
      <c r="U135" s="592"/>
      <c r="V135" s="592"/>
      <c r="W135" s="592"/>
      <c r="X135" s="1046"/>
      <c r="Y135" s="592"/>
      <c r="Z135" s="1007"/>
      <c r="AA135" s="592"/>
      <c r="AB135" s="132" t="s">
        <v>1724</v>
      </c>
      <c r="AC135" s="147" t="s">
        <v>1647</v>
      </c>
      <c r="AD135" s="899">
        <f ca="1">IF(AND(method_reg="Метод индексации",god&lt;&gt;first_year),SUMIFS(INDEX('Калькуляция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(МИ)'!$AJ$25:$BC$315,,MATCH(AD$8,'Калькуляция (МИ)'!$AJ$8:$BC$8,0)),'Калькуляция (МИ)'!$F$25:$F$315,$F135,'Калькуляция (МИ)'!$G$25:$G$315,$G135))))</f>
        <v>87.978230000518494</v>
      </c>
      <c r="AE135" s="899">
        <f ca="1">IF(AND(method_reg="Метод индексации",god&lt;&gt;first_year),SUMIFS(INDEX('Калькуляция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(МИ)'!$AJ$25:$BC$315,,MATCH(AE$8,'Калькуляция (МИ)'!$AJ$8:$BC$8,0)),'Калькуляция (МИ)'!$F$25:$F$315,$F135,'Калькуляция (МИ)'!$G$25:$G$315,$G135))))</f>
        <v>68.769998234097599</v>
      </c>
      <c r="AF135" s="207">
        <f ca="1">IF(AD135=0,0,(AE135-AD135)/AD135*100)</f>
        <v>-21.832937269035408</v>
      </c>
      <c r="AG135" s="209">
        <f ca="1">IF(AND(method_reg="Метод индексации",god&lt;&gt;first_year),SUMIFS(INDEX('Калькуляция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(МИ)'!$AJ$25:$BC$315,,MATCH(AG$8,'Калькуляция (МИ)'!$AJ$8:$BC$8,0)),'Калькуляция (МИ)'!$F$25:$F$315,$F135,'Калькуляция (МИ)'!$G$25:$G$315,$G135))))</f>
        <v>76.246958073552435</v>
      </c>
      <c r="AH135" s="209">
        <f ca="1">IF(AND(method_reg="Метод индексации",god&lt;&gt;first_year),SUMIFS(INDEX('Калькуляция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(МИ)'!$AJ$25:$BC$315,,MATCH(AH$8,'Калькуляция (МИ)'!$AJ$8:$BC$8,0)),'Калькуляция (МИ)'!$F$25:$F$315,$F135,'Калькуляция (МИ)'!$G$25:$G$315,$G135))))</f>
        <v>73.720003014450896</v>
      </c>
      <c r="AI135" s="207">
        <f ca="1">IF(AG135=0,0,(AH135-AG135)/AG135*100)</f>
        <v>-3.3141716377247268</v>
      </c>
      <c r="AJ135" s="209">
        <f ca="1">IF(AND(method_reg="Метод индексации",god&lt;&gt;first_year),SUMIFS(INDEX('Калькуляция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(МИ)'!$AJ$25:$BC$315,,MATCH(AJ$8,'Калькуляция (МИ)'!$AJ$8:$BC$8,0)),'Калькуляция (МИ)'!$F$25:$F$315,$F135,'Калькуляция (МИ)'!$G$25:$G$315,$G135))))</f>
        <v>82.338701574311841</v>
      </c>
      <c r="AK135" s="209">
        <f ca="1">IF(AND(method_reg="Метод индексации",god&lt;&gt;first_year),SUMIFS(INDEX('Калькуляция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(МИ)'!$AJ$25:$BC$315,,MATCH(AK$8,'Калькуляция (МИ)'!$AJ$8:$BC$8,0)),'Калькуляция (МИ)'!$F$25:$F$315,$F135,'Калькуляция (МИ)'!$G$25:$G$315,$G135))))</f>
        <v>75.409995641422384</v>
      </c>
      <c r="AL135" s="207">
        <f ca="1">IF(AJ135=0,0,(AK135-AJ135)/AJ135*100)</f>
        <v>-8.4148836457376035</v>
      </c>
      <c r="AM135" s="899">
        <f ca="1">IF(AND(method_reg="Метод индексации",god&lt;&gt;first_year),SUMIFS(INDEX('Калькуляция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(МИ)'!$AJ$25:$BC$315,,MATCH(AM$8,'Калькуляция (МИ)'!$AJ$8:$BC$8,0)),'Калькуляция (МИ)'!$F$25:$F$315,$F135,'Калькуляция (МИ)'!$G$25:$G$315,$G135))))</f>
        <v>0</v>
      </c>
      <c r="AN135" s="899">
        <f ca="1">IF(AND(method_reg="Метод индексации",god&lt;&gt;first_year),SUMIFS(INDEX('Калькуляция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(МИ)'!$AJ$25:$BC$315,,MATCH(AN$8,'Калькуляция (МИ)'!$AJ$8:$BC$8,0)),'Калькуляция (МИ)'!$F$25:$F$315,$F135,'Калькуляция (МИ)'!$G$25:$G$315,$G135))))</f>
        <v>0</v>
      </c>
      <c r="AO135" s="207">
        <f ca="1">IF(AM135=0,0,(AN135-AM135)/AM135*100)</f>
        <v>0</v>
      </c>
      <c r="AP135" s="899">
        <f ca="1">IF(AND(method_reg="Метод индексации",god&lt;&gt;first_year),SUMIFS(INDEX('Калькуляция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(МИ)'!$AJ$25:$BC$315,,MATCH(AP$8,'Калькуляция (МИ)'!$AJ$8:$BC$8,0)),'Калькуляция (МИ)'!$F$25:$F$315,$F135,'Калькуляция (МИ)'!$G$25:$G$315,$G135))))</f>
        <v>0</v>
      </c>
      <c r="AQ135" s="899">
        <f ca="1">IF(AND(method_reg="Метод индексации",god&lt;&gt;first_year),SUMIFS(INDEX('Калькуляция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(МИ)'!$AJ$25:$BC$315,,MATCH(AQ$8,'Калькуляция (МИ)'!$AJ$8:$BC$8,0)),'Калькуляция (МИ)'!$F$25:$F$315,$F135,'Калькуляция (МИ)'!$G$25:$G$315,$G135))))</f>
        <v>0</v>
      </c>
      <c r="AR135" s="207">
        <f ca="1">IF(AP135=0,0,(AQ135-AP135)/AP135*100)</f>
        <v>0</v>
      </c>
      <c r="AS135" s="899">
        <f ca="1">IF(AND(method_reg="Метод индексации",god&lt;&gt;first_year),SUMIFS(INDEX('Калькуляция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(МИ)'!$AJ$25:$BC$315,,MATCH(AS$8,'Калькуляция (МИ)'!$AJ$8:$BC$8,0)),'Калькуляция (МИ)'!$F$25:$F$315,$F135,'Калькуляция (МИ)'!$G$25:$G$315,$G135))))</f>
        <v>0</v>
      </c>
      <c r="AT135" s="899">
        <f ca="1">IF(AND(method_reg="Метод индексации",god&lt;&gt;first_year),SUMIFS(INDEX('Калькуляция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(МИ)'!$AJ$25:$BC$315,,MATCH(AT$8,'Калькуляция (МИ)'!$AJ$8:$BC$8,0)),'Калькуляция (МИ)'!$F$25:$F$315,$F135,'Калькуляция (МИ)'!$G$25:$G$315,$G135))))</f>
        <v>0</v>
      </c>
      <c r="AU135" s="207">
        <f ca="1">IF(AS135=0,0,(AT135-AS135)/AS135*100)</f>
        <v>0</v>
      </c>
      <c r="AV135" s="899">
        <f ca="1">IF(AND(method_reg="Метод индексации",god&lt;&gt;first_year),SUMIFS(INDEX('Калькуляция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(МИ)'!$AJ$25:$BC$315,,MATCH(AV$8,'Калькуляция (МИ)'!$AJ$8:$BC$8,0)),'Калькуляция (МИ)'!$F$25:$F$315,$F135,'Калькуляция (МИ)'!$G$25:$G$315,$G135))))</f>
        <v>0</v>
      </c>
      <c r="AW135" s="899">
        <f ca="1">IF(AND(method_reg="Метод индексации",god&lt;&gt;first_year),SUMIFS(INDEX('Калькуляция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(МИ)'!$AJ$25:$BC$315,,MATCH(AW$8,'Калькуляция (МИ)'!$AJ$8:$BC$8,0)),'Калькуляция (МИ)'!$F$25:$F$315,$F135,'Калькуляция (МИ)'!$G$25:$G$315,$G135))))</f>
        <v>0</v>
      </c>
      <c r="AX135" s="207">
        <f ca="1">IF(AV135=0,0,(AW135-AV135)/AV135*100)</f>
        <v>0</v>
      </c>
      <c r="AY135" s="899">
        <f ca="1">IF(AND(method_reg="Метод индексации",god&lt;&gt;first_year),SUMIFS(INDEX('Калькуляция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(МИ)'!$AJ$25:$BC$315,,MATCH(AY$8,'Калькуляция (МИ)'!$AJ$8:$BC$8,0)),'Калькуляция (МИ)'!$F$25:$F$315,$F135,'Калькуляция (МИ)'!$G$25:$G$315,$G135))))</f>
        <v>0</v>
      </c>
      <c r="AZ135" s="899">
        <f ca="1">IF(AND(method_reg="Метод индексации",god&lt;&gt;first_year),SUMIFS(INDEX('Калькуляция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(МИ)'!$AJ$25:$BC$315,,MATCH(AZ$8,'Калькуляция (МИ)'!$AJ$8:$BC$8,0)),'Калькуляция (МИ)'!$F$25:$F$315,$F135,'Калькуляция (МИ)'!$G$25:$G$315,$G135))))</f>
        <v>0</v>
      </c>
      <c r="BA135" s="207">
        <f ca="1">IF(AY135=0,0,(AZ135-AY135)/AY135*100)</f>
        <v>0</v>
      </c>
      <c r="BB135" s="899">
        <f ca="1">IF(AND(method_reg="Метод индексации",god&lt;&gt;first_year),SUMIFS(INDEX('Калькуляция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(МИ)'!$AJ$25:$BC$315,,MATCH(BB$8,'Калькуляция (МИ)'!$AJ$8:$BC$8,0)),'Калькуляция (МИ)'!$F$25:$F$315,$F135,'Калькуляция (МИ)'!$G$25:$G$315,$G135))))</f>
        <v>0</v>
      </c>
      <c r="BC135" s="899">
        <f ca="1">IF(AND(method_reg="Метод индексации",god&lt;&gt;first_year),SUMIFS(INDEX('Калькуляция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(МИ)'!$AJ$25:$BC$315,,MATCH(BC$8,'Калькуляция (МИ)'!$AJ$8:$BC$8,0)),'Калькуляция (МИ)'!$F$25:$F$315,$F135,'Калькуляция (МИ)'!$G$25:$G$315,$G135))))</f>
        <v>0</v>
      </c>
      <c r="BD135" s="207">
        <f ca="1">IF(BB135=0,0,(BC135-BB135)/BB135*100)</f>
        <v>0</v>
      </c>
      <c r="BE135" s="899">
        <f ca="1">IF(AND(method_reg="Метод индексации",god&lt;&gt;first_year),SUMIFS(INDEX('Калькуляция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(МИ)'!$AJ$25:$BC$315,,MATCH(BE$8,'Калькуляция (МИ)'!$AJ$8:$BC$8,0)),'Калькуляция (МИ)'!$F$25:$F$315,$F135,'Калькуляция (МИ)'!$G$25:$G$315,$G135))))</f>
        <v>0</v>
      </c>
      <c r="BF135" s="899">
        <f ca="1">IF(AND(method_reg="Метод индексации",god&lt;&gt;first_year),SUMIFS(INDEX('Калькуляция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(МИ)'!$AJ$25:$BC$315,,MATCH(BF$8,'Калькуляция (МИ)'!$AJ$8:$BC$8,0)),'Калькуляция (МИ)'!$F$25:$F$315,$F135,'Калькуляция (МИ)'!$G$25:$G$315,$G135))))</f>
        <v>0</v>
      </c>
      <c r="BG135" s="207">
        <f ca="1">IF(BE135=0,0,(BF135-BE135)/BE135*100)</f>
        <v>0</v>
      </c>
      <c r="BH135" s="899"/>
      <c r="BI135" s="899"/>
      <c r="BJ135" s="207">
        <f>IF(BH135=0,0,(BI135-BH135)/BH135*100)</f>
        <v>0</v>
      </c>
      <c r="BK135" s="899"/>
      <c r="BL135" s="899"/>
      <c r="BM135" s="207">
        <f>IF(BK135=0,0,(BL135-BK135)/BK135*100)</f>
        <v>0</v>
      </c>
      <c r="BN135" s="899"/>
      <c r="BO135" s="899"/>
      <c r="BP135" s="207">
        <f>IF(BN135=0,0,(BO135-BN135)/BN135*100)</f>
        <v>0</v>
      </c>
      <c r="BQ135" s="899"/>
      <c r="BR135" s="899"/>
      <c r="BS135" s="207">
        <f>IF(BQ135=0,0,(BR135-BQ135)/BQ135*100)</f>
        <v>0</v>
      </c>
      <c r="BT135" s="899"/>
      <c r="BU135" s="899"/>
      <c r="BV135" s="207">
        <f>IF(BT135=0,0,(BU135-BT135)/BT135*100)</f>
        <v>0</v>
      </c>
      <c r="BW135" s="899"/>
      <c r="BX135" s="899"/>
      <c r="BY135" s="207">
        <f>IF(BW135=0,0,(BX135-BW135)/BW135*100)</f>
        <v>0</v>
      </c>
      <c r="BZ135" s="899"/>
      <c r="CA135" s="899"/>
      <c r="CB135" s="207">
        <f>IF(BZ135=0,0,(CA135-BZ135)/BZ135*100)</f>
        <v>0</v>
      </c>
      <c r="CC135" s="899"/>
      <c r="CD135" s="899"/>
      <c r="CE135" s="207">
        <f>IF(CC135=0,0,(CD135-CC135)/CC135*100)</f>
        <v>0</v>
      </c>
      <c r="CF135" s="899"/>
      <c r="CG135" s="899"/>
      <c r="CH135" s="207">
        <f>IF(CF135=0,0,(CG135-CF135)/CF135*100)</f>
        <v>0</v>
      </c>
      <c r="CI135" s="899"/>
      <c r="CJ135" s="899"/>
      <c r="CK135" s="207">
        <f>IF(CI135=0,0,(CJ135-CI135)/CI135*100)</f>
        <v>0</v>
      </c>
      <c r="CL135" s="899"/>
      <c r="CM135" s="899"/>
      <c r="CN135" s="207">
        <f>IF(CL135=0,0,(CM135-CL135)/CL135*100)</f>
        <v>0</v>
      </c>
      <c r="CO135" s="899"/>
      <c r="CP135" s="899"/>
      <c r="CQ135" s="207">
        <f>IF(CO135=0,0,(CP135-CO135)/CO135*100)</f>
        <v>0</v>
      </c>
      <c r="CR135" s="899"/>
      <c r="CS135" s="899"/>
      <c r="CT135" s="207">
        <f>IF(CR135=0,0,(CS135-CR135)/CR135*100)</f>
        <v>0</v>
      </c>
      <c r="CU135" s="899"/>
      <c r="CV135" s="899"/>
      <c r="CW135" s="207">
        <f>IF(CU135=0,0,(CV135-CU135)/CU135*100)</f>
        <v>0</v>
      </c>
      <c r="CX135" s="899"/>
      <c r="CY135" s="899"/>
      <c r="CZ135" s="207">
        <f>IF(CX135=0,0,(CY135-CX135)/CX135*100)</f>
        <v>0</v>
      </c>
      <c r="DA135" s="899"/>
      <c r="DB135" s="899"/>
      <c r="DC135" s="207">
        <f>IF(DA135=0,0,(DB135-DA135)/DA135*100)</f>
        <v>0</v>
      </c>
      <c r="DD135" s="899"/>
      <c r="DE135" s="899"/>
      <c r="DF135" s="207">
        <f>IF(DD135=0,0,(DE135-DD135)/DD135*100)</f>
        <v>0</v>
      </c>
      <c r="DG135" s="899"/>
      <c r="DH135" s="899"/>
      <c r="DI135" s="207">
        <f>IF(DG135=0,0,(DH135-DG135)/DG135*100)</f>
        <v>0</v>
      </c>
      <c r="DJ135" s="899"/>
      <c r="DK135" s="899"/>
      <c r="DL135" s="207">
        <f>IF(DJ135=0,0,(DK135-DJ135)/DJ135*100)</f>
        <v>0</v>
      </c>
      <c r="DM135" s="899"/>
      <c r="DN135" s="899"/>
      <c r="DO135" s="207">
        <f>IF(DM135=0,0,(DN135-DM135)/DM135*100)</f>
        <v>0</v>
      </c>
      <c r="DP135" s="899"/>
      <c r="DQ135" s="899"/>
      <c r="DR135" s="207">
        <f>IF(DP135=0,0,(DQ135-DP135)/DP135*100)</f>
        <v>0</v>
      </c>
      <c r="DS135" s="899"/>
      <c r="DT135" s="899"/>
      <c r="DU135" s="207">
        <f>IF(DS135=0,0,(DT135-DS135)/DS135*100)</f>
        <v>0</v>
      </c>
      <c r="DV135" s="899"/>
      <c r="DW135" s="899"/>
      <c r="DX135" s="207">
        <f>IF(DV135=0,0,(DW135-DV135)/DV135*100)</f>
        <v>0</v>
      </c>
      <c r="DY135" s="899"/>
      <c r="DZ135" s="899"/>
      <c r="EA135" s="207">
        <f>IF(DY135=0,0,(DZ135-DY135)/DY135*100)</f>
        <v>0</v>
      </c>
      <c r="EB135" s="899"/>
      <c r="EC135" s="899"/>
      <c r="ED135" s="207">
        <f>IF(EB135=0,0,(EC135-EB135)/EB135*100)</f>
        <v>0</v>
      </c>
      <c r="EE135" s="899"/>
      <c r="EF135" s="899"/>
      <c r="EG135" s="207">
        <f>IF(EE135=0,0,(EF135-EE135)/EE135*100)</f>
        <v>0</v>
      </c>
      <c r="EH135" s="899"/>
      <c r="EI135" s="899"/>
      <c r="EJ135" s="207">
        <f>IF(EH135=0,0,(EI135-EH135)/EH135*100)</f>
        <v>0</v>
      </c>
      <c r="EK135" s="899"/>
      <c r="EL135" s="899"/>
      <c r="EM135" s="207">
        <f>IF(EK135=0,0,(EL135-EK135)/EK135*100)</f>
        <v>0</v>
      </c>
      <c r="EN135" s="899"/>
      <c r="EO135" s="899"/>
      <c r="EP135" s="207">
        <f>IF(EN135=0,0,(EO135-EN135)/EN135*100)</f>
        <v>0</v>
      </c>
      <c r="EQ135" s="899"/>
      <c r="ER135" s="899"/>
      <c r="ES135" s="207">
        <f>IF(EQ135=0,0,(ER135-EQ135)/EQ135*100)</f>
        <v>0</v>
      </c>
      <c r="ET135" s="899"/>
      <c r="EU135" s="899"/>
      <c r="EV135" s="207">
        <f>IF(ET135=0,0,(EU135-ET135)/ET135*100)</f>
        <v>0</v>
      </c>
      <c r="EW135" s="899"/>
      <c r="EX135" s="899"/>
      <c r="EY135" s="207">
        <f>IF(EW135=0,0,(EX135-EW135)/EW135*100)</f>
        <v>0</v>
      </c>
      <c r="EZ135" s="899"/>
      <c r="FA135" s="899"/>
      <c r="FB135" s="207">
        <f>IF(EZ135=0,0,(FA135-EZ135)/EZ135*100)</f>
        <v>0</v>
      </c>
      <c r="FC135" s="899"/>
      <c r="FD135" s="899"/>
      <c r="FE135" s="207">
        <f>IF(FC135=0,0,(FD135-FC135)/FC135*100)</f>
        <v>0</v>
      </c>
      <c r="FF135" s="899"/>
      <c r="FG135" s="899"/>
      <c r="FH135" s="207">
        <f>IF(FF135=0,0,(FG135-FF135)/FF135*100)</f>
        <v>0</v>
      </c>
      <c r="FI135" s="899"/>
      <c r="FJ135" s="899"/>
      <c r="FK135" s="207">
        <f>IF(FI135=0,0,(FJ135-FI135)/FI135*100)</f>
        <v>0</v>
      </c>
      <c r="FL135" s="899"/>
      <c r="FM135" s="899"/>
      <c r="FN135" s="207">
        <f>IF(FL135=0,0,(FM135-FL135)/FL135*100)</f>
        <v>0</v>
      </c>
      <c r="FO135" s="899"/>
      <c r="FP135" s="899"/>
      <c r="FQ135" s="207">
        <f>IF(FO135=0,0,(FP135-FO135)/FO135*100)</f>
        <v>0</v>
      </c>
      <c r="FR135" s="899"/>
      <c r="FS135" s="899"/>
      <c r="FT135" s="207">
        <f>IF(FR135=0,0,(FS135-FR135)/FR135*100)</f>
        <v>0</v>
      </c>
      <c r="FU135" s="899"/>
      <c r="FV135" s="899"/>
      <c r="FW135" s="207">
        <f>IF(FU135=0,0,(FV135-FU135)/FU135*100)</f>
        <v>0</v>
      </c>
      <c r="FX135" s="203"/>
      <c r="FY135" s="203"/>
      <c r="FZ135" s="689" t="s">
        <v>1725</v>
      </c>
      <c r="GA135" s="689"/>
      <c r="GB135" s="689"/>
      <c r="GC135" s="690"/>
      <c r="GD135" s="690"/>
    </row>
    <row r="136" spans="1:186" ht="14.25" hidden="1" customHeight="1">
      <c r="A136" s="59"/>
      <c r="B136" s="611" t="b" cm="1">
        <f t="array" ref="B136">B135</f>
        <v>0</v>
      </c>
      <c r="C136" s="59"/>
      <c r="D136" s="59"/>
      <c r="E136" s="460">
        <v>15</v>
      </c>
      <c r="F136" s="3" t="str" cm="1">
        <f t="array" aca="1" ref="F136" ca="1">OFFSET(E136,-1,1)</f>
        <v>1</v>
      </c>
      <c r="G136" s="59"/>
      <c r="H136" s="59" t="s">
        <v>511</v>
      </c>
      <c r="I136" s="59"/>
      <c r="J136" s="59"/>
      <c r="K136" s="59"/>
      <c r="L136" s="59"/>
      <c r="M136" s="59"/>
      <c r="N136" s="59"/>
      <c r="O136" s="59"/>
      <c r="P136" s="59"/>
      <c r="Q136" s="59"/>
      <c r="R136" s="59"/>
      <c r="S136" s="59"/>
      <c r="T136" s="351" t="b" cm="1">
        <f t="array" aca="1" ref="T136" ca="1">T135</f>
        <v>1</v>
      </c>
      <c r="U136" s="59"/>
      <c r="V136" s="59"/>
      <c r="W136" s="59"/>
      <c r="X136" s="1046"/>
      <c r="Y136" s="59"/>
      <c r="Z136" s="1007"/>
      <c r="AA136" s="59"/>
      <c r="AB136" s="345" t="s">
        <v>1726</v>
      </c>
      <c r="AC136" s="9" t="s">
        <v>501</v>
      </c>
      <c r="AD136" s="618">
        <f ca="1">IF(AD134=0,0,AD135/AD134)*100</f>
        <v>140.72013755681141</v>
      </c>
      <c r="AE136" s="618">
        <f ca="1">IF(AE134=0,0,AE135/AE134)*100</f>
        <v>109.99679819913244</v>
      </c>
      <c r="AF136" s="722"/>
      <c r="AG136" s="618">
        <f ca="1">IF(AG134=0,0,AG135/AG134)*100</f>
        <v>100.00912653928704</v>
      </c>
      <c r="AH136" s="618">
        <f ca="1">IF(AH134=0,0,AH135/AH134)*100</f>
        <v>107.19791319974033</v>
      </c>
      <c r="AI136" s="722"/>
      <c r="AJ136" s="618">
        <f ca="1">IF(AJ134=0,0,AJ135/AJ134)*100</f>
        <v>107.98518239254011</v>
      </c>
      <c r="AK136" s="618">
        <f ca="1">IF(AK134=0,0,AK135/AK134)*100</f>
        <v>102.2924478538616</v>
      </c>
      <c r="AL136" s="722"/>
      <c r="AM136" s="618">
        <f ca="1">IF(AM134=0,0,AM135/AM134)*100</f>
        <v>0</v>
      </c>
      <c r="AN136" s="618">
        <f ca="1">IF(AN134=0,0,AN135/AN134)*100</f>
        <v>0</v>
      </c>
      <c r="AO136" s="722"/>
      <c r="AP136" s="618">
        <f ca="1">IF(AP134=0,0,AP135/AP134)*100</f>
        <v>0</v>
      </c>
      <c r="AQ136" s="618">
        <f ca="1">IF(AQ134=0,0,AQ135/AQ134)*100</f>
        <v>0</v>
      </c>
      <c r="AR136" s="722"/>
      <c r="AS136" s="618">
        <f ca="1">IF(AS134=0,0,AS135/AS134)*100</f>
        <v>0</v>
      </c>
      <c r="AT136" s="618">
        <f ca="1">IF(AT134=0,0,AT135/AT134)*100</f>
        <v>0</v>
      </c>
      <c r="AU136" s="722"/>
      <c r="AV136" s="618">
        <f ca="1">IF(AV134=0,0,AV135/AV134)*100</f>
        <v>0</v>
      </c>
      <c r="AW136" s="618">
        <f ca="1">IF(AW134=0,0,AW135/AW134)*100</f>
        <v>0</v>
      </c>
      <c r="AX136" s="722"/>
      <c r="AY136" s="618">
        <f ca="1">IF(AY134=0,0,AY135/AY134)*100</f>
        <v>0</v>
      </c>
      <c r="AZ136" s="618">
        <f ca="1">IF(AZ134=0,0,AZ135/AZ134)*100</f>
        <v>0</v>
      </c>
      <c r="BA136" s="722"/>
      <c r="BB136" s="618">
        <f ca="1">IF(BB134=0,0,BB135/BB134)*100</f>
        <v>0</v>
      </c>
      <c r="BC136" s="618">
        <f ca="1">IF(BC134=0,0,BC135/BC134)*100</f>
        <v>0</v>
      </c>
      <c r="BD136" s="722"/>
      <c r="BE136" s="618">
        <f ca="1">IF(BE134=0,0,BE135/BE134)*100</f>
        <v>0</v>
      </c>
      <c r="BF136" s="618">
        <f ca="1">IF(BF134=0,0,BF135/BF134)*100</f>
        <v>0</v>
      </c>
      <c r="BG136" s="722"/>
      <c r="BH136" s="618">
        <f>IF(BH134=0,0,BH135/BH134)*100</f>
        <v>0</v>
      </c>
      <c r="BI136" s="618">
        <f>IF(BI134=0,0,BI135/BI134)*100</f>
        <v>0</v>
      </c>
      <c r="BJ136" s="722"/>
      <c r="BK136" s="618">
        <f>IF(BK134=0,0,BK135/BK134)*100</f>
        <v>0</v>
      </c>
      <c r="BL136" s="618">
        <f>IF(BL134=0,0,BL135/BL134)*100</f>
        <v>0</v>
      </c>
      <c r="BM136" s="722"/>
      <c r="BN136" s="618">
        <f>IF(BN134=0,0,BN135/BN134)*100</f>
        <v>0</v>
      </c>
      <c r="BO136" s="618">
        <f>IF(BO134=0,0,BO135/BO134)*100</f>
        <v>0</v>
      </c>
      <c r="BP136" s="722"/>
      <c r="BQ136" s="618">
        <f>IF(BQ134=0,0,BQ135/BQ134)*100</f>
        <v>0</v>
      </c>
      <c r="BR136" s="618">
        <f>IF(BR134=0,0,BR135/BR134)*100</f>
        <v>0</v>
      </c>
      <c r="BS136" s="722"/>
      <c r="BT136" s="618">
        <f>IF(BT134=0,0,BT135/BT134)*100</f>
        <v>0</v>
      </c>
      <c r="BU136" s="618">
        <f>IF(BU134=0,0,BU135/BU134)*100</f>
        <v>0</v>
      </c>
      <c r="BV136" s="722"/>
      <c r="BW136" s="618">
        <f>IF(BW134=0,0,BW135/BW134)*100</f>
        <v>0</v>
      </c>
      <c r="BX136" s="618">
        <f>IF(BX134=0,0,BX135/BX134)*100</f>
        <v>0</v>
      </c>
      <c r="BY136" s="722"/>
      <c r="BZ136" s="618">
        <f>IF(BZ134=0,0,BZ135/BZ134)*100</f>
        <v>0</v>
      </c>
      <c r="CA136" s="618">
        <f>IF(CA134=0,0,CA135/CA134)*100</f>
        <v>0</v>
      </c>
      <c r="CB136" s="722"/>
      <c r="CC136" s="618">
        <f>IF(CC134=0,0,CC135/CC134)*100</f>
        <v>0</v>
      </c>
      <c r="CD136" s="618">
        <f>IF(CD134=0,0,CD135/CD134)*100</f>
        <v>0</v>
      </c>
      <c r="CE136" s="722"/>
      <c r="CF136" s="618">
        <f>IF(CF134=0,0,CF135/CF134)*100</f>
        <v>0</v>
      </c>
      <c r="CG136" s="618">
        <f>IF(CG134=0,0,CG135/CG134)*100</f>
        <v>0</v>
      </c>
      <c r="CH136" s="722"/>
      <c r="CI136" s="618">
        <f>IF(CI134=0,0,CI135/CI134)*100</f>
        <v>0</v>
      </c>
      <c r="CJ136" s="618">
        <f>IF(CJ134=0,0,CJ135/CJ134)*100</f>
        <v>0</v>
      </c>
      <c r="CK136" s="722"/>
      <c r="CL136" s="618">
        <f>IF(CL134=0,0,CL135/CL134)*100</f>
        <v>0</v>
      </c>
      <c r="CM136" s="618">
        <f>IF(CM134=0,0,CM135/CM134)*100</f>
        <v>0</v>
      </c>
      <c r="CN136" s="722"/>
      <c r="CO136" s="618">
        <f>IF(CO134=0,0,CO135/CO134)*100</f>
        <v>0</v>
      </c>
      <c r="CP136" s="618">
        <f>IF(CP134=0,0,CP135/CP134)*100</f>
        <v>0</v>
      </c>
      <c r="CQ136" s="722"/>
      <c r="CR136" s="618">
        <f>IF(CR134=0,0,CR135/CR134)*100</f>
        <v>0</v>
      </c>
      <c r="CS136" s="618">
        <f>IF(CS134=0,0,CS135/CS134)*100</f>
        <v>0</v>
      </c>
      <c r="CT136" s="722"/>
      <c r="CU136" s="618">
        <f>IF(CU134=0,0,CU135/CU134)*100</f>
        <v>0</v>
      </c>
      <c r="CV136" s="618">
        <f>IF(CV134=0,0,CV135/CV134)*100</f>
        <v>0</v>
      </c>
      <c r="CW136" s="722"/>
      <c r="CX136" s="618">
        <f>IF(CX134=0,0,CX135/CX134)*100</f>
        <v>0</v>
      </c>
      <c r="CY136" s="618">
        <f>IF(CY134=0,0,CY135/CY134)*100</f>
        <v>0</v>
      </c>
      <c r="CZ136" s="722"/>
      <c r="DA136" s="618">
        <f>IF(DA134=0,0,DA135/DA134)*100</f>
        <v>0</v>
      </c>
      <c r="DB136" s="618">
        <f>IF(DB134=0,0,DB135/DB134)*100</f>
        <v>0</v>
      </c>
      <c r="DC136" s="722"/>
      <c r="DD136" s="618">
        <f>IF(DD134=0,0,DD135/DD134)*100</f>
        <v>0</v>
      </c>
      <c r="DE136" s="618">
        <f>IF(DE134=0,0,DE135/DE134)*100</f>
        <v>0</v>
      </c>
      <c r="DF136" s="722"/>
      <c r="DG136" s="618">
        <f>IF(DG134=0,0,DG135/DG134)*100</f>
        <v>0</v>
      </c>
      <c r="DH136" s="618">
        <f>IF(DH134=0,0,DH135/DH134)*100</f>
        <v>0</v>
      </c>
      <c r="DI136" s="722"/>
      <c r="DJ136" s="618">
        <f>IF(DJ134=0,0,DJ135/DJ134)*100</f>
        <v>0</v>
      </c>
      <c r="DK136" s="618">
        <f>IF(DK134=0,0,DK135/DK134)*100</f>
        <v>0</v>
      </c>
      <c r="DL136" s="722"/>
      <c r="DM136" s="618">
        <f>IF(DM134=0,0,DM135/DM134)*100</f>
        <v>0</v>
      </c>
      <c r="DN136" s="618">
        <f>IF(DN134=0,0,DN135/DN134)*100</f>
        <v>0</v>
      </c>
      <c r="DO136" s="722"/>
      <c r="DP136" s="618">
        <f>IF(DP134=0,0,DP135/DP134)*100</f>
        <v>0</v>
      </c>
      <c r="DQ136" s="618">
        <f>IF(DQ134=0,0,DQ135/DQ134)*100</f>
        <v>0</v>
      </c>
      <c r="DR136" s="722"/>
      <c r="DS136" s="618">
        <f>IF(DS134=0,0,DS135/DS134)*100</f>
        <v>0</v>
      </c>
      <c r="DT136" s="618">
        <f>IF(DT134=0,0,DT135/DT134)*100</f>
        <v>0</v>
      </c>
      <c r="DU136" s="722"/>
      <c r="DV136" s="618">
        <f>IF(DV134=0,0,DV135/DV134)*100</f>
        <v>0</v>
      </c>
      <c r="DW136" s="618">
        <f>IF(DW134=0,0,DW135/DW134)*100</f>
        <v>0</v>
      </c>
      <c r="DX136" s="722"/>
      <c r="DY136" s="618">
        <f>IF(DY134=0,0,DY135/DY134)*100</f>
        <v>0</v>
      </c>
      <c r="DZ136" s="618">
        <f>IF(DZ134=0,0,DZ135/DZ134)*100</f>
        <v>0</v>
      </c>
      <c r="EA136" s="722"/>
      <c r="EB136" s="618">
        <f>IF(EB134=0,0,EB135/EB134)*100</f>
        <v>0</v>
      </c>
      <c r="EC136" s="618">
        <f>IF(EC134=0,0,EC135/EC134)*100</f>
        <v>0</v>
      </c>
      <c r="ED136" s="722"/>
      <c r="EE136" s="618">
        <f>IF(EE134=0,0,EE135/EE134)*100</f>
        <v>0</v>
      </c>
      <c r="EF136" s="618">
        <f>IF(EF134=0,0,EF135/EF134)*100</f>
        <v>0</v>
      </c>
      <c r="EG136" s="722"/>
      <c r="EH136" s="618">
        <f>IF(EH134=0,0,EH135/EH134)*100</f>
        <v>0</v>
      </c>
      <c r="EI136" s="618">
        <f>IF(EI134=0,0,EI135/EI134)*100</f>
        <v>0</v>
      </c>
      <c r="EJ136" s="722"/>
      <c r="EK136" s="618">
        <f>IF(EK134=0,0,EK135/EK134)*100</f>
        <v>0</v>
      </c>
      <c r="EL136" s="618">
        <f>IF(EL134=0,0,EL135/EL134)*100</f>
        <v>0</v>
      </c>
      <c r="EM136" s="722"/>
      <c r="EN136" s="618">
        <f>IF(EN134=0,0,EN135/EN134)*100</f>
        <v>0</v>
      </c>
      <c r="EO136" s="618">
        <f>IF(EO134=0,0,EO135/EO134)*100</f>
        <v>0</v>
      </c>
      <c r="EP136" s="722"/>
      <c r="EQ136" s="618">
        <f>IF(EQ134=0,0,EQ135/EQ134)*100</f>
        <v>0</v>
      </c>
      <c r="ER136" s="618">
        <f>IF(ER134=0,0,ER135/ER134)*100</f>
        <v>0</v>
      </c>
      <c r="ES136" s="722"/>
      <c r="ET136" s="618">
        <f>IF(ET134=0,0,ET135/ET134)*100</f>
        <v>0</v>
      </c>
      <c r="EU136" s="618">
        <f>IF(EU134=0,0,EU135/EU134)*100</f>
        <v>0</v>
      </c>
      <c r="EV136" s="722"/>
      <c r="EW136" s="618">
        <f>IF(EW134=0,0,EW135/EW134)*100</f>
        <v>0</v>
      </c>
      <c r="EX136" s="618">
        <f>IF(EX134=0,0,EX135/EX134)*100</f>
        <v>0</v>
      </c>
      <c r="EY136" s="722"/>
      <c r="EZ136" s="618">
        <f>IF(EZ134=0,0,EZ135/EZ134)*100</f>
        <v>0</v>
      </c>
      <c r="FA136" s="618">
        <f>IF(FA134=0,0,FA135/FA134)*100</f>
        <v>0</v>
      </c>
      <c r="FB136" s="722"/>
      <c r="FC136" s="618">
        <f>IF(FC134=0,0,FC135/FC134)*100</f>
        <v>0</v>
      </c>
      <c r="FD136" s="618">
        <f>IF(FD134=0,0,FD135/FD134)*100</f>
        <v>0</v>
      </c>
      <c r="FE136" s="722"/>
      <c r="FF136" s="618">
        <f>IF(FF134=0,0,FF135/FF134)*100</f>
        <v>0</v>
      </c>
      <c r="FG136" s="618">
        <f>IF(FG134=0,0,FG135/FG134)*100</f>
        <v>0</v>
      </c>
      <c r="FH136" s="722"/>
      <c r="FI136" s="618">
        <f>IF(FI134=0,0,FI135/FI134)*100</f>
        <v>0</v>
      </c>
      <c r="FJ136" s="618">
        <f>IF(FJ134=0,0,FJ135/FJ134)*100</f>
        <v>0</v>
      </c>
      <c r="FK136" s="722"/>
      <c r="FL136" s="618">
        <f>IF(FL134=0,0,FL135/FL134)*100</f>
        <v>0</v>
      </c>
      <c r="FM136" s="618">
        <f>IF(FM134=0,0,FM135/FM134)*100</f>
        <v>0</v>
      </c>
      <c r="FN136" s="722"/>
      <c r="FO136" s="618">
        <f>IF(FO134=0,0,FO135/FO134)*100</f>
        <v>0</v>
      </c>
      <c r="FP136" s="618">
        <f>IF(FP134=0,0,FP135/FP134)*100</f>
        <v>0</v>
      </c>
      <c r="FQ136" s="722"/>
      <c r="FR136" s="618">
        <f>IF(FR134=0,0,FR135/FR134)*100</f>
        <v>0</v>
      </c>
      <c r="FS136" s="618">
        <f>IF(FS134=0,0,FS135/FS134)*100</f>
        <v>0</v>
      </c>
      <c r="FT136" s="722"/>
      <c r="FU136" s="618">
        <f>IF(FU134=0,0,FU135/FU134)*100</f>
        <v>0</v>
      </c>
      <c r="FV136" s="618">
        <f>IF(FV134=0,0,FV135/FV134)*100</f>
        <v>0</v>
      </c>
      <c r="FW136" s="723"/>
      <c r="FX136" s="203"/>
      <c r="FZ136" s="689" t="s">
        <v>1727</v>
      </c>
    </row>
    <row r="137" spans="1:186" ht="14.25" hidden="1" customHeight="1">
      <c r="A137" s="59"/>
      <c r="B137" s="611" t="b" cm="1">
        <f t="array" ref="B137">B136</f>
        <v>0</v>
      </c>
      <c r="C137" s="59"/>
      <c r="D137" s="59"/>
      <c r="E137" s="460">
        <v>15</v>
      </c>
      <c r="F137" s="3" t="str" cm="1">
        <f t="array" aca="1" ref="F137" ca="1">OFFSET(E137,-1,1)</f>
        <v>1</v>
      </c>
      <c r="G137" s="25" t="s">
        <v>1656</v>
      </c>
      <c r="H137" s="59"/>
      <c r="I137" s="59"/>
      <c r="J137" s="59"/>
      <c r="K137" s="59"/>
      <c r="L137" s="59"/>
      <c r="M137" s="59"/>
      <c r="N137" s="59"/>
      <c r="O137" s="59"/>
      <c r="P137" s="59"/>
      <c r="Q137" s="59"/>
      <c r="R137" s="59"/>
      <c r="S137" s="59"/>
      <c r="T137" s="351" t="b" cm="1">
        <f t="array" aca="1" ref="T137" ca="1">T136</f>
        <v>1</v>
      </c>
      <c r="U137" s="59"/>
      <c r="V137" s="59"/>
      <c r="W137" s="59"/>
      <c r="X137" s="1046"/>
      <c r="Y137" s="59"/>
      <c r="Z137" s="1007"/>
      <c r="AA137" s="59"/>
      <c r="AB137" s="54" t="s">
        <v>1657</v>
      </c>
      <c r="AC137" s="12" t="s">
        <v>585</v>
      </c>
      <c r="AD137" s="833">
        <f ca="1">IF(AND(method_reg="Метод индексации",god&lt;&gt;first_year),SUMIFS(INDEX('Калькуляция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(МИ)'!$AJ$25:$BC$315,,MATCH(AD$8,'Калькуляция (МИ)'!$AJ$8:$BC$8,0)),'Калькуляция (МИ)'!$F$25:$F$315,$F137,'Калькуляция (МИ)'!$G$25:$G$315,$G137))))</f>
        <v>4995.2669999999998</v>
      </c>
      <c r="AE137" s="833">
        <f ca="1">IF(AND(method_reg="Метод индексации",god&lt;&gt;first_year),SUMIFS(INDEX('Калькуляция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(МИ)'!$AJ$25:$BC$315,,MATCH(AE$8,'Калькуляция (МИ)'!$AJ$8:$BC$8,0)),'Калькуляция (МИ)'!$F$25:$F$315,$F137,'Калькуляция (МИ)'!$G$25:$G$315,$G137))))</f>
        <v>4995.26667</v>
      </c>
      <c r="AF137" s="713">
        <f ca="1">IF(AD137=0,0,(AE137-AD137)/AD137*100)</f>
        <v>-6.6062534765198969E-6</v>
      </c>
      <c r="AG137" s="190">
        <f ca="1">IF(AND(method_reg="Метод индексации",god&lt;&gt;first_year),SUMIFS(INDEX('Калькуляция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(МИ)'!$AJ$25:$BC$315,,MATCH(AG$8,'Калькуляция (МИ)'!$AJ$8:$BC$8,0)),'Калькуляция (МИ)'!$F$25:$F$315,$F137,'Калькуляция (МИ)'!$G$25:$G$315,$G137))))</f>
        <v>4995.2669999999998</v>
      </c>
      <c r="AH137" s="190">
        <f ca="1">IF(AND(method_reg="Метод индексации",god&lt;&gt;first_year),SUMIFS(INDEX('Калькуляция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(МИ)'!$AJ$25:$BC$315,,MATCH(AH$8,'Калькуляция (МИ)'!$AJ$8:$BC$8,0)),'Калькуляция (МИ)'!$F$25:$F$315,$F137,'Калькуляция (МИ)'!$G$25:$G$315,$G137))))</f>
        <v>4995.26667</v>
      </c>
      <c r="AI137" s="713">
        <f ca="1">IF(AG137=0,0,(AH137-AG137)/AG137*100)</f>
        <v>-6.6062534765198969E-6</v>
      </c>
      <c r="AJ137" s="190">
        <f ca="1">IF(AND(method_reg="Метод индексации",god&lt;&gt;first_year),SUMIFS(INDEX('Калькуляция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(МИ)'!$AJ$25:$BC$315,,MATCH(AJ$8,'Калькуляция (МИ)'!$AJ$8:$BC$8,0)),'Калькуляция (МИ)'!$F$25:$F$315,$F137,'Калькуляция (МИ)'!$G$25:$G$315,$G137))))</f>
        <v>4995.2669999999998</v>
      </c>
      <c r="AK137" s="190">
        <f ca="1">IF(AND(method_reg="Метод индексации",god&lt;&gt;first_year),SUMIFS(INDEX('Калькуляция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(МИ)'!$AJ$25:$BC$315,,MATCH(AK$8,'Калькуляция (МИ)'!$AJ$8:$BC$8,0)),'Калькуляция (МИ)'!$F$25:$F$315,$F137,'Калькуляция (МИ)'!$G$25:$G$315,$G137))))</f>
        <v>4995.26667</v>
      </c>
      <c r="AL137" s="713">
        <f ca="1">IF(AJ137=0,0,(AK137-AJ137)/AJ137*100)</f>
        <v>-6.6062534765198969E-6</v>
      </c>
      <c r="AM137" s="833">
        <f ca="1">IF(AND(method_reg="Метод индексации",god&lt;&gt;first_year),SUMIFS(INDEX('Калькуляция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(МИ)'!$AJ$25:$BC$315,,MATCH(AM$8,'Калькуляция (МИ)'!$AJ$8:$BC$8,0)),'Калькуляция (МИ)'!$F$25:$F$315,$F137,'Калькуляция (МИ)'!$G$25:$G$315,$G137))))</f>
        <v>0</v>
      </c>
      <c r="AN137" s="833">
        <f ca="1">IF(AND(method_reg="Метод индексации",god&lt;&gt;first_year),SUMIFS(INDEX('Калькуляция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(МИ)'!$AJ$25:$BC$315,,MATCH(AN$8,'Калькуляция (МИ)'!$AJ$8:$BC$8,0)),'Калькуляция (МИ)'!$F$25:$F$315,$F137,'Калькуляция (МИ)'!$G$25:$G$315,$G137))))</f>
        <v>0</v>
      </c>
      <c r="AO137" s="713">
        <f ca="1">IF(AM137=0,0,(AN137-AM137)/AM137*100)</f>
        <v>0</v>
      </c>
      <c r="AP137" s="833">
        <f ca="1">IF(AND(method_reg="Метод индексации",god&lt;&gt;first_year),SUMIFS(INDEX('Калькуляция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(МИ)'!$AJ$25:$BC$315,,MATCH(AP$8,'Калькуляция (МИ)'!$AJ$8:$BC$8,0)),'Калькуляция (МИ)'!$F$25:$F$315,$F137,'Калькуляция (МИ)'!$G$25:$G$315,$G137))))</f>
        <v>0</v>
      </c>
      <c r="AQ137" s="833">
        <f ca="1">IF(AND(method_reg="Метод индексации",god&lt;&gt;first_year),SUMIFS(INDEX('Калькуляция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(МИ)'!$AJ$25:$BC$315,,MATCH(AQ$8,'Калькуляция (МИ)'!$AJ$8:$BC$8,0)),'Калькуляция (МИ)'!$F$25:$F$315,$F137,'Калькуляция (МИ)'!$G$25:$G$315,$G137))))</f>
        <v>0</v>
      </c>
      <c r="AR137" s="713">
        <f ca="1">IF(AP137=0,0,(AQ137-AP137)/AP137*100)</f>
        <v>0</v>
      </c>
      <c r="AS137" s="833">
        <f ca="1">IF(AND(method_reg="Метод индексации",god&lt;&gt;first_year),SUMIFS(INDEX('Калькуляция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(МИ)'!$AJ$25:$BC$315,,MATCH(AS$8,'Калькуляция (МИ)'!$AJ$8:$BC$8,0)),'Калькуляция (МИ)'!$F$25:$F$315,$F137,'Калькуляция (МИ)'!$G$25:$G$315,$G137))))</f>
        <v>0</v>
      </c>
      <c r="AT137" s="833">
        <f ca="1">IF(AND(method_reg="Метод индексации",god&lt;&gt;first_year),SUMIFS(INDEX('Калькуляция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(МИ)'!$AJ$25:$BC$315,,MATCH(AT$8,'Калькуляция (МИ)'!$AJ$8:$BC$8,0)),'Калькуляция (МИ)'!$F$25:$F$315,$F137,'Калькуляция (МИ)'!$G$25:$G$315,$G137))))</f>
        <v>0</v>
      </c>
      <c r="AU137" s="713">
        <f ca="1">IF(AS137=0,0,(AT137-AS137)/AS137*100)</f>
        <v>0</v>
      </c>
      <c r="AV137" s="833">
        <f ca="1">IF(AND(method_reg="Метод индексации",god&lt;&gt;first_year),SUMIFS(INDEX('Калькуляция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(МИ)'!$AJ$25:$BC$315,,MATCH(AV$8,'Калькуляция (МИ)'!$AJ$8:$BC$8,0)),'Калькуляция (МИ)'!$F$25:$F$315,$F137,'Калькуляция (МИ)'!$G$25:$G$315,$G137))))</f>
        <v>0</v>
      </c>
      <c r="AW137" s="833">
        <f ca="1">IF(AND(method_reg="Метод индексации",god&lt;&gt;first_year),SUMIFS(INDEX('Калькуляция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(МИ)'!$AJ$25:$BC$315,,MATCH(AW$8,'Калькуляция (МИ)'!$AJ$8:$BC$8,0)),'Калькуляция (МИ)'!$F$25:$F$315,$F137,'Калькуляция (МИ)'!$G$25:$G$315,$G137))))</f>
        <v>0</v>
      </c>
      <c r="AX137" s="713">
        <f ca="1">IF(AV137=0,0,(AW137-AV137)/AV137*100)</f>
        <v>0</v>
      </c>
      <c r="AY137" s="833">
        <f ca="1">IF(AND(method_reg="Метод индексации",god&lt;&gt;first_year),SUMIFS(INDEX('Калькуляция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(МИ)'!$AJ$25:$BC$315,,MATCH(AY$8,'Калькуляция (МИ)'!$AJ$8:$BC$8,0)),'Калькуляция (МИ)'!$F$25:$F$315,$F137,'Калькуляция (МИ)'!$G$25:$G$315,$G137))))</f>
        <v>0</v>
      </c>
      <c r="AZ137" s="833">
        <f ca="1">IF(AND(method_reg="Метод индексации",god&lt;&gt;first_year),SUMIFS(INDEX('Калькуляция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(МИ)'!$AJ$25:$BC$315,,MATCH(AZ$8,'Калькуляция (МИ)'!$AJ$8:$BC$8,0)),'Калькуляция (МИ)'!$F$25:$F$315,$F137,'Калькуляция (МИ)'!$G$25:$G$315,$G137))))</f>
        <v>0</v>
      </c>
      <c r="BA137" s="713">
        <f ca="1">IF(AY137=0,0,(AZ137-AY137)/AY137*100)</f>
        <v>0</v>
      </c>
      <c r="BB137" s="833">
        <f ca="1">IF(AND(method_reg="Метод индексации",god&lt;&gt;first_year),SUMIFS(INDEX('Калькуляция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(МИ)'!$AJ$25:$BC$315,,MATCH(BB$8,'Калькуляция (МИ)'!$AJ$8:$BC$8,0)),'Калькуляция (МИ)'!$F$25:$F$315,$F137,'Калькуляция (МИ)'!$G$25:$G$315,$G137))))</f>
        <v>0</v>
      </c>
      <c r="BC137" s="833">
        <f ca="1">IF(AND(method_reg="Метод индексации",god&lt;&gt;first_year),SUMIFS(INDEX('Калькуляция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(МИ)'!$AJ$25:$BC$315,,MATCH(BC$8,'Калькуляция (МИ)'!$AJ$8:$BC$8,0)),'Калькуляция (МИ)'!$F$25:$F$315,$F137,'Калькуляция (МИ)'!$G$25:$G$315,$G137))))</f>
        <v>0</v>
      </c>
      <c r="BD137" s="713">
        <f ca="1">IF(BB137=0,0,(BC137-BB137)/BB137*100)</f>
        <v>0</v>
      </c>
      <c r="BE137" s="833">
        <f ca="1">IF(AND(method_reg="Метод индексации",god&lt;&gt;first_year),SUMIFS(INDEX('Калькуляция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(МИ)'!$AJ$25:$BC$315,,MATCH(BE$8,'Калькуляция (МИ)'!$AJ$8:$BC$8,0)),'Калькуляция (МИ)'!$F$25:$F$315,$F137,'Калькуляция (МИ)'!$G$25:$G$315,$G137))))</f>
        <v>0</v>
      </c>
      <c r="BF137" s="833">
        <f ca="1">IF(AND(method_reg="Метод индексации",god&lt;&gt;first_year),SUMIFS(INDEX('Калькуляция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(МИ)'!$AJ$25:$BC$315,,MATCH(BF$8,'Калькуляция (МИ)'!$AJ$8:$BC$8,0)),'Калькуляция (МИ)'!$F$25:$F$315,$F137,'Калькуляция (МИ)'!$G$25:$G$315,$G137))))</f>
        <v>0</v>
      </c>
      <c r="BG137" s="713">
        <f ca="1">IF(BE137=0,0,(BF137-BE137)/BE137*100)</f>
        <v>0</v>
      </c>
      <c r="BH137" s="833"/>
      <c r="BI137" s="833"/>
      <c r="BJ137" s="713">
        <f>IF(BH137=0,0,(BI137-BH137)/BH137*100)</f>
        <v>0</v>
      </c>
      <c r="BK137" s="833"/>
      <c r="BL137" s="833"/>
      <c r="BM137" s="713">
        <f>IF(BK137=0,0,(BL137-BK137)/BK137*100)</f>
        <v>0</v>
      </c>
      <c r="BN137" s="833"/>
      <c r="BO137" s="833"/>
      <c r="BP137" s="713">
        <f>IF(BN137=0,0,(BO137-BN137)/BN137*100)</f>
        <v>0</v>
      </c>
      <c r="BQ137" s="833"/>
      <c r="BR137" s="833"/>
      <c r="BS137" s="713">
        <f>IF(BQ137=0,0,(BR137-BQ137)/BQ137*100)</f>
        <v>0</v>
      </c>
      <c r="BT137" s="833"/>
      <c r="BU137" s="833"/>
      <c r="BV137" s="713">
        <f>IF(BT137=0,0,(BU137-BT137)/BT137*100)</f>
        <v>0</v>
      </c>
      <c r="BW137" s="833"/>
      <c r="BX137" s="833"/>
      <c r="BY137" s="713">
        <f>IF(BW137=0,0,(BX137-BW137)/BW137*100)</f>
        <v>0</v>
      </c>
      <c r="BZ137" s="833"/>
      <c r="CA137" s="833"/>
      <c r="CB137" s="713">
        <f>IF(BZ137=0,0,(CA137-BZ137)/BZ137*100)</f>
        <v>0</v>
      </c>
      <c r="CC137" s="833"/>
      <c r="CD137" s="833"/>
      <c r="CE137" s="713">
        <f>IF(CC137=0,0,(CD137-CC137)/CC137*100)</f>
        <v>0</v>
      </c>
      <c r="CF137" s="833"/>
      <c r="CG137" s="833"/>
      <c r="CH137" s="713">
        <f>IF(CF137=0,0,(CG137-CF137)/CF137*100)</f>
        <v>0</v>
      </c>
      <c r="CI137" s="833"/>
      <c r="CJ137" s="833"/>
      <c r="CK137" s="713">
        <f>IF(CI137=0,0,(CJ137-CI137)/CI137*100)</f>
        <v>0</v>
      </c>
      <c r="CL137" s="833"/>
      <c r="CM137" s="833"/>
      <c r="CN137" s="713">
        <f>IF(CL137=0,0,(CM137-CL137)/CL137*100)</f>
        <v>0</v>
      </c>
      <c r="CO137" s="833"/>
      <c r="CP137" s="833"/>
      <c r="CQ137" s="713">
        <f>IF(CO137=0,0,(CP137-CO137)/CO137*100)</f>
        <v>0</v>
      </c>
      <c r="CR137" s="833"/>
      <c r="CS137" s="833"/>
      <c r="CT137" s="713">
        <f>IF(CR137=0,0,(CS137-CR137)/CR137*100)</f>
        <v>0</v>
      </c>
      <c r="CU137" s="833"/>
      <c r="CV137" s="833"/>
      <c r="CW137" s="713">
        <f>IF(CU137=0,0,(CV137-CU137)/CU137*100)</f>
        <v>0</v>
      </c>
      <c r="CX137" s="833"/>
      <c r="CY137" s="833"/>
      <c r="CZ137" s="713">
        <f>IF(CX137=0,0,(CY137-CX137)/CX137*100)</f>
        <v>0</v>
      </c>
      <c r="DA137" s="833"/>
      <c r="DB137" s="833"/>
      <c r="DC137" s="713">
        <f>IF(DA137=0,0,(DB137-DA137)/DA137*100)</f>
        <v>0</v>
      </c>
      <c r="DD137" s="833"/>
      <c r="DE137" s="833"/>
      <c r="DF137" s="713">
        <f>IF(DD137=0,0,(DE137-DD137)/DD137*100)</f>
        <v>0</v>
      </c>
      <c r="DG137" s="833"/>
      <c r="DH137" s="833"/>
      <c r="DI137" s="713">
        <f>IF(DG137=0,0,(DH137-DG137)/DG137*100)</f>
        <v>0</v>
      </c>
      <c r="DJ137" s="833"/>
      <c r="DK137" s="833"/>
      <c r="DL137" s="713">
        <f>IF(DJ137=0,0,(DK137-DJ137)/DJ137*100)</f>
        <v>0</v>
      </c>
      <c r="DM137" s="833"/>
      <c r="DN137" s="833"/>
      <c r="DO137" s="713">
        <f>IF(DM137=0,0,(DN137-DM137)/DM137*100)</f>
        <v>0</v>
      </c>
      <c r="DP137" s="833"/>
      <c r="DQ137" s="833"/>
      <c r="DR137" s="713">
        <f>IF(DP137=0,0,(DQ137-DP137)/DP137*100)</f>
        <v>0</v>
      </c>
      <c r="DS137" s="833"/>
      <c r="DT137" s="833"/>
      <c r="DU137" s="713">
        <f>IF(DS137=0,0,(DT137-DS137)/DS137*100)</f>
        <v>0</v>
      </c>
      <c r="DV137" s="833"/>
      <c r="DW137" s="833"/>
      <c r="DX137" s="713">
        <f>IF(DV137=0,0,(DW137-DV137)/DV137*100)</f>
        <v>0</v>
      </c>
      <c r="DY137" s="833"/>
      <c r="DZ137" s="833"/>
      <c r="EA137" s="713">
        <f>IF(DY137=0,0,(DZ137-DY137)/DY137*100)</f>
        <v>0</v>
      </c>
      <c r="EB137" s="833"/>
      <c r="EC137" s="833"/>
      <c r="ED137" s="713">
        <f>IF(EB137=0,0,(EC137-EB137)/EB137*100)</f>
        <v>0</v>
      </c>
      <c r="EE137" s="833"/>
      <c r="EF137" s="833"/>
      <c r="EG137" s="713">
        <f>IF(EE137=0,0,(EF137-EE137)/EE137*100)</f>
        <v>0</v>
      </c>
      <c r="EH137" s="833"/>
      <c r="EI137" s="833"/>
      <c r="EJ137" s="713">
        <f>IF(EH137=0,0,(EI137-EH137)/EH137*100)</f>
        <v>0</v>
      </c>
      <c r="EK137" s="833"/>
      <c r="EL137" s="833"/>
      <c r="EM137" s="713">
        <f>IF(EK137=0,0,(EL137-EK137)/EK137*100)</f>
        <v>0</v>
      </c>
      <c r="EN137" s="833"/>
      <c r="EO137" s="833"/>
      <c r="EP137" s="713">
        <f>IF(EN137=0,0,(EO137-EN137)/EN137*100)</f>
        <v>0</v>
      </c>
      <c r="EQ137" s="833"/>
      <c r="ER137" s="833"/>
      <c r="ES137" s="713">
        <f>IF(EQ137=0,0,(ER137-EQ137)/EQ137*100)</f>
        <v>0</v>
      </c>
      <c r="ET137" s="833"/>
      <c r="EU137" s="833"/>
      <c r="EV137" s="713">
        <f>IF(ET137=0,0,(EU137-ET137)/ET137*100)</f>
        <v>0</v>
      </c>
      <c r="EW137" s="833"/>
      <c r="EX137" s="833"/>
      <c r="EY137" s="713">
        <f>IF(EW137=0,0,(EX137-EW137)/EW137*100)</f>
        <v>0</v>
      </c>
      <c r="EZ137" s="833"/>
      <c r="FA137" s="833"/>
      <c r="FB137" s="713">
        <f>IF(EZ137=0,0,(FA137-EZ137)/EZ137*100)</f>
        <v>0</v>
      </c>
      <c r="FC137" s="833"/>
      <c r="FD137" s="833"/>
      <c r="FE137" s="713">
        <f>IF(FC137=0,0,(FD137-FC137)/FC137*100)</f>
        <v>0</v>
      </c>
      <c r="FF137" s="833"/>
      <c r="FG137" s="833"/>
      <c r="FH137" s="713">
        <f>IF(FF137=0,0,(FG137-FF137)/FF137*100)</f>
        <v>0</v>
      </c>
      <c r="FI137" s="833"/>
      <c r="FJ137" s="833"/>
      <c r="FK137" s="713">
        <f>IF(FI137=0,0,(FJ137-FI137)/FI137*100)</f>
        <v>0</v>
      </c>
      <c r="FL137" s="833"/>
      <c r="FM137" s="833"/>
      <c r="FN137" s="713">
        <f>IF(FL137=0,0,(FM137-FL137)/FL137*100)</f>
        <v>0</v>
      </c>
      <c r="FO137" s="833"/>
      <c r="FP137" s="833"/>
      <c r="FQ137" s="713">
        <f>IF(FO137=0,0,(FP137-FO137)/FO137*100)</f>
        <v>0</v>
      </c>
      <c r="FR137" s="833"/>
      <c r="FS137" s="833"/>
      <c r="FT137" s="713">
        <f>IF(FR137=0,0,(FS137-FR137)/FR137*100)</f>
        <v>0</v>
      </c>
      <c r="FU137" s="833"/>
      <c r="FV137" s="833"/>
      <c r="FW137" s="713">
        <f>IF(FU137=0,0,(FV137-FU137)/FU137*100)</f>
        <v>0</v>
      </c>
      <c r="FX137" s="203"/>
      <c r="FZ137" s="689" t="s">
        <v>1728</v>
      </c>
    </row>
    <row r="138" spans="1:186" ht="18" hidden="1" customHeight="1">
      <c r="A138" s="59"/>
      <c r="B138" s="611" t="b" cm="1">
        <f t="array" ref="B138">B137</f>
        <v>0</v>
      </c>
      <c r="C138" s="59"/>
      <c r="D138" s="59"/>
      <c r="E138" s="460">
        <v>18.75</v>
      </c>
      <c r="F138" s="3" t="str" cm="1">
        <f t="array" aca="1" ref="F138" ca="1">OFFSET(E138,-1,1)</f>
        <v>1</v>
      </c>
      <c r="G138" s="59"/>
      <c r="H138" s="59" t="s">
        <v>507</v>
      </c>
      <c r="I138" s="59" cm="1">
        <f t="array" ref="I138">AB138</f>
        <v>0</v>
      </c>
      <c r="J138" s="59"/>
      <c r="K138" s="59"/>
      <c r="L138" s="59"/>
      <c r="M138" s="59"/>
      <c r="N138" s="59"/>
      <c r="O138" s="59"/>
      <c r="P138" s="59"/>
      <c r="Q138" s="59"/>
      <c r="R138" s="59"/>
      <c r="S138" s="59"/>
      <c r="T138" s="351" t="b">
        <f ca="1">AND(F138&gt;0,Y138&gt;0)</f>
        <v>0</v>
      </c>
      <c r="U138" s="59"/>
      <c r="V138" s="59"/>
      <c r="W138" s="59" t="s">
        <v>171</v>
      </c>
      <c r="X138" s="1046"/>
      <c r="Y138" s="59">
        <v>0</v>
      </c>
      <c r="Z138" s="1007"/>
      <c r="AA138" s="480" t="s">
        <v>172</v>
      </c>
      <c r="AB138" s="885"/>
      <c r="AC138" s="12" t="s">
        <v>1647</v>
      </c>
      <c r="AD138" s="817"/>
      <c r="AE138" s="898"/>
      <c r="AF138" s="712">
        <f>IF(AD138=0,0,(AE138-AD138)/AD138*100)</f>
        <v>0</v>
      </c>
      <c r="AG138" s="714"/>
      <c r="AH138" s="714"/>
      <c r="AI138" s="712">
        <f>IF(AG138=0,0,(AH138-AG138)/AG138*100)</f>
        <v>0</v>
      </c>
      <c r="AJ138" s="714"/>
      <c r="AK138" s="714"/>
      <c r="AL138" s="712">
        <f>IF(AJ138=0,0,(AK138-AJ138)/AJ138*100)</f>
        <v>0</v>
      </c>
      <c r="AM138" s="898"/>
      <c r="AN138" s="898"/>
      <c r="AO138" s="712">
        <f>IF(AM138=0,0,(AN138-AM138)/AM138*100)</f>
        <v>0</v>
      </c>
      <c r="AP138" s="898"/>
      <c r="AQ138" s="898"/>
      <c r="AR138" s="712">
        <f>IF(AP138=0,0,(AQ138-AP138)/AP138*100)</f>
        <v>0</v>
      </c>
      <c r="AS138" s="898"/>
      <c r="AT138" s="898"/>
      <c r="AU138" s="712">
        <f>IF(AS138=0,0,(AT138-AS138)/AS138*100)</f>
        <v>0</v>
      </c>
      <c r="AV138" s="898"/>
      <c r="AW138" s="898"/>
      <c r="AX138" s="712">
        <f>IF(AV138=0,0,(AW138-AV138)/AV138*100)</f>
        <v>0</v>
      </c>
      <c r="AY138" s="898"/>
      <c r="AZ138" s="898"/>
      <c r="BA138" s="712">
        <f>IF(AY138=0,0,(AZ138-AY138)/AY138*100)</f>
        <v>0</v>
      </c>
      <c r="BB138" s="898"/>
      <c r="BC138" s="898"/>
      <c r="BD138" s="712">
        <f>IF(BB138=0,0,(BC138-BB138)/BB138*100)</f>
        <v>0</v>
      </c>
      <c r="BE138" s="898"/>
      <c r="BF138" s="898"/>
      <c r="BG138" s="712">
        <f>IF(BE138=0,0,(BF138-BE138)/BE138*100)</f>
        <v>0</v>
      </c>
      <c r="BH138" s="898"/>
      <c r="BI138" s="898"/>
      <c r="BJ138" s="712">
        <f>IF(BH138=0,0,(BI138-BH138)/BH138*100)</f>
        <v>0</v>
      </c>
      <c r="BK138" s="898"/>
      <c r="BL138" s="898"/>
      <c r="BM138" s="712">
        <f>IF(BK138=0,0,(BL138-BK138)/BK138*100)</f>
        <v>0</v>
      </c>
      <c r="BN138" s="898"/>
      <c r="BO138" s="898"/>
      <c r="BP138" s="712">
        <f>IF(BN138=0,0,(BO138-BN138)/BN138*100)</f>
        <v>0</v>
      </c>
      <c r="BQ138" s="898"/>
      <c r="BR138" s="898"/>
      <c r="BS138" s="712">
        <f>IF(BQ138=0,0,(BR138-BQ138)/BQ138*100)</f>
        <v>0</v>
      </c>
      <c r="BT138" s="898"/>
      <c r="BU138" s="898"/>
      <c r="BV138" s="712">
        <f>IF(BT138=0,0,(BU138-BT138)/BT138*100)</f>
        <v>0</v>
      </c>
      <c r="BW138" s="898"/>
      <c r="BX138" s="898"/>
      <c r="BY138" s="712">
        <f>IF(BW138=0,0,(BX138-BW138)/BW138*100)</f>
        <v>0</v>
      </c>
      <c r="BZ138" s="898"/>
      <c r="CA138" s="898"/>
      <c r="CB138" s="712">
        <f>IF(BZ138=0,0,(CA138-BZ138)/BZ138*100)</f>
        <v>0</v>
      </c>
      <c r="CC138" s="898"/>
      <c r="CD138" s="898"/>
      <c r="CE138" s="712">
        <f>IF(CC138=0,0,(CD138-CC138)/CC138*100)</f>
        <v>0</v>
      </c>
      <c r="CF138" s="898"/>
      <c r="CG138" s="898"/>
      <c r="CH138" s="712">
        <f>IF(CF138=0,0,(CG138-CF138)/CF138*100)</f>
        <v>0</v>
      </c>
      <c r="CI138" s="898"/>
      <c r="CJ138" s="898"/>
      <c r="CK138" s="712">
        <f>IF(CI138=0,0,(CJ138-CI138)/CI138*100)</f>
        <v>0</v>
      </c>
      <c r="CL138" s="898"/>
      <c r="CM138" s="898"/>
      <c r="CN138" s="712">
        <f>IF(CL138=0,0,(CM138-CL138)/CL138*100)</f>
        <v>0</v>
      </c>
      <c r="CO138" s="898"/>
      <c r="CP138" s="898"/>
      <c r="CQ138" s="712">
        <f>IF(CO138=0,0,(CP138-CO138)/CO138*100)</f>
        <v>0</v>
      </c>
      <c r="CR138" s="898"/>
      <c r="CS138" s="898"/>
      <c r="CT138" s="712">
        <f>IF(CR138=0,0,(CS138-CR138)/CR138*100)</f>
        <v>0</v>
      </c>
      <c r="CU138" s="898"/>
      <c r="CV138" s="898"/>
      <c r="CW138" s="712">
        <f>IF(CU138=0,0,(CV138-CU138)/CU138*100)</f>
        <v>0</v>
      </c>
      <c r="CX138" s="898"/>
      <c r="CY138" s="898"/>
      <c r="CZ138" s="712">
        <f>IF(CX138=0,0,(CY138-CX138)/CX138*100)</f>
        <v>0</v>
      </c>
      <c r="DA138" s="898"/>
      <c r="DB138" s="898"/>
      <c r="DC138" s="712">
        <f>IF(DA138=0,0,(DB138-DA138)/DA138*100)</f>
        <v>0</v>
      </c>
      <c r="DD138" s="898"/>
      <c r="DE138" s="898"/>
      <c r="DF138" s="712">
        <f>IF(DD138=0,0,(DE138-DD138)/DD138*100)</f>
        <v>0</v>
      </c>
      <c r="DG138" s="898"/>
      <c r="DH138" s="898"/>
      <c r="DI138" s="712">
        <f>IF(DG138=0,0,(DH138-DG138)/DG138*100)</f>
        <v>0</v>
      </c>
      <c r="DJ138" s="898"/>
      <c r="DK138" s="898"/>
      <c r="DL138" s="712">
        <f>IF(DJ138=0,0,(DK138-DJ138)/DJ138*100)</f>
        <v>0</v>
      </c>
      <c r="DM138" s="898"/>
      <c r="DN138" s="898"/>
      <c r="DO138" s="712">
        <f>IF(DM138=0,0,(DN138-DM138)/DM138*100)</f>
        <v>0</v>
      </c>
      <c r="DP138" s="898"/>
      <c r="DQ138" s="898"/>
      <c r="DR138" s="712">
        <f>IF(DP138=0,0,(DQ138-DP138)/DP138*100)</f>
        <v>0</v>
      </c>
      <c r="DS138" s="898"/>
      <c r="DT138" s="898"/>
      <c r="DU138" s="712">
        <f>IF(DS138=0,0,(DT138-DS138)/DS138*100)</f>
        <v>0</v>
      </c>
      <c r="DV138" s="898"/>
      <c r="DW138" s="898"/>
      <c r="DX138" s="712">
        <f>IF(DV138=0,0,(DW138-DV138)/DV138*100)</f>
        <v>0</v>
      </c>
      <c r="DY138" s="898"/>
      <c r="DZ138" s="898"/>
      <c r="EA138" s="712">
        <f>IF(DY138=0,0,(DZ138-DY138)/DY138*100)</f>
        <v>0</v>
      </c>
      <c r="EB138" s="898"/>
      <c r="EC138" s="898"/>
      <c r="ED138" s="712">
        <f>IF(EB138=0,0,(EC138-EB138)/EB138*100)</f>
        <v>0</v>
      </c>
      <c r="EE138" s="898"/>
      <c r="EF138" s="898"/>
      <c r="EG138" s="712">
        <f>IF(EE138=0,0,(EF138-EE138)/EE138*100)</f>
        <v>0</v>
      </c>
      <c r="EH138" s="898"/>
      <c r="EI138" s="898"/>
      <c r="EJ138" s="712">
        <f>IF(EH138=0,0,(EI138-EH138)/EH138*100)</f>
        <v>0</v>
      </c>
      <c r="EK138" s="898"/>
      <c r="EL138" s="898"/>
      <c r="EM138" s="712">
        <f>IF(EK138=0,0,(EL138-EK138)/EK138*100)</f>
        <v>0</v>
      </c>
      <c r="EN138" s="898"/>
      <c r="EO138" s="898"/>
      <c r="EP138" s="712">
        <f>IF(EN138=0,0,(EO138-EN138)/EN138*100)</f>
        <v>0</v>
      </c>
      <c r="EQ138" s="898"/>
      <c r="ER138" s="898"/>
      <c r="ES138" s="712">
        <f>IF(EQ138=0,0,(ER138-EQ138)/EQ138*100)</f>
        <v>0</v>
      </c>
      <c r="ET138" s="898"/>
      <c r="EU138" s="898"/>
      <c r="EV138" s="712">
        <f>IF(ET138=0,0,(EU138-ET138)/ET138*100)</f>
        <v>0</v>
      </c>
      <c r="EW138" s="898"/>
      <c r="EX138" s="898"/>
      <c r="EY138" s="712">
        <f>IF(EW138=0,0,(EX138-EW138)/EW138*100)</f>
        <v>0</v>
      </c>
      <c r="EZ138" s="898"/>
      <c r="FA138" s="898"/>
      <c r="FB138" s="712">
        <f>IF(EZ138=0,0,(FA138-EZ138)/EZ138*100)</f>
        <v>0</v>
      </c>
      <c r="FC138" s="898"/>
      <c r="FD138" s="898"/>
      <c r="FE138" s="712">
        <f>IF(FC138=0,0,(FD138-FC138)/FC138*100)</f>
        <v>0</v>
      </c>
      <c r="FF138" s="898"/>
      <c r="FG138" s="898"/>
      <c r="FH138" s="712">
        <f>IF(FF138=0,0,(FG138-FF138)/FF138*100)</f>
        <v>0</v>
      </c>
      <c r="FI138" s="898"/>
      <c r="FJ138" s="898"/>
      <c r="FK138" s="712">
        <f>IF(FI138=0,0,(FJ138-FI138)/FI138*100)</f>
        <v>0</v>
      </c>
      <c r="FL138" s="898"/>
      <c r="FM138" s="898"/>
      <c r="FN138" s="712">
        <f>IF(FL138=0,0,(FM138-FL138)/FL138*100)</f>
        <v>0</v>
      </c>
      <c r="FO138" s="898"/>
      <c r="FP138" s="898"/>
      <c r="FQ138" s="712">
        <f>IF(FO138=0,0,(FP138-FO138)/FO138*100)</f>
        <v>0</v>
      </c>
      <c r="FR138" s="898"/>
      <c r="FS138" s="898"/>
      <c r="FT138" s="712">
        <f>IF(FR138=0,0,(FS138-FR138)/FR138*100)</f>
        <v>0</v>
      </c>
      <c r="FU138" s="898"/>
      <c r="FV138" s="898"/>
      <c r="FW138" s="712">
        <f>IF(FU138=0,0,(FV138-FU138)/FU138*100)</f>
        <v>0</v>
      </c>
      <c r="FX138" s="203"/>
      <c r="FZ138" s="689" t="s">
        <v>1729</v>
      </c>
      <c r="GA138" s="669" t="s">
        <v>1730</v>
      </c>
      <c r="GB138" s="669" cm="1">
        <f t="array" ref="GB138">AB138</f>
        <v>0</v>
      </c>
      <c r="GD138" s="459" t="b">
        <v>1</v>
      </c>
    </row>
    <row r="139" spans="1:186" ht="14.25" hidden="1" customHeight="1">
      <c r="B139" s="611" t="b" cm="1">
        <f t="array" ref="B139">B138</f>
        <v>0</v>
      </c>
      <c r="D139" s="59"/>
      <c r="E139" s="460">
        <v>15</v>
      </c>
      <c r="F139" s="3" t="str" cm="1">
        <f t="array" aca="1" ref="F139" ca="1">OFFSET(E139,-1,1)</f>
        <v>1</v>
      </c>
      <c r="G139" s="59"/>
      <c r="I139" s="17" t="s">
        <v>1731</v>
      </c>
      <c r="T139" s="351" t="b">
        <f ca="1">F139&gt;0</f>
        <v>1</v>
      </c>
      <c r="W139" s="515" t="s">
        <v>1677</v>
      </c>
      <c r="X139" s="1046"/>
      <c r="Z139" s="1007"/>
      <c r="AB139" s="171" t="s">
        <v>175</v>
      </c>
      <c r="AC139" s="175"/>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73"/>
      <c r="DW139" s="173"/>
      <c r="DX139" s="173"/>
      <c r="DY139" s="173"/>
      <c r="DZ139" s="173"/>
      <c r="EA139" s="173"/>
      <c r="EB139" s="173"/>
      <c r="EC139" s="173"/>
      <c r="ED139" s="173"/>
      <c r="EE139" s="173"/>
      <c r="EF139" s="173"/>
      <c r="EG139" s="173"/>
      <c r="EH139" s="173"/>
      <c r="EI139" s="173"/>
      <c r="EJ139" s="173"/>
      <c r="EK139" s="173"/>
      <c r="EL139" s="173"/>
      <c r="EM139" s="173"/>
      <c r="EN139" s="173"/>
      <c r="EO139" s="173"/>
      <c r="EP139" s="173"/>
      <c r="EQ139" s="173"/>
      <c r="ER139" s="173"/>
      <c r="ES139" s="173"/>
      <c r="ET139" s="173"/>
      <c r="EU139" s="173"/>
      <c r="EV139" s="173"/>
      <c r="EW139" s="173"/>
      <c r="EX139" s="173"/>
      <c r="EY139" s="173"/>
      <c r="EZ139" s="173"/>
      <c r="FA139" s="173"/>
      <c r="FB139" s="173"/>
      <c r="FC139" s="173"/>
      <c r="FD139" s="173"/>
      <c r="FE139" s="173"/>
      <c r="FF139" s="173"/>
      <c r="FG139" s="173"/>
      <c r="FH139" s="173"/>
      <c r="FI139" s="173"/>
      <c r="FJ139" s="173"/>
      <c r="FK139" s="173"/>
      <c r="FL139" s="173"/>
      <c r="FM139" s="173"/>
      <c r="FN139" s="173"/>
      <c r="FO139" s="173"/>
      <c r="FP139" s="173"/>
      <c r="FQ139" s="173"/>
      <c r="FR139" s="173"/>
      <c r="FS139" s="173"/>
      <c r="FT139" s="173"/>
      <c r="FU139" s="173"/>
      <c r="FV139" s="173"/>
      <c r="FW139" s="174"/>
      <c r="GC139" s="459" t="s">
        <v>1730</v>
      </c>
    </row>
    <row r="140" spans="1:186" ht="10.5" customHeight="1">
      <c r="B140" s="596"/>
      <c r="D140" s="59"/>
      <c r="E140" s="460">
        <v>11.5</v>
      </c>
      <c r="G140" s="59"/>
      <c r="T140" s="351" t="b" cm="1">
        <f t="array" aca="1" ref="T140" ca="1">T139</f>
        <v>1</v>
      </c>
      <c r="W140" s="515"/>
      <c r="X140" s="1046"/>
      <c r="Z140" s="1007"/>
      <c r="FZ140" s="659"/>
      <c r="GA140" s="659"/>
      <c r="GB140" s="653"/>
      <c r="GC140" s="452"/>
      <c r="GD140" s="452"/>
    </row>
    <row r="141" spans="1:186" ht="10.9" customHeight="1">
      <c r="A141" s="314"/>
      <c r="B141" s="612"/>
      <c r="C141" s="314"/>
      <c r="D141" s="314"/>
      <c r="E141" s="478">
        <v>11.25</v>
      </c>
      <c r="F141" s="614"/>
      <c r="G141" s="314"/>
      <c r="H141" s="314"/>
      <c r="I141" s="314"/>
      <c r="J141" s="314"/>
      <c r="K141" s="314"/>
      <c r="L141" s="314"/>
      <c r="M141" s="314"/>
      <c r="N141" s="314"/>
      <c r="O141" s="314"/>
      <c r="P141" s="314"/>
      <c r="Q141" s="314"/>
      <c r="R141" s="314"/>
      <c r="S141" s="314"/>
      <c r="T141" s="314"/>
      <c r="U141" s="314" t="s">
        <v>175</v>
      </c>
      <c r="V141" s="56" t="s">
        <v>1732</v>
      </c>
      <c r="W141" s="314"/>
      <c r="X141" s="314"/>
      <c r="Y141" s="314"/>
      <c r="Z141" s="314"/>
      <c r="AA141" s="314"/>
      <c r="AB141"/>
      <c r="AC141" s="18"/>
      <c r="AD141" s="18"/>
      <c r="AE141" s="18"/>
      <c r="AF141" s="18"/>
      <c r="AG141"/>
      <c r="AH141"/>
      <c r="AI141"/>
      <c r="AJ141"/>
      <c r="AK141"/>
      <c r="AL141"/>
      <c r="AM141"/>
      <c r="AN141"/>
      <c r="AO141"/>
      <c r="AP141"/>
      <c r="AQ141" s="19"/>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s="659"/>
      <c r="GA141" s="659"/>
      <c r="GB141" s="653"/>
      <c r="GC141" s="452"/>
      <c r="GD141" s="452"/>
    </row>
    <row r="142" spans="1:186" ht="14.65" customHeight="1">
      <c r="E142" s="459">
        <v>15</v>
      </c>
      <c r="AB142" s="1028" t="s">
        <v>396</v>
      </c>
      <c r="AC142" s="1028"/>
      <c r="AD142" s="1028"/>
      <c r="AE142" s="1028"/>
      <c r="AF142" s="1028"/>
      <c r="AG142" s="1028"/>
      <c r="AH142" s="1028"/>
      <c r="AI142" s="1028"/>
      <c r="AJ142" s="1028"/>
      <c r="AK142" s="1028"/>
      <c r="AL142" s="1028"/>
      <c r="AM142" s="1028"/>
      <c r="AN142" s="1028"/>
      <c r="AO142" s="1028"/>
      <c r="AP142" s="1028"/>
      <c r="AQ142" s="1028"/>
      <c r="AR142" s="1028"/>
      <c r="AS142" s="1028"/>
      <c r="AT142" s="1028"/>
      <c r="AU142" s="1028"/>
      <c r="AV142" s="1028"/>
      <c r="AW142" s="1028"/>
      <c r="AX142" s="1028"/>
      <c r="AY142" s="1028"/>
      <c r="AZ142" s="1028"/>
      <c r="BA142" s="1028"/>
      <c r="BB142" s="1028"/>
      <c r="BC142" s="1028"/>
      <c r="BD142" s="1028"/>
      <c r="BE142" s="1028"/>
      <c r="BF142" s="1028"/>
      <c r="BG142" s="1028"/>
    </row>
    <row r="143" spans="1:186" ht="14.65" customHeight="1">
      <c r="E143" s="459">
        <v>15</v>
      </c>
      <c r="AA143" s="479"/>
      <c r="AB143" s="1109"/>
      <c r="AC143" s="1109"/>
      <c r="AD143" s="1109"/>
      <c r="AE143" s="1109"/>
      <c r="AF143" s="1109"/>
      <c r="AG143" s="1109"/>
      <c r="AH143" s="1109"/>
      <c r="AI143" s="1109"/>
      <c r="AJ143" s="1109"/>
      <c r="AK143" s="1109"/>
      <c r="AL143" s="1109"/>
      <c r="AM143" s="1110"/>
      <c r="AN143" s="1110"/>
      <c r="AO143" s="1110"/>
      <c r="AP143" s="1110"/>
      <c r="AQ143" s="1110"/>
      <c r="AR143" s="1110"/>
      <c r="AS143" s="1110"/>
      <c r="AT143" s="1110"/>
      <c r="AU143" s="1110"/>
      <c r="AV143" s="1110"/>
      <c r="AW143" s="1110"/>
      <c r="AX143" s="1110"/>
      <c r="AY143" s="1110"/>
      <c r="AZ143" s="1110"/>
      <c r="BA143" s="1110"/>
      <c r="BB143" s="1110"/>
      <c r="BC143" s="1110"/>
      <c r="BD143" s="1110"/>
      <c r="BE143" s="1110"/>
      <c r="BF143" s="1110"/>
      <c r="BG143" s="1110"/>
    </row>
    <row r="144" spans="1:186" ht="14.65" hidden="1" customHeight="1">
      <c r="E144" s="459">
        <v>15</v>
      </c>
      <c r="T144" s="351" t="b">
        <f>ROW(W144)&gt;ROW(W$144)</f>
        <v>0</v>
      </c>
      <c r="W144" s="17" t="s">
        <v>171</v>
      </c>
      <c r="AA144" s="480" t="s">
        <v>172</v>
      </c>
      <c r="AB144" s="1044"/>
      <c r="AC144" s="1001"/>
      <c r="AD144" s="1001"/>
      <c r="AE144" s="1001"/>
      <c r="AF144" s="1001"/>
      <c r="AG144" s="1022"/>
      <c r="AH144" s="1022"/>
      <c r="AI144" s="1022"/>
      <c r="AJ144" s="1022"/>
      <c r="AK144" s="1022"/>
      <c r="AL144" s="1022"/>
      <c r="AM144" s="1001"/>
      <c r="AN144" s="1001"/>
      <c r="AO144" s="1001"/>
      <c r="AP144" s="1001"/>
      <c r="AQ144" s="1001"/>
      <c r="AR144" s="1001"/>
      <c r="AS144" s="1001"/>
      <c r="AT144" s="1001"/>
      <c r="AU144" s="1001"/>
      <c r="AV144" s="1001"/>
      <c r="AW144" s="1001"/>
      <c r="AX144" s="1001"/>
      <c r="AY144" s="1001"/>
      <c r="AZ144" s="1001"/>
      <c r="BA144" s="1001"/>
      <c r="BB144" s="1001"/>
      <c r="BC144" s="1001"/>
      <c r="BD144" s="1001"/>
      <c r="BE144" s="1001"/>
      <c r="BF144" s="1001"/>
      <c r="BG144" s="1045"/>
    </row>
    <row r="145" spans="5:180" ht="14.65" customHeight="1">
      <c r="E145" s="459">
        <v>15</v>
      </c>
      <c r="W145" s="515" t="s">
        <v>407</v>
      </c>
      <c r="AB145" s="1107" t="s">
        <v>408</v>
      </c>
      <c r="AC145" s="1108"/>
      <c r="AD145" s="217"/>
      <c r="AE145" s="217"/>
      <c r="AF145" s="217"/>
      <c r="AG145" s="217"/>
      <c r="AH145" s="217"/>
      <c r="AI145" s="217"/>
      <c r="AJ145" s="217"/>
      <c r="AK145" s="217"/>
      <c r="AL145" s="217"/>
      <c r="AM145" s="217"/>
      <c r="AN145" s="217"/>
      <c r="AO145" s="217"/>
      <c r="AP145" s="217"/>
      <c r="AQ145" s="217"/>
      <c r="AR145" s="217"/>
      <c r="AS145" s="217"/>
      <c r="AT145" s="217"/>
      <c r="AU145" s="217"/>
      <c r="AV145" s="217"/>
      <c r="AW145" s="217"/>
      <c r="AX145" s="217"/>
      <c r="AY145" s="217"/>
      <c r="AZ145" s="217"/>
      <c r="BA145" s="217"/>
      <c r="BB145" s="217"/>
      <c r="BC145" s="217"/>
      <c r="BD145" s="217"/>
      <c r="BE145" s="217"/>
      <c r="BF145" s="217"/>
      <c r="BG145" s="186"/>
    </row>
    <row r="146" spans="5:180" ht="10.9" customHeight="1">
      <c r="E146" s="459">
        <v>11.25</v>
      </c>
      <c r="FX146" s="22"/>
    </row>
  </sheetData>
  <sheetProtection formatColumns="0" formatRows="0" insertRows="0" deleteColumns="0" deleteRows="0" sort="0" autoFilter="0"/>
  <mergeCells count="76">
    <mergeCell ref="X85:X140"/>
    <mergeCell ref="Z85:Z140"/>
    <mergeCell ref="AA98:AA99"/>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145:AC145"/>
    <mergeCell ref="AB143:BG143"/>
    <mergeCell ref="AB142:BG142"/>
    <mergeCell ref="Y70:Y75"/>
    <mergeCell ref="AA70:AA75"/>
    <mergeCell ref="AB144:BG144"/>
    <mergeCell ref="Y126:Y131"/>
    <mergeCell ref="AA126:AA131"/>
    <mergeCell ref="Y98:Y99"/>
    <mergeCell ref="AB85:AC85"/>
    <mergeCell ref="AB86:AC86"/>
    <mergeCell ref="AB87:AC87"/>
    <mergeCell ref="AB88:AC88"/>
    <mergeCell ref="BK25:BM25"/>
    <mergeCell ref="BN25:BP25"/>
    <mergeCell ref="BQ25:BS25"/>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663A-7648-D27A-D408-D0546868229A}">
  <sheetPr>
    <tabColor rgb="FF92D050"/>
    <outlinePr summaryBelow="0"/>
  </sheetPr>
  <dimension ref="A1:AV20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277" hidden="1" customWidth="1"/>
    <col min="2" max="2" width="11" style="277" hidden="1" customWidth="1"/>
    <col min="3" max="4" width="4" style="277" hidden="1" customWidth="1"/>
    <col min="5" max="5" width="4" style="502" hidden="1" customWidth="1"/>
    <col min="6" max="6" width="4" style="277" hidden="1" customWidth="1"/>
    <col min="7" max="7" width="10.140625" style="277" hidden="1" customWidth="1"/>
    <col min="8" max="8" width="10.42578125" style="277" hidden="1" customWidth="1"/>
    <col min="9" max="15" width="4" style="277" hidden="1" customWidth="1"/>
    <col min="16" max="16" width="3.7109375" style="277" hidden="1" customWidth="1"/>
    <col min="17" max="19" width="4" style="277" hidden="1" customWidth="1"/>
    <col min="20" max="20" width="8.5703125" style="277" hidden="1" customWidth="1"/>
    <col min="21" max="21" width="5.85546875" style="277" hidden="1" customWidth="1"/>
    <col min="22" max="23" width="6.140625" style="277" hidden="1" customWidth="1"/>
    <col min="24" max="24" width="5.7109375" style="277" hidden="1" customWidth="1"/>
    <col min="25" max="25" width="5.5703125" style="277" hidden="1" customWidth="1"/>
    <col min="26" max="26" width="5.28515625" style="277" hidden="1" customWidth="1"/>
    <col min="27" max="27" width="3" style="277" customWidth="1"/>
    <col min="28" max="28" width="11" style="277" customWidth="1"/>
    <col min="29" max="29" width="75" style="277" customWidth="1"/>
    <col min="30" max="30" width="11.28515625" style="277" customWidth="1"/>
    <col min="31" max="33" width="13" style="277" customWidth="1"/>
    <col min="34" max="34" width="15.140625" style="277" customWidth="1"/>
    <col min="35" max="37" width="13" style="277" customWidth="1"/>
    <col min="38" max="38" width="23.5703125" style="277" customWidth="1"/>
    <col min="39" max="40" width="20" style="277" customWidth="1"/>
    <col min="41" max="41" width="32.7109375" style="277" customWidth="1"/>
    <col min="42" max="42" width="3" style="277" customWidth="1"/>
    <col min="43" max="43" width="9.140625" style="277" hidden="1"/>
    <col min="44" max="46" width="9.140625" style="692" hidden="1"/>
    <col min="47" max="48" width="9.140625" style="502" hidden="1"/>
  </cols>
  <sheetData>
    <row r="1" spans="1:48" ht="15" hidden="1" customHeight="1">
      <c r="E1" s="277"/>
      <c r="F1" s="277" t="s">
        <v>309</v>
      </c>
      <c r="I1" s="277" t="s">
        <v>320</v>
      </c>
      <c r="J1" s="277" t="s">
        <v>346</v>
      </c>
      <c r="T1" s="351" t="s">
        <v>92</v>
      </c>
      <c r="U1" s="351" t="s">
        <v>97</v>
      </c>
      <c r="V1" s="351" t="s">
        <v>93</v>
      </c>
      <c r="W1" s="351" t="s">
        <v>94</v>
      </c>
      <c r="X1" s="351" t="s">
        <v>95</v>
      </c>
      <c r="Y1" s="353" t="s">
        <v>311</v>
      </c>
      <c r="Z1" s="351" t="s">
        <v>99</v>
      </c>
      <c r="AA1" s="353" t="s">
        <v>96</v>
      </c>
      <c r="AC1" s="352" t="s">
        <v>98</v>
      </c>
      <c r="AR1" s="692" t="s">
        <v>312</v>
      </c>
      <c r="AS1" s="692" t="s">
        <v>313</v>
      </c>
      <c r="AT1" s="692" t="s">
        <v>314</v>
      </c>
      <c r="AU1" s="502" t="s">
        <v>317</v>
      </c>
      <c r="AV1" s="502" t="s">
        <v>318</v>
      </c>
    </row>
    <row r="2" spans="1:48" ht="15" hidden="1" customHeight="1">
      <c r="B2" s="340" t="s">
        <v>18</v>
      </c>
      <c r="E2" s="277"/>
      <c r="AE2" s="17" t="b">
        <f>FIRST_TIME_REG="нет"</f>
        <v>1</v>
      </c>
      <c r="AF2" s="17" t="b">
        <f>FIRST_TIME_REG="нет"</f>
        <v>1</v>
      </c>
      <c r="AG2" s="17" t="b">
        <f>FIRST_TIME_REG="нет"</f>
        <v>1</v>
      </c>
      <c r="AH2" s="17" t="b">
        <f>FIRST_TIME_REG="нет"</f>
        <v>1</v>
      </c>
      <c r="AI2" s="17" t="b">
        <f>FIRST_TIME_REG="нет"</f>
        <v>1</v>
      </c>
    </row>
    <row r="3" spans="1:48" ht="15" hidden="1" customHeight="1">
      <c r="E3" s="277"/>
    </row>
    <row r="4" spans="1:48" ht="15" hidden="1" customHeight="1">
      <c r="E4" s="277"/>
    </row>
    <row r="5" spans="1:48" s="502" customFormat="1" ht="15" hidden="1" customHeight="1">
      <c r="A5" s="277"/>
      <c r="B5" s="277"/>
      <c r="C5" s="277"/>
      <c r="D5" s="277"/>
      <c r="E5" s="502" t="s">
        <v>19</v>
      </c>
      <c r="AA5" s="502">
        <v>3</v>
      </c>
      <c r="AB5" s="502">
        <v>11</v>
      </c>
      <c r="AC5" s="502">
        <v>75</v>
      </c>
      <c r="AD5" s="502">
        <v>11.29</v>
      </c>
      <c r="AE5" s="502">
        <v>13</v>
      </c>
      <c r="AF5" s="502">
        <v>13</v>
      </c>
      <c r="AG5" s="502">
        <v>13</v>
      </c>
      <c r="AH5" s="502">
        <v>15.14</v>
      </c>
      <c r="AI5" s="502">
        <v>13</v>
      </c>
      <c r="AJ5" s="502">
        <v>13</v>
      </c>
      <c r="AK5" s="502">
        <v>13</v>
      </c>
      <c r="AL5" s="502">
        <v>23.57</v>
      </c>
      <c r="AM5" s="502">
        <v>20</v>
      </c>
      <c r="AN5" s="502">
        <v>20</v>
      </c>
      <c r="AO5" s="502">
        <v>32.71</v>
      </c>
      <c r="AP5" s="502">
        <v>3</v>
      </c>
      <c r="AR5" s="692"/>
      <c r="AS5" s="692"/>
      <c r="AT5" s="692"/>
    </row>
    <row r="6" spans="1:48" ht="11.25" hidden="1" customHeight="1">
      <c r="A6" s="277" t="s">
        <v>1733</v>
      </c>
      <c r="AM6" s="277" t="str" cm="1">
        <f t="array" ref="AM6">AM24</f>
        <v>Указание на подтверждающие документы / URL-ссылка на копии подтверждающих документов</v>
      </c>
      <c r="AN6" s="277" t="str" cm="1">
        <f t="array" ref="AN6">AN24</f>
        <v>Ссылка на правовую норму (основание для принятия показателя в расчет тарифа)</v>
      </c>
      <c r="AO6" s="277"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277" t="s">
        <v>349</v>
      </c>
      <c r="AE7" s="72">
        <f>god-2</f>
        <v>2024</v>
      </c>
      <c r="AF7" s="72">
        <f>god-2</f>
        <v>2024</v>
      </c>
      <c r="AG7" s="72">
        <f>god-2</f>
        <v>2024</v>
      </c>
      <c r="AH7" s="72">
        <f>god-2</f>
        <v>2024</v>
      </c>
      <c r="AI7" s="17">
        <f>god-1</f>
        <v>2025</v>
      </c>
      <c r="AJ7" s="17" cm="1">
        <f t="array" ref="AJ7">god</f>
        <v>2026</v>
      </c>
      <c r="AK7" s="17" cm="1">
        <f t="array" ref="AK7">god</f>
        <v>2026</v>
      </c>
    </row>
    <row r="8" spans="1:48" ht="11.25" hidden="1" customHeight="1">
      <c r="A8" s="277" t="s">
        <v>350</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2" customFormat="1" ht="11.25" hidden="1" customHeight="1">
      <c r="A10" s="654" t="s">
        <v>354</v>
      </c>
      <c r="AE10" s="669" cm="1">
        <f t="array" ref="AE10">AE7</f>
        <v>2024</v>
      </c>
      <c r="AF10" s="669" cm="1">
        <f t="array" ref="AF10">AF7</f>
        <v>2024</v>
      </c>
      <c r="AG10" s="669" cm="1">
        <f t="array" ref="AG10">AG7</f>
        <v>2024</v>
      </c>
      <c r="AH10" s="669" cm="1">
        <f t="array" ref="AH10">AH7</f>
        <v>2024</v>
      </c>
      <c r="AI10" s="669" cm="1">
        <f t="array" ref="AI10">AI7</f>
        <v>2025</v>
      </c>
      <c r="AJ10" s="669" cm="1">
        <f t="array" ref="AJ10">AJ7</f>
        <v>2026</v>
      </c>
      <c r="AK10" s="669" cm="1">
        <f t="array" ref="AK10">AK7</f>
        <v>2026</v>
      </c>
      <c r="AL10" s="669"/>
      <c r="AU10" s="502"/>
      <c r="AV10" s="502"/>
    </row>
    <row r="11" spans="1:48" s="692" customFormat="1" ht="11.25" hidden="1" customHeight="1">
      <c r="A11" s="654" t="s">
        <v>355</v>
      </c>
      <c r="AE11" s="669" t="str" cm="1">
        <f t="array" ref="AE11">AE25</f>
        <v>Принято органом регулирования</v>
      </c>
      <c r="AF11" s="669" t="str" cm="1">
        <f t="array" ref="AF11">AF25</f>
        <v>Факт по данным организации</v>
      </c>
      <c r="AG11" s="669" t="str" cm="1">
        <f t="array" ref="AG11">AG25</f>
        <v>Факт, принятый органом регулирования</v>
      </c>
      <c r="AH11" s="669" t="str" cm="1">
        <f t="array" ref="AH11">AH25</f>
        <v>отклонение факта по данным организации к факту принятому органом регулирования</v>
      </c>
      <c r="AI11" s="669" t="str" cm="1">
        <f t="array" ref="AI11">AI25</f>
        <v>Принято органом регулирования</v>
      </c>
      <c r="AJ11" s="669" t="str" cm="1">
        <f t="array" ref="AJ11">AJ25</f>
        <v>Предложение организации</v>
      </c>
      <c r="AK11" s="669" t="str" cm="1">
        <f t="array" ref="AK11">AK25</f>
        <v>Принято органом регулирования</v>
      </c>
      <c r="AL11" s="669"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2"/>
      <c r="AV11" s="502"/>
    </row>
    <row r="12" spans="1:48" s="692" customFormat="1" ht="11.25" hidden="1" customHeight="1">
      <c r="A12" s="654" t="s">
        <v>356</v>
      </c>
      <c r="AE12" s="669"/>
      <c r="AF12" s="669"/>
      <c r="AG12" s="669"/>
      <c r="AH12" s="669"/>
      <c r="AI12" s="669"/>
      <c r="AJ12" s="669"/>
      <c r="AK12" s="669"/>
      <c r="AM12" s="692" t="str" cm="1">
        <f t="array" ref="AM12">AM24</f>
        <v>Указание на подтверждающие документы / URL-ссылка на копии подтверждающих документов</v>
      </c>
      <c r="AN12" s="692" t="str" cm="1">
        <f t="array" ref="AN12">AN24</f>
        <v>Ссылка на правовую норму (основание для принятия показателя в расчет тарифа)</v>
      </c>
      <c r="AO12" s="692"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2"/>
      <c r="AV12" s="502"/>
    </row>
    <row r="13" spans="1:48" s="692" customFormat="1" ht="11.25" hidden="1" customHeight="1">
      <c r="A13" s="692" t="s">
        <v>327</v>
      </c>
      <c r="AC13" s="692" t="s">
        <v>314</v>
      </c>
      <c r="AE13" s="669"/>
      <c r="AF13" s="669"/>
      <c r="AG13" s="669"/>
      <c r="AH13" s="669"/>
      <c r="AI13" s="669"/>
      <c r="AJ13" s="669"/>
      <c r="AK13" s="669"/>
      <c r="AU13" s="502"/>
      <c r="AV13" s="502"/>
    </row>
    <row r="14" spans="1:48" ht="11.25" hidden="1" customHeight="1"/>
    <row r="15" spans="1:48" ht="11.25" hidden="1" customHeight="1"/>
    <row r="16" spans="1:48" ht="11.25" hidden="1" customHeight="1"/>
    <row r="17" spans="1:48" ht="11.25" hidden="1" customHeight="1">
      <c r="AJ17" s="38"/>
    </row>
    <row r="18" spans="1:48" ht="11.25" hidden="1" customHeight="1">
      <c r="A18" s="277" t="s">
        <v>357</v>
      </c>
      <c r="AC18" s="277" t="s">
        <v>358</v>
      </c>
    </row>
    <row r="19" spans="1:48" ht="11.25" hidden="1" customHeight="1"/>
    <row r="20" spans="1:48" ht="11.25" hidden="1" customHeight="1"/>
    <row r="21" spans="1:48" ht="14.65" customHeight="1">
      <c r="E21" s="502">
        <v>15</v>
      </c>
      <c r="AC21" s="420" t="str" cm="1">
        <f t="array" ref="AC21">tpl_title</f>
        <v>Кемеровская область / 2026 / МУП "Водоканал" (ИНН:4202043124, КПП:420201001) / ДПР: 2026-2028</v>
      </c>
    </row>
    <row r="22" spans="1:48" ht="19.5" customHeight="1">
      <c r="E22" s="502">
        <v>20</v>
      </c>
      <c r="AB22" s="225" t="s">
        <v>1734</v>
      </c>
      <c r="AC22" s="163"/>
      <c r="AD22" s="163"/>
      <c r="AE22" s="163"/>
      <c r="AF22" s="163"/>
      <c r="AG22" s="163"/>
      <c r="AH22" s="163"/>
      <c r="AI22" s="163"/>
      <c r="AJ22" s="163"/>
      <c r="AK22" s="163"/>
      <c r="AL22" s="163"/>
      <c r="AM22" s="163"/>
      <c r="AN22" s="163"/>
      <c r="AO22" s="163"/>
    </row>
    <row r="23" spans="1:48" ht="14.65" customHeight="1">
      <c r="E23" s="502">
        <v>15</v>
      </c>
      <c r="AB23" s="73"/>
      <c r="AC23" s="73"/>
      <c r="AD23" s="73"/>
      <c r="AE23" s="73"/>
      <c r="AF23" s="73"/>
      <c r="AG23" s="73"/>
      <c r="AH23" s="73"/>
      <c r="AI23" s="73"/>
      <c r="AJ23" s="73"/>
      <c r="AK23" s="73"/>
      <c r="AL23" s="73"/>
      <c r="AM23" s="73"/>
      <c r="AN23" s="73"/>
      <c r="AO23" s="73"/>
    </row>
    <row r="24" spans="1:48" ht="25.5" customHeight="1">
      <c r="E24" s="502">
        <v>26.25</v>
      </c>
      <c r="AB24" s="1031" t="s">
        <v>21</v>
      </c>
      <c r="AC24" s="1031" t="s">
        <v>358</v>
      </c>
      <c r="AD24" s="1031" t="s">
        <v>359</v>
      </c>
      <c r="AE24" s="10" t="str">
        <f>god-2&amp;" год"</f>
        <v>2024 год</v>
      </c>
      <c r="AF24" s="726" t="str">
        <f>god-2&amp;" год"</f>
        <v>2024 год</v>
      </c>
      <c r="AG24" s="10" t="str">
        <f>god-2&amp;" год"</f>
        <v>2024 год</v>
      </c>
      <c r="AH24" s="10" t="str">
        <f>god-2&amp;" год"</f>
        <v>2024 год</v>
      </c>
      <c r="AI24" s="10" t="str">
        <f>god-1&amp;" год"</f>
        <v>2025 год</v>
      </c>
      <c r="AJ24" s="727" t="str">
        <f>god&amp;" год"</f>
        <v>2026 год</v>
      </c>
      <c r="AK24" s="10" t="str">
        <f>god&amp;" год"</f>
        <v>2026 год</v>
      </c>
      <c r="AL24" s="1028" t="s">
        <v>1735</v>
      </c>
      <c r="AM24" s="1053" t="s">
        <v>1736</v>
      </c>
      <c r="AN24" s="1051" t="s">
        <v>580</v>
      </c>
      <c r="AO24" s="1051" t="s">
        <v>1737</v>
      </c>
    </row>
    <row r="25" spans="1:48" ht="77.45" customHeight="1">
      <c r="E25" s="502">
        <v>79.5</v>
      </c>
      <c r="AB25" s="1031"/>
      <c r="AC25" s="1031"/>
      <c r="AD25" s="1031"/>
      <c r="AE25" s="10" t="s">
        <v>351</v>
      </c>
      <c r="AF25" s="726" t="s">
        <v>495</v>
      </c>
      <c r="AG25" s="10" t="s">
        <v>496</v>
      </c>
      <c r="AH25" s="10" t="s">
        <v>1738</v>
      </c>
      <c r="AI25" s="10" t="s">
        <v>351</v>
      </c>
      <c r="AJ25" s="728" t="s">
        <v>352</v>
      </c>
      <c r="AK25" s="10" t="s">
        <v>351</v>
      </c>
      <c r="AL25" s="1028"/>
      <c r="AM25" s="1053"/>
      <c r="AN25" s="1051"/>
      <c r="AO25" s="1051"/>
    </row>
    <row r="26" spans="1:48" ht="11.25" hidden="1" customHeight="1">
      <c r="E26" s="502">
        <v>0</v>
      </c>
      <c r="AB26" s="529"/>
      <c r="AC26" s="520"/>
      <c r="AD26" s="520"/>
      <c r="AE26" s="62"/>
      <c r="AF26" s="62"/>
      <c r="AG26" s="62"/>
      <c r="AH26" s="62"/>
      <c r="AI26" s="62"/>
      <c r="AJ26" s="62"/>
      <c r="AK26" s="62"/>
      <c r="AL26" s="208"/>
      <c r="AM26" s="62"/>
      <c r="AN26" s="62"/>
      <c r="AO26" s="62"/>
    </row>
    <row r="27" spans="1:48" ht="14.65" hidden="1" customHeight="1">
      <c r="E27" s="502">
        <v>15</v>
      </c>
      <c r="F27" s="17" cm="1">
        <f t="array" ref="F27">X27</f>
        <v>0</v>
      </c>
      <c r="G27" s="17" cm="1">
        <f t="array" ref="G27">INDEX('Общие сведения'!$AK$179:$AK$208,MATCH($X27,'Общие сведения'!$Z$179:$Z$208,0))</f>
        <v>0</v>
      </c>
      <c r="T27" s="351" t="b">
        <f>X27&gt;0</f>
        <v>0</v>
      </c>
      <c r="V27" s="277" t="s">
        <v>266</v>
      </c>
      <c r="X27" s="1113">
        <v>0</v>
      </c>
      <c r="Z27" s="1114"/>
      <c r="AB27" s="97" t="str" cm="1">
        <f t="array" ref="AB27">INDEX('Общие сведения'!$AG$179:$AG$208,MATCH($X27,'Общие сведения'!$Z$179:$Z$208,0))</f>
        <v xml:space="preserve">Тариф 0 () - </v>
      </c>
      <c r="AC27" s="164"/>
      <c r="AD27" s="164"/>
      <c r="AE27" s="164"/>
      <c r="AF27" s="164"/>
      <c r="AG27" s="164"/>
      <c r="AH27" s="164"/>
      <c r="AI27" s="164"/>
      <c r="AJ27" s="164"/>
      <c r="AK27" s="164"/>
      <c r="AL27" s="164"/>
      <c r="AM27" s="164"/>
      <c r="AN27" s="164"/>
      <c r="AO27" s="164"/>
    </row>
    <row r="28" spans="1:48" ht="14.65" hidden="1" customHeight="1">
      <c r="E28" s="502">
        <v>15</v>
      </c>
      <c r="F28" s="3" cm="1">
        <f t="array" aca="1" ref="F28" ca="1">OFFSET(E28,-1,1)</f>
        <v>0</v>
      </c>
      <c r="I28" s="38" t="s">
        <v>321</v>
      </c>
      <c r="J28" s="38"/>
      <c r="K28" s="38"/>
      <c r="L28" s="38"/>
      <c r="M28" s="38"/>
      <c r="N28" s="38"/>
      <c r="O28" s="38"/>
      <c r="P28" s="38"/>
      <c r="Q28" s="38"/>
      <c r="R28" s="38"/>
      <c r="S28" s="38"/>
      <c r="T28" s="351" t="b" cm="1">
        <f t="array" ref="T28">T27</f>
        <v>0</v>
      </c>
      <c r="X28" s="1113"/>
      <c r="Z28" s="1114"/>
      <c r="AB28" s="160" t="s">
        <v>277</v>
      </c>
      <c r="AC28" s="132" t="s">
        <v>1739</v>
      </c>
      <c r="AD28" s="9" t="s">
        <v>859</v>
      </c>
      <c r="AE28" s="126">
        <f ca="1">AE29+AE33+AE43+AE44+AE47+AE48+AE49</f>
        <v>0</v>
      </c>
      <c r="AF28" s="126">
        <f ca="1">AF29+AF33+AF43+AF44+AF47+AF48+AF49</f>
        <v>0</v>
      </c>
      <c r="AG28" s="126">
        <f ca="1">AG29+AG33+AG43+AG44+AG47+AG48+AG49</f>
        <v>0</v>
      </c>
      <c r="AH28" s="126">
        <f t="shared" ref="AH28:AH54" ca="1" si="1">AG28-AF28</f>
        <v>0</v>
      </c>
      <c r="AI28" s="126">
        <f ca="1">AI29+AI33+AI43+AI44+AI47+AI48+AI49</f>
        <v>0</v>
      </c>
      <c r="AJ28" s="126">
        <f ca="1">AJ29+AJ33+AJ43+AJ44+AJ47+AJ48+AJ49</f>
        <v>0</v>
      </c>
      <c r="AK28" s="126">
        <f ca="1">AK29+AK33+AK43+AK44+AK47+AK48+AK49</f>
        <v>0</v>
      </c>
      <c r="AL28" s="170">
        <f t="shared" ref="AL28:AL54" ca="1" si="2">IF(AI28=0,0,(AK28-AI28)/AI28*100)</f>
        <v>0</v>
      </c>
      <c r="AM28" s="774"/>
      <c r="AN28" s="778"/>
      <c r="AO28" s="774"/>
      <c r="AR28" s="692" t="s">
        <v>562</v>
      </c>
    </row>
    <row r="29" spans="1:48" s="421" customFormat="1" ht="21.95" hidden="1" customHeight="1">
      <c r="E29" s="503">
        <v>22.5</v>
      </c>
      <c r="F29" s="3" cm="1">
        <f t="array" aca="1" ref="F29" ca="1">OFFSET(E29,-1,1)</f>
        <v>0</v>
      </c>
      <c r="I29" s="154" t="s">
        <v>507</v>
      </c>
      <c r="J29" s="154"/>
      <c r="K29" s="154"/>
      <c r="L29" s="154"/>
      <c r="M29" s="154"/>
      <c r="N29" s="154"/>
      <c r="O29" s="154"/>
      <c r="P29" s="154"/>
      <c r="Q29" s="154"/>
      <c r="R29" s="154"/>
      <c r="S29" s="154"/>
      <c r="T29" s="351" t="b" cm="1">
        <f t="array" ref="T29">T28</f>
        <v>0</v>
      </c>
      <c r="X29" s="1113"/>
      <c r="Z29" s="1114"/>
      <c r="AB29" s="131" t="s">
        <v>936</v>
      </c>
      <c r="AC29" s="262" t="s">
        <v>1740</v>
      </c>
      <c r="AD29" s="147" t="s">
        <v>859</v>
      </c>
      <c r="AE29" s="126">
        <f ca="1">SUM(AE30:AE32)</f>
        <v>0</v>
      </c>
      <c r="AF29" s="126">
        <f ca="1">SUM(AF30:AF32)</f>
        <v>0</v>
      </c>
      <c r="AG29" s="126">
        <f ca="1">SUM(AG30:AG32)</f>
        <v>0</v>
      </c>
      <c r="AH29" s="126">
        <f t="shared" ca="1" si="1"/>
        <v>0</v>
      </c>
      <c r="AI29" s="126">
        <f ca="1">SUM(AI30:AI32)</f>
        <v>0</v>
      </c>
      <c r="AJ29" s="126">
        <f ca="1">SUM(AJ30:AJ32)</f>
        <v>0</v>
      </c>
      <c r="AK29" s="126">
        <f ca="1">SUM(AK30:AK32)</f>
        <v>0</v>
      </c>
      <c r="AL29" s="126">
        <f t="shared" ca="1" si="2"/>
        <v>0</v>
      </c>
      <c r="AM29" s="776"/>
      <c r="AN29" s="776"/>
      <c r="AO29" s="776"/>
      <c r="AR29" s="693" t="s">
        <v>1741</v>
      </c>
      <c r="AS29" s="693"/>
      <c r="AT29" s="693"/>
      <c r="AU29" s="503"/>
      <c r="AV29" s="503"/>
    </row>
    <row r="30" spans="1:48" ht="14.65" hidden="1" customHeight="1">
      <c r="E30" s="502">
        <v>15</v>
      </c>
      <c r="F30" s="3" cm="1">
        <f t="array" aca="1" ref="F30" ca="1">OFFSET(E30,-1,1)</f>
        <v>0</v>
      </c>
      <c r="I30" s="38" t="s">
        <v>1040</v>
      </c>
      <c r="J30" s="38"/>
      <c r="K30" s="38"/>
      <c r="L30" s="38"/>
      <c r="M30" s="38"/>
      <c r="N30" s="38"/>
      <c r="O30" s="38"/>
      <c r="P30" s="38"/>
      <c r="Q30" s="38"/>
      <c r="R30" s="38"/>
      <c r="S30" s="38"/>
      <c r="T30" s="351" t="b" cm="1">
        <f t="array" ref="T30">T29</f>
        <v>0</v>
      </c>
      <c r="X30" s="1113"/>
      <c r="Z30" s="1114"/>
      <c r="AB30" s="133" t="s">
        <v>1041</v>
      </c>
      <c r="AC30" s="134" t="s">
        <v>1742</v>
      </c>
      <c r="AD30" s="9" t="s">
        <v>859</v>
      </c>
      <c r="AE30" s="170">
        <f ca="1">SUMIFS('Сырье и материалы'!AE$25:AE$36,'Сырье и материалы'!$F$25:$F$36,$F30,'Сырье и материалы'!$AC$25:$AC$36,"Всего по тарифу")</f>
        <v>0</v>
      </c>
      <c r="AF30" s="170">
        <f ca="1">SUMIFS('Сырье и материалы'!AF$25:AF$36,'Сырье и материалы'!$F$25:$F$36,$F30,'Сырье и материалы'!$AC$25:$AC$36,"Всего по тарифу")</f>
        <v>0</v>
      </c>
      <c r="AG30" s="170">
        <f ca="1">SUMIFS('Сырье и материалы'!AG$25:AG$36,'Сырье и материалы'!$F$25:$F$36,$F30,'Сырье и материалы'!$AC$25:$AC$36,"Всего по тарифу")</f>
        <v>0</v>
      </c>
      <c r="AH30" s="170">
        <f t="shared" ca="1" si="1"/>
        <v>0</v>
      </c>
      <c r="AI30" s="170">
        <f ca="1">SUMIFS('Сырье и материалы'!AH$25:AH$36,'Сырье и материалы'!$F$25:$F$36,$F30,'Сырье и материалы'!$AC$25:$AC$36,"Всего по тарифу")</f>
        <v>0</v>
      </c>
      <c r="AJ30" s="170">
        <f ca="1">SUMIFS('Сырье и материалы'!AI$25:AI$36,'Сырье и материалы'!$F$25:$F$36,$F30,'Сырье и материалы'!$AC$25:$AC$36,"Всего по тарифу")</f>
        <v>0</v>
      </c>
      <c r="AK30" s="170">
        <f ca="1">SUMIFS('Сырье и материалы'!AS$25:AS$36,'Сырье и материалы'!$F$25:$F$36,$F30,'Сырье и материалы'!$AC$25:$AC$36,"Всего по тарифу")</f>
        <v>0</v>
      </c>
      <c r="AL30" s="170">
        <f t="shared" ca="1" si="2"/>
        <v>0</v>
      </c>
      <c r="AM30" s="774"/>
      <c r="AN30" s="778" t="str">
        <f ca="1">IF(IFERROR(INDEX('Сырье и материалы'!$K$26:$L$36,MATCH($F30&amp;"komm",'Сырье и материалы'!$K$26:$K$36,0),2),"")=0,"",IFERROR(INDEX('Сырье и материалы'!$K$26:$L$36,MATCH($F30&amp;"komm",'Сырье и материалы'!$K$26:$K$36,0),2),""))</f>
        <v/>
      </c>
      <c r="AO30" s="774"/>
      <c r="AR30" s="692" t="s">
        <v>1743</v>
      </c>
    </row>
    <row r="31" spans="1:48" ht="14.65" hidden="1" customHeight="1">
      <c r="E31" s="502">
        <v>15</v>
      </c>
      <c r="F31" s="3" cm="1">
        <f t="array" aca="1" ref="F31" ca="1">OFFSET(E31,-1,1)</f>
        <v>0</v>
      </c>
      <c r="I31" s="38" t="s">
        <v>1044</v>
      </c>
      <c r="J31" s="38"/>
      <c r="K31" s="38"/>
      <c r="L31" s="38"/>
      <c r="M31" s="38"/>
      <c r="N31" s="38"/>
      <c r="O31" s="38"/>
      <c r="P31" s="38"/>
      <c r="Q31" s="38"/>
      <c r="R31" s="38"/>
      <c r="S31" s="38"/>
      <c r="T31" s="351" t="b" cm="1">
        <f t="array" ref="T31">T30</f>
        <v>0</v>
      </c>
      <c r="X31" s="1113"/>
      <c r="Z31" s="1114"/>
      <c r="AB31" s="133" t="s">
        <v>1045</v>
      </c>
      <c r="AC31" s="134" t="s">
        <v>1744</v>
      </c>
      <c r="AD31" s="9" t="s">
        <v>859</v>
      </c>
      <c r="AE31" s="128"/>
      <c r="AF31" s="128"/>
      <c r="AG31" s="128"/>
      <c r="AH31" s="170">
        <f t="shared" si="1"/>
        <v>0</v>
      </c>
      <c r="AI31" s="128"/>
      <c r="AJ31" s="777"/>
      <c r="AK31" s="777"/>
      <c r="AL31" s="170">
        <f t="shared" si="2"/>
        <v>0</v>
      </c>
      <c r="AM31" s="774"/>
      <c r="AN31" s="774"/>
      <c r="AO31" s="774"/>
      <c r="AR31" s="692" t="s">
        <v>1745</v>
      </c>
    </row>
    <row r="32" spans="1:48" ht="14.65" hidden="1" customHeight="1">
      <c r="E32" s="502">
        <v>15</v>
      </c>
      <c r="F32" s="3" cm="1">
        <f t="array" aca="1" ref="F32" ca="1">OFFSET(E32,-1,1)</f>
        <v>0</v>
      </c>
      <c r="I32" s="38" t="s">
        <v>1353</v>
      </c>
      <c r="J32" s="38"/>
      <c r="K32" s="38"/>
      <c r="L32" s="38"/>
      <c r="M32" s="38"/>
      <c r="N32" s="38"/>
      <c r="O32" s="38"/>
      <c r="P32" s="38"/>
      <c r="Q32" s="38"/>
      <c r="R32" s="38"/>
      <c r="S32" s="38"/>
      <c r="T32" s="351" t="b" cm="1">
        <f t="array" ref="T32">T31</f>
        <v>0</v>
      </c>
      <c r="X32" s="1113"/>
      <c r="Z32" s="1114"/>
      <c r="AB32" s="133" t="s">
        <v>1354</v>
      </c>
      <c r="AC32" s="134" t="s">
        <v>1746</v>
      </c>
      <c r="AD32" s="9" t="s">
        <v>859</v>
      </c>
      <c r="AE32" s="128"/>
      <c r="AF32" s="128"/>
      <c r="AG32" s="128"/>
      <c r="AH32" s="170">
        <f t="shared" si="1"/>
        <v>0</v>
      </c>
      <c r="AI32" s="128"/>
      <c r="AJ32" s="777"/>
      <c r="AK32" s="777"/>
      <c r="AL32" s="170">
        <f t="shared" si="2"/>
        <v>0</v>
      </c>
      <c r="AM32" s="774"/>
      <c r="AN32" s="774"/>
      <c r="AO32" s="774"/>
      <c r="AR32" s="692" t="s">
        <v>1747</v>
      </c>
    </row>
    <row r="33" spans="5:48" s="421" customFormat="1" ht="21.95" hidden="1" customHeight="1">
      <c r="E33" s="503">
        <v>22.5</v>
      </c>
      <c r="F33" s="3" cm="1">
        <f t="array" aca="1" ref="F33" ca="1">OFFSET(E33,-1,1)</f>
        <v>0</v>
      </c>
      <c r="I33" s="154" t="s">
        <v>511</v>
      </c>
      <c r="J33" s="154"/>
      <c r="K33" s="154"/>
      <c r="L33" s="154"/>
      <c r="M33" s="154"/>
      <c r="N33" s="154"/>
      <c r="O33" s="154"/>
      <c r="P33" s="154"/>
      <c r="Q33" s="154"/>
      <c r="R33" s="154"/>
      <c r="S33" s="154"/>
      <c r="T33" s="351" t="b" cm="1">
        <f t="array" ref="T33">T32</f>
        <v>0</v>
      </c>
      <c r="X33" s="1113"/>
      <c r="Z33" s="1114"/>
      <c r="AB33" s="131" t="s">
        <v>939</v>
      </c>
      <c r="AC33" s="262" t="s">
        <v>1748</v>
      </c>
      <c r="AD33" s="147" t="s">
        <v>859</v>
      </c>
      <c r="AE33" s="126">
        <f ca="1">SUM(AE34:AE42)</f>
        <v>0</v>
      </c>
      <c r="AF33" s="126">
        <f ca="1">SUM(AF34:AF42)</f>
        <v>0</v>
      </c>
      <c r="AG33" s="126">
        <f ca="1">SUM(AG34:AG42)</f>
        <v>0</v>
      </c>
      <c r="AH33" s="126">
        <f t="shared" ca="1" si="1"/>
        <v>0</v>
      </c>
      <c r="AI33" s="126">
        <f ca="1">SUM(AI34:AI42)</f>
        <v>0</v>
      </c>
      <c r="AJ33" s="126">
        <f ca="1">SUM(AJ34:AJ42)</f>
        <v>0</v>
      </c>
      <c r="AK33" s="126">
        <f ca="1">SUM(AK34:AK42)</f>
        <v>0</v>
      </c>
      <c r="AL33" s="126">
        <f t="shared" ca="1" si="2"/>
        <v>0</v>
      </c>
      <c r="AM33" s="776"/>
      <c r="AN33" s="776"/>
      <c r="AO33" s="776"/>
      <c r="AR33" s="693" t="s">
        <v>1749</v>
      </c>
      <c r="AS33" s="693"/>
      <c r="AT33" s="693"/>
      <c r="AU33" s="503"/>
      <c r="AV33" s="503"/>
    </row>
    <row r="34" spans="5:48" ht="14.65" hidden="1" customHeight="1">
      <c r="E34" s="502">
        <v>15</v>
      </c>
      <c r="F34" s="3" cm="1">
        <f t="array" aca="1" ref="F34" ca="1">OFFSET(E34,-1,1)</f>
        <v>0</v>
      </c>
      <c r="I34" s="38" t="s">
        <v>1378</v>
      </c>
      <c r="J34" s="38"/>
      <c r="K34" s="38"/>
      <c r="L34" s="38"/>
      <c r="M34" s="38"/>
      <c r="N34" s="38"/>
      <c r="O34" s="38"/>
      <c r="P34" s="38"/>
      <c r="Q34" s="38"/>
      <c r="R34" s="38"/>
      <c r="S34" s="38"/>
      <c r="T34" s="351" t="b" cm="1">
        <f t="array" ref="T34">T33</f>
        <v>0</v>
      </c>
      <c r="X34" s="1113"/>
      <c r="Z34" s="1114"/>
      <c r="AB34" s="133" t="s">
        <v>1379</v>
      </c>
      <c r="AC34" s="134" t="s">
        <v>1750</v>
      </c>
      <c r="AD34" s="9" t="s">
        <v>859</v>
      </c>
      <c r="AE34" s="170">
        <f ca="1">SUMIFS(ЭЭ!AE$25:AE$74,ЭЭ!$F$25:$F$74,$F34,ЭЭ!$AC$25:$AC$74,"Всего по тарифу")</f>
        <v>0</v>
      </c>
      <c r="AF34" s="170">
        <f ca="1">SUMIFS(ЭЭ!AF$25:AF$74,ЭЭ!$F$25:$F$74,$F34,ЭЭ!$AC$25:$AC$74,"Всего по тарифу")</f>
        <v>0</v>
      </c>
      <c r="AG34" s="170">
        <f ca="1">SUMIFS(ЭЭ!AG$25:AG$74,ЭЭ!$F$25:$F$74,$F34,ЭЭ!$AC$25:$AC$74,"Всего по тарифу")</f>
        <v>0</v>
      </c>
      <c r="AH34" s="170">
        <f t="shared" ca="1" si="1"/>
        <v>0</v>
      </c>
      <c r="AI34" s="170">
        <f ca="1">SUMIFS(ЭЭ!AH$25:AH$74,ЭЭ!$F$25:$F$74,$F34,ЭЭ!$AC$25:$AC$74,"Всего по тарифу")</f>
        <v>0</v>
      </c>
      <c r="AJ34" s="170">
        <f ca="1">SUMIFS(ЭЭ!AI$25:AI$74,ЭЭ!$F$25:$F$74,$F34,ЭЭ!$AC$25:$AC$74,"Всего по тарифу")</f>
        <v>0</v>
      </c>
      <c r="AK34" s="170">
        <f ca="1">SUMIFS(ЭЭ!AS$25:AS$74,ЭЭ!$F$25:$F$74,$F34,ЭЭ!$AC$25:$AC$74,"Всего по тарифу")</f>
        <v>0</v>
      </c>
      <c r="AL34" s="170">
        <f t="shared" ca="1" si="2"/>
        <v>0</v>
      </c>
      <c r="AM34" s="774"/>
      <c r="AN34" s="778" t="str">
        <f ca="1">IF(IFERROR(INDEX(ЭЭ!$K$26:$L$74,MATCH($F34&amp;"komm",ЭЭ!$K$26:$K$74,0),2),"")=0,"",IFERROR(INDEX(ЭЭ!$K$26:$L$74,MATCH($F34&amp;"komm",ЭЭ!$K$26:$K$74,0),2),""))</f>
        <v/>
      </c>
      <c r="AO34" s="774"/>
      <c r="AR34" s="692" t="s">
        <v>1751</v>
      </c>
    </row>
    <row r="35" spans="5:48" ht="14.65" hidden="1" customHeight="1">
      <c r="E35" s="502">
        <v>15</v>
      </c>
      <c r="F35" s="3" cm="1">
        <f t="array" aca="1" ref="F35" ca="1">OFFSET(E35,-1,1)</f>
        <v>0</v>
      </c>
      <c r="G35" s="277" t="s">
        <v>1114</v>
      </c>
      <c r="I35" s="38" t="s">
        <v>1381</v>
      </c>
      <c r="J35" s="38"/>
      <c r="K35" s="38"/>
      <c r="L35" s="38"/>
      <c r="M35" s="38"/>
      <c r="N35" s="38"/>
      <c r="O35" s="38"/>
      <c r="P35" s="38"/>
      <c r="Q35" s="38"/>
      <c r="R35" s="38"/>
      <c r="S35" s="38"/>
      <c r="T35" s="351" t="b" cm="1">
        <f t="array" ref="T35">T34</f>
        <v>0</v>
      </c>
      <c r="X35" s="1113"/>
      <c r="Z35" s="1114"/>
      <c r="AB35" s="133" t="s">
        <v>1382</v>
      </c>
      <c r="AC35" s="134" t="s">
        <v>1752</v>
      </c>
      <c r="AD35" s="9" t="s">
        <v>859</v>
      </c>
      <c r="AE35" s="170">
        <f ca="1">SUMIFS(Покупка!AE$25:AE$87,Покупка!$F$25:$F$87,$F35,Покупка!$AC$25:$AC$87,$G35)</f>
        <v>0</v>
      </c>
      <c r="AF35" s="170">
        <f ca="1">SUMIFS(Покупка!AF$25:AF$87,Покупка!$F$25:$F$87,$F35,Покупка!$AC$25:$AC$87,$G35)</f>
        <v>0</v>
      </c>
      <c r="AG35" s="170">
        <f ca="1">SUMIFS(Покупка!AG$25:AG$87,Покупка!$F$25:$F$87,$F35,Покупка!$AC$25:$AC$87,$G35)</f>
        <v>0</v>
      </c>
      <c r="AH35" s="170">
        <f t="shared" ca="1" si="1"/>
        <v>0</v>
      </c>
      <c r="AI35" s="170">
        <f ca="1">SUMIFS(Покупка!AH$25:AH$87,Покупка!$F$25:$F$87,$F35,Покупка!$AC$25:$AC$87,$G35)</f>
        <v>0</v>
      </c>
      <c r="AJ35" s="170">
        <f ca="1">SUMIFS(Покупка!AI$25:AI$87,Покупка!$F$25:$F$87,$F35,Покупка!$AC$25:$AC$87,$G35)</f>
        <v>0</v>
      </c>
      <c r="AK35" s="170">
        <f ca="1">SUMIFS(Покупка!AS$25:AS$87,Покупка!$F$25:$F$87,$F35,Покупка!$AC$25:$AC$87,$G35)</f>
        <v>0</v>
      </c>
      <c r="AL35" s="170">
        <f t="shared" ca="1" si="2"/>
        <v>0</v>
      </c>
      <c r="AM35" s="774"/>
      <c r="AN35" s="778" t="str">
        <f ca="1">IF(IFERROR(INDEX(Покупка!$K$26:$L$87,MATCH($F35&amp;"6komm",Покупка!$K$26:$K$87,0),2),"")=0,"",IFERROR(INDEX(Покупка!$K$26:$L$87,MATCH($F35&amp;"6komm",Покупка!$K$26:$K$87,0),2),""))</f>
        <v/>
      </c>
      <c r="AO35" s="774"/>
      <c r="AR35" s="692" t="s">
        <v>1115</v>
      </c>
    </row>
    <row r="36" spans="5:48" ht="14.65" hidden="1" customHeight="1">
      <c r="E36" s="502">
        <v>15</v>
      </c>
      <c r="F36" s="3" cm="1">
        <f t="array" aca="1" ref="F36" ca="1">OFFSET(E36,-1,1)</f>
        <v>0</v>
      </c>
      <c r="G36" s="277" t="s">
        <v>1116</v>
      </c>
      <c r="I36" s="38" t="s">
        <v>1385</v>
      </c>
      <c r="J36" s="38"/>
      <c r="K36" s="38"/>
      <c r="L36" s="38"/>
      <c r="M36" s="38"/>
      <c r="N36" s="38"/>
      <c r="O36" s="38"/>
      <c r="P36" s="38"/>
      <c r="Q36" s="38"/>
      <c r="R36" s="38"/>
      <c r="S36" s="38"/>
      <c r="T36" s="351" t="b" cm="1">
        <f t="array" ref="T36">T35</f>
        <v>0</v>
      </c>
      <c r="X36" s="1113"/>
      <c r="Z36" s="1114"/>
      <c r="AB36" s="133" t="s">
        <v>1386</v>
      </c>
      <c r="AC36" s="134" t="s">
        <v>1753</v>
      </c>
      <c r="AD36" s="9" t="s">
        <v>859</v>
      </c>
      <c r="AE36" s="170">
        <f ca="1">SUMIFS(Покупка!AE$25:AE$87,Покупка!$F$25:$F$87,$F36,Покупка!$AC$25:$AC$87,$G36)</f>
        <v>0</v>
      </c>
      <c r="AF36" s="170">
        <f ca="1">SUMIFS(Покупка!AF$25:AF$87,Покупка!$F$25:$F$87,$F36,Покупка!$AC$25:$AC$87,$G36)</f>
        <v>0</v>
      </c>
      <c r="AG36" s="170">
        <f ca="1">SUMIFS(Покупка!AG$25:AG$87,Покупка!$F$25:$F$87,$F36,Покупка!$AC$25:$AC$87,$G36)</f>
        <v>0</v>
      </c>
      <c r="AH36" s="170">
        <f t="shared" ca="1" si="1"/>
        <v>0</v>
      </c>
      <c r="AI36" s="170">
        <f ca="1">SUMIFS(Покупка!AH$25:AH$87,Покупка!$F$25:$F$87,$F36,Покупка!$AC$25:$AC$87,$G36)</f>
        <v>0</v>
      </c>
      <c r="AJ36" s="170">
        <f ca="1">SUMIFS(Покупка!AI$25:AI$87,Покупка!$F$25:$F$87,$F36,Покупка!$AC$25:$AC$87,$G36)</f>
        <v>0</v>
      </c>
      <c r="AK36" s="170">
        <f ca="1">SUMIFS(Покупка!AS$25:AS$87,Покупка!$F$25:$F$87,$F36,Покупка!$AC$25:$AC$87,$G36)</f>
        <v>0</v>
      </c>
      <c r="AL36" s="170">
        <f t="shared" ca="1" si="2"/>
        <v>0</v>
      </c>
      <c r="AM36" s="774"/>
      <c r="AN36" s="778" t="str">
        <f ca="1">IF(IFERROR(INDEX(Покупка!$K$26:$L$87,MATCH($F36&amp;"7komm",Покупка!$K$26:$K$87,0),2),"")=0,"",IFERROR(INDEX(Покупка!$K$26:$L$87,MATCH($F36&amp;"7komm",Покупка!$K$26:$K$87,0),2),""))</f>
        <v/>
      </c>
      <c r="AO36" s="774"/>
      <c r="AR36" s="692" t="s">
        <v>1117</v>
      </c>
    </row>
    <row r="37" spans="5:48" ht="14.65" hidden="1" customHeight="1">
      <c r="E37" s="502">
        <v>15</v>
      </c>
      <c r="F37" s="3" cm="1">
        <f t="array" aca="1" ref="F37" ca="1">OFFSET(E37,-1,1)</f>
        <v>0</v>
      </c>
      <c r="G37" s="277" t="s">
        <v>1120</v>
      </c>
      <c r="I37" s="38" t="s">
        <v>1544</v>
      </c>
      <c r="J37" s="38"/>
      <c r="K37" s="38"/>
      <c r="L37" s="38"/>
      <c r="M37" s="38"/>
      <c r="N37" s="38"/>
      <c r="O37" s="38"/>
      <c r="P37" s="38"/>
      <c r="Q37" s="38"/>
      <c r="R37" s="38"/>
      <c r="S37" s="38"/>
      <c r="T37" s="351" t="b" cm="1">
        <f t="array" ref="T37">T36</f>
        <v>0</v>
      </c>
      <c r="X37" s="1113"/>
      <c r="Z37" s="1114"/>
      <c r="AB37" s="133" t="s">
        <v>1754</v>
      </c>
      <c r="AC37" s="134" t="s">
        <v>1755</v>
      </c>
      <c r="AD37" s="9" t="s">
        <v>859</v>
      </c>
      <c r="AE37" s="170">
        <f ca="1">SUMIFS(Покупка!AE$25:AE$87,Покупка!$F$25:$F$87,$F37,Покупка!$AC$25:$AC$87,$G37)</f>
        <v>0</v>
      </c>
      <c r="AF37" s="170">
        <f ca="1">SUMIFS(Покупка!AF$25:AF$87,Покупка!$F$25:$F$87,$F37,Покупка!$AC$25:$AC$87,$G37)</f>
        <v>0</v>
      </c>
      <c r="AG37" s="170">
        <f ca="1">SUMIFS(Покупка!AG$25:AG$87,Покупка!$F$25:$F$87,$F37,Покупка!$AC$25:$AC$87,$G37)</f>
        <v>0</v>
      </c>
      <c r="AH37" s="170">
        <f t="shared" ca="1" si="1"/>
        <v>0</v>
      </c>
      <c r="AI37" s="170">
        <f ca="1">SUMIFS(Покупка!AH$25:AH$87,Покупка!$F$25:$F$87,$F37,Покупка!$AC$25:$AC$87,$G37)</f>
        <v>0</v>
      </c>
      <c r="AJ37" s="170">
        <f ca="1">SUMIFS(Покупка!AI$25:AI$87,Покупка!$F$25:$F$87,$F37,Покупка!$AC$25:$AC$87,$G37)</f>
        <v>0</v>
      </c>
      <c r="AK37" s="170">
        <f ca="1">SUMIFS(Покупка!AS$25:AS$87,Покупка!$F$25:$F$87,$F37,Покупка!$AC$25:$AC$87,$G37)</f>
        <v>0</v>
      </c>
      <c r="AL37" s="170">
        <f t="shared" ca="1" si="2"/>
        <v>0</v>
      </c>
      <c r="AM37" s="774"/>
      <c r="AN37" s="778" t="str">
        <f ca="1">IF(IFERROR(INDEX(Покупка!$K$26:$L$87,MATCH($F37&amp;"9komm",Покупка!$K$26:$K$87,0),2),"")=0,"",IFERROR(INDEX(Покупка!$K$26:$L$87,MATCH($F37&amp;"9komm",Покупка!$K$26:$K$87,0),2),""))</f>
        <v/>
      </c>
      <c r="AO37" s="774"/>
      <c r="AR37" s="692" t="s">
        <v>1121</v>
      </c>
    </row>
    <row r="38" spans="5:48" ht="14.65" hidden="1" customHeight="1">
      <c r="E38" s="502">
        <v>15</v>
      </c>
      <c r="F38" s="3" cm="1">
        <f t="array" aca="1" ref="F38" ca="1">OFFSET(E38,-1,1)</f>
        <v>0</v>
      </c>
      <c r="G38" s="277" t="s">
        <v>1082</v>
      </c>
      <c r="I38" s="38" t="s">
        <v>1548</v>
      </c>
      <c r="J38" s="38"/>
      <c r="K38" s="38"/>
      <c r="L38" s="38"/>
      <c r="M38" s="38"/>
      <c r="N38" s="38"/>
      <c r="O38" s="38"/>
      <c r="P38" s="38"/>
      <c r="Q38" s="38"/>
      <c r="R38" s="38"/>
      <c r="S38" s="38"/>
      <c r="T38" s="351" t="b" cm="1">
        <f t="array" ref="T38">T37</f>
        <v>0</v>
      </c>
      <c r="X38" s="1113"/>
      <c r="Z38" s="1114"/>
      <c r="AB38" s="133" t="s">
        <v>1756</v>
      </c>
      <c r="AC38" s="134" t="s">
        <v>1757</v>
      </c>
      <c r="AD38" s="9" t="s">
        <v>859</v>
      </c>
      <c r="AE38" s="170">
        <f ca="1">SUMIFS(Покупка!AE$25:AE$87,Покупка!$F$25:$F$87,$F38,Покупка!$AC$25:$AC$87,$G38)</f>
        <v>0</v>
      </c>
      <c r="AF38" s="170">
        <f ca="1">SUMIFS(Покупка!AF$25:AF$87,Покупка!$F$25:$F$87,$F38,Покупка!$AC$25:$AC$87,$G38)</f>
        <v>0</v>
      </c>
      <c r="AG38" s="170">
        <f ca="1">SUMIFS(Покупка!AG$25:AG$87,Покупка!$F$25:$F$87,$F38,Покупка!$AC$25:$AC$87,$G38)</f>
        <v>0</v>
      </c>
      <c r="AH38" s="170">
        <f t="shared" ca="1" si="1"/>
        <v>0</v>
      </c>
      <c r="AI38" s="170">
        <f ca="1">SUMIFS(Покупка!AH$25:AH$87,Покупка!$F$25:$F$87,$F38,Покупка!$AC$25:$AC$87,$G38)</f>
        <v>0</v>
      </c>
      <c r="AJ38" s="170">
        <f ca="1">SUMIFS(Покупка!AI$25:AI$87,Покупка!$F$25:$F$87,$F38,Покупка!$AC$25:$AC$87,$G38)</f>
        <v>0</v>
      </c>
      <c r="AK38" s="170">
        <f ca="1">SUMIFS(Покупка!AS$25:AS$87,Покупка!$F$25:$F$87,$F38,Покупка!$AC$25:$AC$87,$G38)</f>
        <v>0</v>
      </c>
      <c r="AL38" s="170">
        <f t="shared" ca="1" si="2"/>
        <v>0</v>
      </c>
      <c r="AM38" s="774"/>
      <c r="AN38" s="778" t="str">
        <f ca="1">IF(IFERROR(INDEX(Покупка!$K$26:$L$87,MATCH($F38&amp;"1komm",Покупка!$K$26:$K$87,0),2),"")=0,"",IFERROR(INDEX(Покупка!$K$26:$L$87,MATCH($F38&amp;"1komm",Покупка!$K$26:$K$87,0),2),""))</f>
        <v/>
      </c>
      <c r="AO38" s="774"/>
      <c r="AR38" s="692" t="s">
        <v>1758</v>
      </c>
    </row>
    <row r="39" spans="5:48" ht="14.65" hidden="1" customHeight="1">
      <c r="E39" s="502">
        <v>15</v>
      </c>
      <c r="F39" s="3" cm="1">
        <f t="array" aca="1" ref="F39" ca="1">OFFSET(E39,-1,1)</f>
        <v>0</v>
      </c>
      <c r="G39" s="277" t="s">
        <v>1091</v>
      </c>
      <c r="I39" s="38" t="s">
        <v>1553</v>
      </c>
      <c r="J39" s="38"/>
      <c r="K39" s="38"/>
      <c r="L39" s="38"/>
      <c r="M39" s="38"/>
      <c r="N39" s="38"/>
      <c r="O39" s="38"/>
      <c r="P39" s="38"/>
      <c r="Q39" s="38"/>
      <c r="R39" s="38"/>
      <c r="S39" s="38"/>
      <c r="T39" s="351" t="b" cm="1">
        <f t="array" ref="T39">T38</f>
        <v>0</v>
      </c>
      <c r="X39" s="1113"/>
      <c r="Z39" s="1114"/>
      <c r="AB39" s="133" t="s">
        <v>1759</v>
      </c>
      <c r="AC39" s="134" t="s">
        <v>1760</v>
      </c>
      <c r="AD39" s="9" t="s">
        <v>859</v>
      </c>
      <c r="AE39" s="170">
        <f ca="1">SUMIFS(Покупка!AE$25:AE$87,Покупка!$F$25:$F$87,$F39,Покупка!$AC$25:$AC$87,$G39)</f>
        <v>0</v>
      </c>
      <c r="AF39" s="170">
        <f ca="1">SUMIFS(Покупка!AF$25:AF$87,Покупка!$F$25:$F$87,$F39,Покупка!$AC$25:$AC$87,$G39)</f>
        <v>0</v>
      </c>
      <c r="AG39" s="170">
        <f ca="1">SUMIFS(Покупка!AG$25:AG$87,Покупка!$F$25:$F$87,$F39,Покупка!$AC$25:$AC$87,$G39)</f>
        <v>0</v>
      </c>
      <c r="AH39" s="170">
        <f t="shared" ca="1" si="1"/>
        <v>0</v>
      </c>
      <c r="AI39" s="170">
        <f ca="1">SUMIFS(Покупка!AH$25:AH$87,Покупка!$F$25:$F$87,$F39,Покупка!$AC$25:$AC$87,$G39)</f>
        <v>0</v>
      </c>
      <c r="AJ39" s="170">
        <f ca="1">SUMIFS(Покупка!AI$25:AI$87,Покупка!$F$25:$F$87,$F39,Покупка!$AC$25:$AC$87,$G39)</f>
        <v>0</v>
      </c>
      <c r="AK39" s="170">
        <f ca="1">SUMIFS(Покупка!AS$25:AS$87,Покупка!$F$25:$F$87,$F39,Покупка!$AC$25:$AC$87,$G39)</f>
        <v>0</v>
      </c>
      <c r="AL39" s="170">
        <f t="shared" ca="1" si="2"/>
        <v>0</v>
      </c>
      <c r="AM39" s="774"/>
      <c r="AN39" s="778" t="str">
        <f ca="1">IF(IFERROR(INDEX(Покупка!$K$26:$L$87,MATCH($F39&amp;"2komm",Покупка!$K$26:$K$87,0),2),"")=0,"",IFERROR(INDEX(Покупка!$K$26:$L$87,MATCH($F39&amp;"2komm",Покупка!$K$26:$K$87,0),2),""))</f>
        <v/>
      </c>
      <c r="AO39" s="774"/>
      <c r="AR39" s="692" t="s">
        <v>1761</v>
      </c>
    </row>
    <row r="40" spans="5:48" ht="14.65" hidden="1" customHeight="1">
      <c r="E40" s="502">
        <v>15</v>
      </c>
      <c r="F40" s="3" cm="1">
        <f t="array" aca="1" ref="F40" ca="1">OFFSET(E40,-1,1)</f>
        <v>0</v>
      </c>
      <c r="G40" s="277" t="s">
        <v>1096</v>
      </c>
      <c r="I40" s="38" t="s">
        <v>1562</v>
      </c>
      <c r="J40" s="38"/>
      <c r="K40" s="38"/>
      <c r="L40" s="38"/>
      <c r="M40" s="38"/>
      <c r="N40" s="38"/>
      <c r="O40" s="38"/>
      <c r="P40" s="38"/>
      <c r="Q40" s="38"/>
      <c r="R40" s="38"/>
      <c r="S40" s="38"/>
      <c r="T40" s="351" t="b" cm="1">
        <f t="array" ref="T40">T39</f>
        <v>0</v>
      </c>
      <c r="X40" s="1113"/>
      <c r="Z40" s="1114"/>
      <c r="AB40" s="133" t="s">
        <v>1762</v>
      </c>
      <c r="AC40" s="134" t="s">
        <v>1763</v>
      </c>
      <c r="AD40" s="9" t="s">
        <v>859</v>
      </c>
      <c r="AE40" s="170">
        <f ca="1">SUMIFS(Покупка!AE$25:AE$87,Покупка!$F$25:$F$87,$F40,Покупка!$AC$25:$AC$87,$G40)</f>
        <v>0</v>
      </c>
      <c r="AF40" s="170">
        <f ca="1">SUMIFS(Покупка!AF$25:AF$87,Покупка!$F$25:$F$87,$F40,Покупка!$AC$25:$AC$87,$G40)</f>
        <v>0</v>
      </c>
      <c r="AG40" s="170">
        <f ca="1">SUMIFS(Покупка!AG$25:AG$87,Покупка!$F$25:$F$87,$F40,Покупка!$AC$25:$AC$87,$G40)</f>
        <v>0</v>
      </c>
      <c r="AH40" s="170">
        <f t="shared" ca="1" si="1"/>
        <v>0</v>
      </c>
      <c r="AI40" s="170">
        <f ca="1">SUMIFS(Покупка!AH$25:AH$87,Покупка!$F$25:$F$87,$F40,Покупка!$AC$25:$AC$87,$G40)</f>
        <v>0</v>
      </c>
      <c r="AJ40" s="170">
        <f ca="1">SUMIFS(Покупка!AI$25:AI$87,Покупка!$F$25:$F$87,$F40,Покупка!$AC$25:$AC$87,$G40)</f>
        <v>0</v>
      </c>
      <c r="AK40" s="170">
        <f ca="1">SUMIFS(Покупка!AS$25:AS$87,Покупка!$F$25:$F$87,$F40,Покупка!$AC$25:$AC$87,$G40)</f>
        <v>0</v>
      </c>
      <c r="AL40" s="170">
        <f t="shared" ca="1" si="2"/>
        <v>0</v>
      </c>
      <c r="AM40" s="774"/>
      <c r="AN40" s="778" t="str">
        <f ca="1">IF(IFERROR(INDEX(Покупка!$K$26:$L$87,MATCH($F40&amp;"3komm",Покупка!$K$26:$K$87,0),2),"")=0,"",IFERROR(INDEX(Покупка!$K$26:$L$87,MATCH($F40&amp;"3komm",Покупка!$K$26:$K$87,0),2),""))</f>
        <v/>
      </c>
      <c r="AO40" s="774"/>
      <c r="AR40" s="692" t="s">
        <v>1764</v>
      </c>
    </row>
    <row r="41" spans="5:48" ht="14.65" hidden="1" customHeight="1">
      <c r="E41" s="502">
        <v>15</v>
      </c>
      <c r="F41" s="3" cm="1">
        <f t="array" aca="1" ref="F41" ca="1">OFFSET(E41,-1,1)</f>
        <v>0</v>
      </c>
      <c r="G41" s="277" t="s">
        <v>1102</v>
      </c>
      <c r="I41" s="38" t="s">
        <v>1567</v>
      </c>
      <c r="J41" s="38"/>
      <c r="K41" s="38"/>
      <c r="L41" s="38"/>
      <c r="M41" s="38"/>
      <c r="N41" s="38"/>
      <c r="O41" s="38"/>
      <c r="P41" s="38"/>
      <c r="Q41" s="38"/>
      <c r="R41" s="38"/>
      <c r="S41" s="38"/>
      <c r="T41" s="351" t="b" cm="1">
        <f t="array" ref="T41">T40</f>
        <v>0</v>
      </c>
      <c r="X41" s="1113"/>
      <c r="Z41" s="1114"/>
      <c r="AB41" s="133" t="s">
        <v>1765</v>
      </c>
      <c r="AC41" s="134" t="s">
        <v>1766</v>
      </c>
      <c r="AD41" s="9" t="s">
        <v>859</v>
      </c>
      <c r="AE41" s="170">
        <f ca="1">SUMIFS(Покупка!AE$25:AE$87,Покупка!$F$25:$F$87,$F41,Покупка!$AC$25:$AC$87,$G41)</f>
        <v>0</v>
      </c>
      <c r="AF41" s="170">
        <f ca="1">SUMIFS(Покупка!AF$25:AF$87,Покупка!$F$25:$F$87,$F41,Покупка!$AC$25:$AC$87,$G41)</f>
        <v>0</v>
      </c>
      <c r="AG41" s="170">
        <f ca="1">SUMIFS(Покупка!AG$25:AG$87,Покупка!$F$25:$F$87,$F41,Покупка!$AC$25:$AC$87,$G41)</f>
        <v>0</v>
      </c>
      <c r="AH41" s="170">
        <f t="shared" ca="1" si="1"/>
        <v>0</v>
      </c>
      <c r="AI41" s="170">
        <f ca="1">SUMIFS(Покупка!AH$25:AH$87,Покупка!$F$25:$F$87,$F41,Покупка!$AC$25:$AC$87,$G41)</f>
        <v>0</v>
      </c>
      <c r="AJ41" s="170">
        <f ca="1">SUMIFS(Покупка!AI$25:AI$87,Покупка!$F$25:$F$87,$F41,Покупка!$AC$25:$AC$87,$G41)</f>
        <v>0</v>
      </c>
      <c r="AK41" s="170">
        <f ca="1">SUMIFS(Покупка!AS$25:AS$87,Покупка!$F$25:$F$87,$F41,Покупка!$AC$25:$AC$87,$G41)</f>
        <v>0</v>
      </c>
      <c r="AL41" s="170">
        <f t="shared" ca="1" si="2"/>
        <v>0</v>
      </c>
      <c r="AM41" s="774"/>
      <c r="AN41" s="778" t="str">
        <f ca="1">IF(IFERROR(INDEX(Покупка!$K$26:$L$87,MATCH($F41&amp;"4komm",Покупка!$K$26:$K$87,0),2),"")=0,"",IFERROR(INDEX(Покупка!$K$26:$L$87,MATCH($F41&amp;"4komm",Покупка!$K$26:$K$87,0),2),""))</f>
        <v/>
      </c>
      <c r="AO41" s="774"/>
      <c r="AR41" s="692" t="s">
        <v>1767</v>
      </c>
    </row>
    <row r="42" spans="5:48" ht="14.65" hidden="1" customHeight="1">
      <c r="E42" s="502">
        <v>15</v>
      </c>
      <c r="F42" s="3" cm="1">
        <f t="array" aca="1" ref="F42" ca="1">OFFSET(E42,-1,1)</f>
        <v>0</v>
      </c>
      <c r="G42" s="277" t="s">
        <v>1108</v>
      </c>
      <c r="I42" s="38" t="s">
        <v>1577</v>
      </c>
      <c r="J42" s="38"/>
      <c r="K42" s="38"/>
      <c r="L42" s="38"/>
      <c r="M42" s="38"/>
      <c r="N42" s="38"/>
      <c r="O42" s="38"/>
      <c r="P42" s="38"/>
      <c r="Q42" s="38"/>
      <c r="R42" s="38"/>
      <c r="S42" s="38"/>
      <c r="T42" s="351" t="b" cm="1">
        <f t="array" ref="T42">T41</f>
        <v>0</v>
      </c>
      <c r="X42" s="1113"/>
      <c r="Z42" s="1114"/>
      <c r="AB42" s="133" t="s">
        <v>1768</v>
      </c>
      <c r="AC42" s="134" t="s">
        <v>1769</v>
      </c>
      <c r="AD42" s="9" t="s">
        <v>859</v>
      </c>
      <c r="AE42" s="170">
        <f ca="1">SUMIFS(Покупка!AE$25:AE$87,Покупка!$F$25:$F$87,$F42,Покупка!$AC$25:$AC$87,$G42)</f>
        <v>0</v>
      </c>
      <c r="AF42" s="170">
        <f ca="1">SUMIFS(Покупка!AF$25:AF$87,Покупка!$F$25:$F$87,$F42,Покупка!$AC$25:$AC$87,$G42)</f>
        <v>0</v>
      </c>
      <c r="AG42" s="170">
        <f ca="1">SUMIFS(Покупка!AG$25:AG$87,Покупка!$F$25:$F$87,$F42,Покупка!$AC$25:$AC$87,$G42)</f>
        <v>0</v>
      </c>
      <c r="AH42" s="170">
        <f t="shared" ca="1" si="1"/>
        <v>0</v>
      </c>
      <c r="AI42" s="170">
        <f ca="1">SUMIFS(Покупка!AH$25:AH$87,Покупка!$F$25:$F$87,$F42,Покупка!$AC$25:$AC$87,$G42)</f>
        <v>0</v>
      </c>
      <c r="AJ42" s="170">
        <f ca="1">SUMIFS(Покупка!AI$25:AI$87,Покупка!$F$25:$F$87,$F42,Покупка!$AC$25:$AC$87,$G42)</f>
        <v>0</v>
      </c>
      <c r="AK42" s="170">
        <f ca="1">SUMIFS(Покупка!AS$25:AS$87,Покупка!$F$25:$F$87,$F42,Покупка!$AC$25:$AC$87,$G42)</f>
        <v>0</v>
      </c>
      <c r="AL42" s="170">
        <f t="shared" ca="1" si="2"/>
        <v>0</v>
      </c>
      <c r="AM42" s="774"/>
      <c r="AN42" s="778" t="str">
        <f ca="1">IF(IFERROR(INDEX(Покупка!$K$26:$L$87,MATCH($F42&amp;"5komm",Покупка!$K$26:$K$87,0),2),"")=0,"",IFERROR(INDEX(Покупка!$K$26:$L$87,MATCH($F42&amp;"5komm",Покупка!$K$26:$K$87,0),2),""))</f>
        <v/>
      </c>
      <c r="AO42" s="774"/>
      <c r="AR42" s="692" t="s">
        <v>1770</v>
      </c>
    </row>
    <row r="43" spans="5:48" s="421" customFormat="1" ht="43.9" hidden="1" customHeight="1">
      <c r="E43" s="503">
        <v>45</v>
      </c>
      <c r="F43" s="3" cm="1">
        <f t="array" aca="1" ref="F43" ca="1">OFFSET(E43,-1,1)</f>
        <v>0</v>
      </c>
      <c r="I43" s="154" t="s">
        <v>514</v>
      </c>
      <c r="J43" s="154"/>
      <c r="K43" s="154"/>
      <c r="L43" s="154"/>
      <c r="M43" s="154"/>
      <c r="N43" s="154"/>
      <c r="O43" s="154"/>
      <c r="P43" s="154"/>
      <c r="Q43" s="154"/>
      <c r="R43" s="154"/>
      <c r="S43" s="154"/>
      <c r="T43" s="351" t="b" cm="1">
        <f t="array" ref="T43">T42</f>
        <v>0</v>
      </c>
      <c r="X43" s="1113"/>
      <c r="Z43" s="1114"/>
      <c r="AB43" s="131" t="s">
        <v>942</v>
      </c>
      <c r="AC43" s="262" t="s">
        <v>1771</v>
      </c>
      <c r="AD43" s="147" t="s">
        <v>859</v>
      </c>
      <c r="AE43" s="138"/>
      <c r="AF43" s="138"/>
      <c r="AG43" s="138"/>
      <c r="AH43" s="126">
        <f t="shared" si="1"/>
        <v>0</v>
      </c>
      <c r="AI43" s="138"/>
      <c r="AJ43" s="773"/>
      <c r="AK43" s="773"/>
      <c r="AL43" s="126">
        <f t="shared" si="2"/>
        <v>0</v>
      </c>
      <c r="AM43" s="776"/>
      <c r="AN43" s="776"/>
      <c r="AO43" s="776"/>
      <c r="AR43" s="693" t="s">
        <v>1772</v>
      </c>
      <c r="AS43" s="693"/>
      <c r="AT43" s="693"/>
      <c r="AU43" s="503"/>
      <c r="AV43" s="503"/>
    </row>
    <row r="44" spans="5:48" s="421" customFormat="1" ht="43.9" hidden="1" customHeight="1">
      <c r="E44" s="503">
        <v>45</v>
      </c>
      <c r="F44" s="3" cm="1">
        <f t="array" aca="1" ref="F44" ca="1">OFFSET(E44,-1,1)</f>
        <v>0</v>
      </c>
      <c r="I44" s="154" t="s">
        <v>518</v>
      </c>
      <c r="J44" s="154"/>
      <c r="K44" s="154"/>
      <c r="L44" s="154"/>
      <c r="M44" s="154"/>
      <c r="N44" s="154"/>
      <c r="O44" s="154"/>
      <c r="P44" s="154"/>
      <c r="Q44" s="154"/>
      <c r="R44" s="154"/>
      <c r="S44" s="154"/>
      <c r="T44" s="351" t="b" cm="1">
        <f t="array" ref="T44">T43</f>
        <v>0</v>
      </c>
      <c r="X44" s="1113"/>
      <c r="Z44" s="1114"/>
      <c r="AB44" s="131" t="s">
        <v>945</v>
      </c>
      <c r="AC44" s="262" t="s">
        <v>1773</v>
      </c>
      <c r="AD44" s="147" t="s">
        <v>859</v>
      </c>
      <c r="AE44" s="126">
        <f ca="1">AE45+AE46</f>
        <v>0</v>
      </c>
      <c r="AF44" s="126">
        <f ca="1">AF45+AF46</f>
        <v>0</v>
      </c>
      <c r="AG44" s="126">
        <f ca="1">AG45+AG46</f>
        <v>0</v>
      </c>
      <c r="AH44" s="126">
        <f t="shared" ca="1" si="1"/>
        <v>0</v>
      </c>
      <c r="AI44" s="126">
        <f ca="1">AI45+AI46</f>
        <v>0</v>
      </c>
      <c r="AJ44" s="126">
        <f ca="1">AJ45+AJ46</f>
        <v>0</v>
      </c>
      <c r="AK44" s="126">
        <f ca="1">AK45+AK46</f>
        <v>0</v>
      </c>
      <c r="AL44" s="126">
        <f t="shared" ca="1" si="2"/>
        <v>0</v>
      </c>
      <c r="AM44" s="776"/>
      <c r="AN44" s="776"/>
      <c r="AO44" s="776"/>
      <c r="AR44" s="693" t="s">
        <v>1774</v>
      </c>
      <c r="AS44" s="693"/>
      <c r="AT44" s="693"/>
      <c r="AU44" s="503"/>
      <c r="AV44" s="503"/>
    </row>
    <row r="45" spans="5:48" ht="14.65" hidden="1" customHeight="1">
      <c r="E45" s="502">
        <v>15</v>
      </c>
      <c r="F45" s="3" cm="1">
        <f t="array" aca="1" ref="F45" ca="1">OFFSET(E45,-1,1)</f>
        <v>0</v>
      </c>
      <c r="G45" s="252" t="s">
        <v>1135</v>
      </c>
      <c r="I45" s="38" t="s">
        <v>1405</v>
      </c>
      <c r="J45" s="38"/>
      <c r="K45" s="38"/>
      <c r="L45" s="38"/>
      <c r="M45" s="38"/>
      <c r="N45" s="38"/>
      <c r="O45" s="38"/>
      <c r="P45" s="154"/>
      <c r="Q45" s="38"/>
      <c r="R45" s="38"/>
      <c r="S45" s="38"/>
      <c r="T45" s="351" t="b" cm="1">
        <f t="array" ref="T45">T44</f>
        <v>0</v>
      </c>
      <c r="X45" s="1113"/>
      <c r="Z45" s="1114"/>
      <c r="AB45" s="133" t="s">
        <v>1057</v>
      </c>
      <c r="AC45" s="134" t="s">
        <v>1775</v>
      </c>
      <c r="AD45" s="9" t="s">
        <v>859</v>
      </c>
      <c r="AE45" s="170">
        <f ca="1">SUMIFS(ФОТ!AE$25:AE$89,ФОТ!$F$25:$F$89,$F45,ФОТ!$G$25:$G$89,$G45)</f>
        <v>0</v>
      </c>
      <c r="AF45" s="170">
        <f ca="1">SUMIFS(ФОТ!AF$25:AF$89,ФОТ!$F$25:$F$89,$F45,ФОТ!$G$25:$G$89,$G45)</f>
        <v>0</v>
      </c>
      <c r="AG45" s="170">
        <f ca="1">SUMIFS(ФОТ!AG$25:AG$89,ФОТ!$F$25:$F$89,$F45,ФОТ!$G$25:$G$89,$G45)</f>
        <v>0</v>
      </c>
      <c r="AH45" s="170">
        <f t="shared" ca="1" si="1"/>
        <v>0</v>
      </c>
      <c r="AI45" s="170">
        <f ca="1">SUMIFS(ФОТ!AH$25:AH$89,ФОТ!$F$25:$F$89,$F45,ФОТ!$G$25:$G$89,$G45)</f>
        <v>0</v>
      </c>
      <c r="AJ45" s="170">
        <f ca="1">SUMIFS(ФОТ!AI$25:AI$89,ФОТ!$F$25:$F$89,$F45,ФОТ!$G$25:$G$89,$G45)</f>
        <v>0</v>
      </c>
      <c r="AK45" s="170">
        <f ca="1">SUMIFS(ФОТ!AJ$25:AJ$89,ФОТ!$F$25:$F$89,$F45,ФОТ!$G$25:$G$89,$G45)</f>
        <v>0</v>
      </c>
      <c r="AL45" s="170">
        <f t="shared" ca="1" si="2"/>
        <v>0</v>
      </c>
      <c r="AM45" s="774"/>
      <c r="AN45" s="778" t="str">
        <f ca="1">IF(IFERROR(INDEX(ФОТ!$K$26:$L$89,MATCH($F45&amp;"1komm",ФОТ!$K$26:$K$89,0),2),"")=0,"",IFERROR(INDEX(ФОТ!$K$26:$L$89,MATCH($F45&amp;"1komm",ФОТ!$K$26:$K$89,0),2),""))</f>
        <v/>
      </c>
      <c r="AO45" s="774"/>
      <c r="AR45" s="692" t="s">
        <v>1776</v>
      </c>
    </row>
    <row r="46" spans="5:48" ht="21.95" hidden="1" customHeight="1">
      <c r="E46" s="502">
        <v>22.5</v>
      </c>
      <c r="F46" s="3" cm="1">
        <f t="array" aca="1" ref="F46" ca="1">OFFSET(E46,-1,1)</f>
        <v>0</v>
      </c>
      <c r="G46" s="252" t="s">
        <v>1147</v>
      </c>
      <c r="I46" s="38" t="s">
        <v>1406</v>
      </c>
      <c r="J46" s="38"/>
      <c r="K46" s="38"/>
      <c r="L46" s="38"/>
      <c r="M46" s="38"/>
      <c r="N46" s="38"/>
      <c r="O46" s="38"/>
      <c r="P46" s="154"/>
      <c r="Q46" s="38"/>
      <c r="R46" s="38"/>
      <c r="S46" s="38"/>
      <c r="T46" s="351" t="b" cm="1">
        <f t="array" ref="T46">T45</f>
        <v>0</v>
      </c>
      <c r="X46" s="1113"/>
      <c r="Z46" s="1114"/>
      <c r="AB46" s="133" t="s">
        <v>1060</v>
      </c>
      <c r="AC46" s="134" t="s">
        <v>1777</v>
      </c>
      <c r="AD46" s="9" t="s">
        <v>859</v>
      </c>
      <c r="AE46" s="170">
        <f ca="1">SUMIFS(ФОТ!AE$25:AE$89,ФОТ!$F$25:$F$89,$F46,ФОТ!$G$25:$G$89,$G46)</f>
        <v>0</v>
      </c>
      <c r="AF46" s="170">
        <f ca="1">SUMIFS(ФОТ!AF$25:AF$89,ФОТ!$F$25:$F$89,$F46,ФОТ!$G$25:$G$89,$G46)</f>
        <v>0</v>
      </c>
      <c r="AG46" s="170">
        <f ca="1">SUMIFS(ФОТ!AG$25:AG$89,ФОТ!$F$25:$F$89,$F46,ФОТ!$G$25:$G$89,$G46)</f>
        <v>0</v>
      </c>
      <c r="AH46" s="170">
        <f t="shared" ca="1" si="1"/>
        <v>0</v>
      </c>
      <c r="AI46" s="170">
        <f ca="1">SUMIFS(ФОТ!AH$25:AH$89,ФОТ!$F$25:$F$89,$F46,ФОТ!$G$25:$G$89,$G46)</f>
        <v>0</v>
      </c>
      <c r="AJ46" s="170">
        <f ca="1">SUMIFS(ФОТ!AI$25:AI$89,ФОТ!$F$25:$F$89,$F46,ФОТ!$G$25:$G$89,$G46)</f>
        <v>0</v>
      </c>
      <c r="AK46" s="170">
        <f ca="1">SUMIFS(ФОТ!AJ$25:AJ$89,ФОТ!$F$25:$F$89,$F46,ФОТ!$G$25:$G$89,$G46)</f>
        <v>0</v>
      </c>
      <c r="AL46" s="170">
        <f t="shared" ca="1" si="2"/>
        <v>0</v>
      </c>
      <c r="AM46" s="774"/>
      <c r="AN46" s="778" t="str">
        <f ca="1">IF(IFERROR(INDEX(ФОТ!$K$26:$L$89,MATCH($F46&amp;"2komm",ФОТ!$K$26:$K$89,0),2),"")=0,"",IFERROR(INDEX(ФОТ!$K$26:$L$89,MATCH($F46&amp;"2komm",ФОТ!$K$26:$K$89,0),2),""))</f>
        <v/>
      </c>
      <c r="AO46" s="774"/>
      <c r="AR46" s="692" t="s">
        <v>1778</v>
      </c>
    </row>
    <row r="47" spans="5:48" s="421" customFormat="1" ht="14.65" hidden="1" customHeight="1">
      <c r="E47" s="503">
        <v>15</v>
      </c>
      <c r="F47" s="3" cm="1">
        <f t="array" aca="1" ref="F47" ca="1">OFFSET(E47,-1,1)</f>
        <v>0</v>
      </c>
      <c r="I47" s="154" t="s">
        <v>948</v>
      </c>
      <c r="J47" s="154"/>
      <c r="K47" s="154"/>
      <c r="L47" s="154"/>
      <c r="M47" s="154"/>
      <c r="N47" s="154"/>
      <c r="O47" s="154"/>
      <c r="P47" s="154"/>
      <c r="Q47" s="154"/>
      <c r="R47" s="154"/>
      <c r="S47" s="154"/>
      <c r="T47" s="351" t="b" cm="1">
        <f t="array" ref="T47">T46</f>
        <v>0</v>
      </c>
      <c r="X47" s="1113"/>
      <c r="Z47" s="1114"/>
      <c r="AB47" s="131" t="s">
        <v>949</v>
      </c>
      <c r="AC47" s="262" t="s">
        <v>1779</v>
      </c>
      <c r="AD47" s="147" t="s">
        <v>859</v>
      </c>
      <c r="AE47" s="138"/>
      <c r="AF47" s="138"/>
      <c r="AG47" s="138"/>
      <c r="AH47" s="126">
        <f t="shared" si="1"/>
        <v>0</v>
      </c>
      <c r="AI47" s="138"/>
      <c r="AJ47" s="773"/>
      <c r="AK47" s="773"/>
      <c r="AL47" s="126">
        <f t="shared" si="2"/>
        <v>0</v>
      </c>
      <c r="AM47" s="776"/>
      <c r="AN47" s="776"/>
      <c r="AO47" s="776"/>
      <c r="AR47" s="693" t="s">
        <v>1384</v>
      </c>
      <c r="AS47" s="693"/>
      <c r="AT47" s="693"/>
      <c r="AU47" s="503"/>
      <c r="AV47" s="503"/>
    </row>
    <row r="48" spans="5:48" s="421" customFormat="1" ht="14.65" hidden="1" customHeight="1">
      <c r="E48" s="503">
        <v>15</v>
      </c>
      <c r="F48" s="3" cm="1">
        <f t="array" aca="1" ref="F48" ca="1">OFFSET(E48,-1,1)</f>
        <v>0</v>
      </c>
      <c r="I48" s="154" t="s">
        <v>1780</v>
      </c>
      <c r="J48" s="154"/>
      <c r="K48" s="154"/>
      <c r="L48" s="154"/>
      <c r="M48" s="154"/>
      <c r="N48" s="154"/>
      <c r="O48" s="154"/>
      <c r="P48" s="154"/>
      <c r="Q48" s="154"/>
      <c r="R48" s="154"/>
      <c r="S48" s="154"/>
      <c r="T48" s="351" t="b" cm="1">
        <f t="array" ref="T48">T47</f>
        <v>0</v>
      </c>
      <c r="X48" s="1113"/>
      <c r="Z48" s="1114"/>
      <c r="AB48" s="131" t="s">
        <v>1781</v>
      </c>
      <c r="AC48" s="262" t="s">
        <v>1782</v>
      </c>
      <c r="AD48" s="147" t="s">
        <v>859</v>
      </c>
      <c r="AE48" s="138"/>
      <c r="AF48" s="138"/>
      <c r="AG48" s="138"/>
      <c r="AH48" s="126">
        <f t="shared" si="1"/>
        <v>0</v>
      </c>
      <c r="AI48" s="138"/>
      <c r="AJ48" s="773"/>
      <c r="AK48" s="773"/>
      <c r="AL48" s="126">
        <f t="shared" si="2"/>
        <v>0</v>
      </c>
      <c r="AM48" s="776"/>
      <c r="AN48" s="776"/>
      <c r="AO48" s="776"/>
      <c r="AR48" s="693" t="s">
        <v>1783</v>
      </c>
      <c r="AS48" s="693"/>
      <c r="AT48" s="693"/>
      <c r="AU48" s="503"/>
      <c r="AV48" s="503"/>
    </row>
    <row r="49" spans="5:48" s="421" customFormat="1" ht="14.65" hidden="1" customHeight="1">
      <c r="E49" s="503">
        <v>15</v>
      </c>
      <c r="F49" s="3" cm="1">
        <f t="array" aca="1" ref="F49" ca="1">OFFSET(E49,-1,1)</f>
        <v>0</v>
      </c>
      <c r="I49" s="154" t="s">
        <v>1784</v>
      </c>
      <c r="J49" s="154"/>
      <c r="K49" s="154"/>
      <c r="L49" s="154"/>
      <c r="M49" s="154"/>
      <c r="N49" s="154"/>
      <c r="O49" s="154"/>
      <c r="P49" s="154"/>
      <c r="Q49" s="154"/>
      <c r="R49" s="154"/>
      <c r="S49" s="154"/>
      <c r="T49" s="351" t="b" cm="1">
        <f t="array" ref="T49">T48</f>
        <v>0</v>
      </c>
      <c r="X49" s="1113"/>
      <c r="Z49" s="1114"/>
      <c r="AB49" s="131" t="s">
        <v>1785</v>
      </c>
      <c r="AC49" s="262" t="s">
        <v>1786</v>
      </c>
      <c r="AD49" s="147" t="s">
        <v>859</v>
      </c>
      <c r="AE49" s="126">
        <f>SUM(AE50:AE55)</f>
        <v>0</v>
      </c>
      <c r="AF49" s="126">
        <f>SUM(AF50:AF55)</f>
        <v>0</v>
      </c>
      <c r="AG49" s="126">
        <f>SUM(AG50:AG55)</f>
        <v>0</v>
      </c>
      <c r="AH49" s="126">
        <f t="shared" si="1"/>
        <v>0</v>
      </c>
      <c r="AI49" s="126">
        <f>SUM(AI50:AI55)</f>
        <v>0</v>
      </c>
      <c r="AJ49" s="126">
        <f>SUM(AJ50:AJ55)</f>
        <v>0</v>
      </c>
      <c r="AK49" s="126">
        <f>SUM(AK50:AK55)</f>
        <v>0</v>
      </c>
      <c r="AL49" s="126">
        <f t="shared" si="2"/>
        <v>0</v>
      </c>
      <c r="AM49" s="776"/>
      <c r="AN49" s="776"/>
      <c r="AO49" s="776"/>
      <c r="AR49" s="693" t="s">
        <v>1787</v>
      </c>
      <c r="AS49" s="693"/>
      <c r="AT49" s="693"/>
      <c r="AU49" s="503"/>
      <c r="AV49" s="503"/>
    </row>
    <row r="50" spans="5:48" ht="14.65" hidden="1" customHeight="1">
      <c r="E50" s="502">
        <v>15</v>
      </c>
      <c r="F50" s="3" cm="1">
        <f t="array" aca="1" ref="F50" ca="1">OFFSET(E50,-1,1)</f>
        <v>0</v>
      </c>
      <c r="I50" s="38" t="s">
        <v>1784</v>
      </c>
      <c r="J50" s="277" t="s">
        <v>1788</v>
      </c>
      <c r="L50" s="38"/>
      <c r="M50" s="38"/>
      <c r="N50" s="38"/>
      <c r="O50" s="38"/>
      <c r="P50" s="38"/>
      <c r="Q50" s="38"/>
      <c r="R50" s="38"/>
      <c r="S50" s="38"/>
      <c r="T50" s="351" t="b" cm="1">
        <f t="array" ref="T50">T49</f>
        <v>0</v>
      </c>
      <c r="X50" s="1113"/>
      <c r="Z50" s="1114"/>
      <c r="AB50" s="133" t="s">
        <v>1789</v>
      </c>
      <c r="AC50" s="134" t="s">
        <v>1790</v>
      </c>
      <c r="AD50" s="9" t="s">
        <v>859</v>
      </c>
      <c r="AE50" s="128"/>
      <c r="AF50" s="128"/>
      <c r="AG50" s="128"/>
      <c r="AH50" s="170">
        <f t="shared" si="1"/>
        <v>0</v>
      </c>
      <c r="AI50" s="128"/>
      <c r="AJ50" s="777"/>
      <c r="AK50" s="777"/>
      <c r="AL50" s="170">
        <f t="shared" si="2"/>
        <v>0</v>
      </c>
      <c r="AM50" s="774"/>
      <c r="AN50" s="774"/>
      <c r="AO50" s="774"/>
      <c r="AR50" s="692" t="s">
        <v>1791</v>
      </c>
    </row>
    <row r="51" spans="5:48" ht="14.65" hidden="1" customHeight="1">
      <c r="E51" s="502">
        <v>15</v>
      </c>
      <c r="F51" s="3" cm="1">
        <f t="array" aca="1" ref="F51" ca="1">OFFSET(E51,-1,1)</f>
        <v>0</v>
      </c>
      <c r="I51" s="38" t="s">
        <v>1784</v>
      </c>
      <c r="J51" s="277" t="s">
        <v>1792</v>
      </c>
      <c r="L51" s="38"/>
      <c r="M51" s="38"/>
      <c r="N51" s="38"/>
      <c r="O51" s="38"/>
      <c r="P51" s="38"/>
      <c r="Q51" s="38"/>
      <c r="R51" s="38"/>
      <c r="S51" s="38"/>
      <c r="T51" s="351" t="b" cm="1">
        <f t="array" ref="T51">T50</f>
        <v>0</v>
      </c>
      <c r="X51" s="1113"/>
      <c r="Z51" s="1114"/>
      <c r="AB51" s="133" t="s">
        <v>1793</v>
      </c>
      <c r="AC51" s="134" t="s">
        <v>1794</v>
      </c>
      <c r="AD51" s="9" t="s">
        <v>859</v>
      </c>
      <c r="AE51" s="128"/>
      <c r="AF51" s="128"/>
      <c r="AG51" s="128"/>
      <c r="AH51" s="170">
        <f t="shared" si="1"/>
        <v>0</v>
      </c>
      <c r="AI51" s="128"/>
      <c r="AJ51" s="777"/>
      <c r="AK51" s="777"/>
      <c r="AL51" s="170">
        <f t="shared" si="2"/>
        <v>0</v>
      </c>
      <c r="AM51" s="774"/>
      <c r="AN51" s="774"/>
      <c r="AO51" s="774"/>
      <c r="AR51" s="692" t="s">
        <v>1795</v>
      </c>
    </row>
    <row r="52" spans="5:48" ht="14.65" hidden="1" customHeight="1">
      <c r="E52" s="502">
        <v>15</v>
      </c>
      <c r="F52" s="3" cm="1">
        <f t="array" aca="1" ref="F52" ca="1">OFFSET(E52,-1,1)</f>
        <v>0</v>
      </c>
      <c r="I52" s="38" t="s">
        <v>1784</v>
      </c>
      <c r="J52" s="277" t="s">
        <v>1796</v>
      </c>
      <c r="L52" s="38"/>
      <c r="M52" s="38"/>
      <c r="N52" s="38"/>
      <c r="O52" s="38"/>
      <c r="P52" s="38"/>
      <c r="Q52" s="38"/>
      <c r="R52" s="38"/>
      <c r="S52" s="38"/>
      <c r="T52" s="351" t="b" cm="1">
        <f t="array" ref="T52">T51</f>
        <v>0</v>
      </c>
      <c r="X52" s="1113"/>
      <c r="Z52" s="1114"/>
      <c r="AB52" s="133" t="s">
        <v>1797</v>
      </c>
      <c r="AC52" s="134" t="s">
        <v>1798</v>
      </c>
      <c r="AD52" s="9" t="s">
        <v>859</v>
      </c>
      <c r="AE52" s="128"/>
      <c r="AF52" s="128"/>
      <c r="AG52" s="128"/>
      <c r="AH52" s="170">
        <f t="shared" si="1"/>
        <v>0</v>
      </c>
      <c r="AI52" s="128"/>
      <c r="AJ52" s="777"/>
      <c r="AK52" s="777"/>
      <c r="AL52" s="170">
        <f t="shared" si="2"/>
        <v>0</v>
      </c>
      <c r="AM52" s="774"/>
      <c r="AN52" s="774"/>
      <c r="AO52" s="774"/>
      <c r="AR52" s="692" t="s">
        <v>1799</v>
      </c>
    </row>
    <row r="53" spans="5:48" ht="14.65" hidden="1" customHeight="1">
      <c r="E53" s="502">
        <v>15</v>
      </c>
      <c r="F53" s="3" cm="1">
        <f t="array" aca="1" ref="F53" ca="1">OFFSET(E53,-1,1)</f>
        <v>0</v>
      </c>
      <c r="I53" s="38" t="s">
        <v>1784</v>
      </c>
      <c r="J53" s="277" t="s">
        <v>1800</v>
      </c>
      <c r="L53" s="38"/>
      <c r="M53" s="38"/>
      <c r="N53" s="38"/>
      <c r="O53" s="38"/>
      <c r="P53" s="38"/>
      <c r="Q53" s="38"/>
      <c r="R53" s="38"/>
      <c r="S53" s="38"/>
      <c r="T53" s="351" t="b" cm="1">
        <f t="array" ref="T53">T52</f>
        <v>0</v>
      </c>
      <c r="X53" s="1113"/>
      <c r="Z53" s="1114"/>
      <c r="AB53" s="133" t="s">
        <v>1801</v>
      </c>
      <c r="AC53" s="134" t="s">
        <v>1802</v>
      </c>
      <c r="AD53" s="9" t="s">
        <v>859</v>
      </c>
      <c r="AE53" s="128"/>
      <c r="AF53" s="128"/>
      <c r="AG53" s="128"/>
      <c r="AH53" s="170">
        <f t="shared" si="1"/>
        <v>0</v>
      </c>
      <c r="AI53" s="128"/>
      <c r="AJ53" s="777"/>
      <c r="AK53" s="777"/>
      <c r="AL53" s="170">
        <f t="shared" si="2"/>
        <v>0</v>
      </c>
      <c r="AM53" s="774"/>
      <c r="AN53" s="774"/>
      <c r="AO53" s="774"/>
      <c r="AR53" s="692" t="s">
        <v>1803</v>
      </c>
    </row>
    <row r="54" spans="5:48" ht="14.65" hidden="1" customHeight="1">
      <c r="E54" s="502">
        <v>15</v>
      </c>
      <c r="F54" s="3" cm="1">
        <f t="array" aca="1" ref="F54" ca="1">OFFSET(E54,-1,1)</f>
        <v>0</v>
      </c>
      <c r="I54" s="38" t="s">
        <v>1784</v>
      </c>
      <c r="J54" s="277" cm="1">
        <f t="array" ref="J54">AC54</f>
        <v>0</v>
      </c>
      <c r="L54" s="38"/>
      <c r="M54" s="38"/>
      <c r="N54" s="38"/>
      <c r="O54" s="38"/>
      <c r="P54" s="38"/>
      <c r="Q54" s="38"/>
      <c r="R54" s="38"/>
      <c r="S54" s="38"/>
      <c r="T54" s="351" t="b">
        <f ca="1">AND(F54&gt;0,Y54&gt;4)</f>
        <v>0</v>
      </c>
      <c r="W54" s="515" t="s">
        <v>171</v>
      </c>
      <c r="X54" s="1113"/>
      <c r="Y54" s="277">
        <v>4</v>
      </c>
      <c r="Z54" s="1114"/>
      <c r="AA54" s="480" t="s">
        <v>172</v>
      </c>
      <c r="AB54" s="498" t="str">
        <f>"1.7."&amp;Y54</f>
        <v>1.7.4</v>
      </c>
      <c r="AC54" s="779"/>
      <c r="AD54" s="9" t="s">
        <v>859</v>
      </c>
      <c r="AE54" s="128"/>
      <c r="AF54" s="128"/>
      <c r="AG54" s="128"/>
      <c r="AH54" s="170">
        <f t="shared" si="1"/>
        <v>0</v>
      </c>
      <c r="AI54" s="128"/>
      <c r="AJ54" s="777"/>
      <c r="AK54" s="777"/>
      <c r="AL54" s="170">
        <f t="shared" si="2"/>
        <v>0</v>
      </c>
      <c r="AM54" s="774"/>
      <c r="AN54" s="774"/>
      <c r="AO54" s="774"/>
      <c r="AR54" s="692" t="s">
        <v>1804</v>
      </c>
      <c r="AS54" s="692" t="s">
        <v>1805</v>
      </c>
      <c r="AT54" s="692" cm="1">
        <f t="array" ref="AT54">AC54</f>
        <v>0</v>
      </c>
      <c r="AV54" s="502" t="b">
        <v>1</v>
      </c>
    </row>
    <row r="55" spans="5:48" ht="14.65" hidden="1" customHeight="1">
      <c r="E55" s="502">
        <v>15</v>
      </c>
      <c r="F55" s="3" cm="1">
        <f t="array" aca="1" ref="F55" ca="1">OFFSET(E55,-1,1)</f>
        <v>0</v>
      </c>
      <c r="I55" s="17"/>
      <c r="J55" s="17" t="s">
        <v>1806</v>
      </c>
      <c r="K55" s="17"/>
      <c r="L55" s="17"/>
      <c r="M55" s="17"/>
      <c r="N55" s="17"/>
      <c r="O55" s="17"/>
      <c r="P55" s="17"/>
      <c r="Q55" s="17"/>
      <c r="R55" s="17"/>
      <c r="S55" s="17"/>
      <c r="T55" s="351" t="b">
        <f ca="1">F55&gt;0</f>
        <v>0</v>
      </c>
      <c r="W55" s="504" t="s">
        <v>388</v>
      </c>
      <c r="X55" s="1113"/>
      <c r="Z55" s="1114"/>
      <c r="AB55" s="544"/>
      <c r="AC55" s="171" t="s">
        <v>175</v>
      </c>
      <c r="AD55" s="545"/>
      <c r="AE55" s="545"/>
      <c r="AF55" s="545"/>
      <c r="AG55" s="545"/>
      <c r="AH55" s="545"/>
      <c r="AI55" s="545"/>
      <c r="AJ55" s="545"/>
      <c r="AK55" s="545"/>
      <c r="AL55" s="545"/>
      <c r="AM55" s="545"/>
      <c r="AN55" s="545"/>
      <c r="AO55" s="546"/>
      <c r="AU55" s="502" t="s">
        <v>1805</v>
      </c>
    </row>
    <row r="56" spans="5:48" s="421" customFormat="1" ht="14.65" hidden="1" customHeight="1">
      <c r="E56" s="503">
        <v>15</v>
      </c>
      <c r="F56" s="3" cm="1">
        <f t="array" aca="1" ref="F56" ca="1">OFFSET(E56,-1,1)</f>
        <v>0</v>
      </c>
      <c r="I56" s="154" t="s">
        <v>322</v>
      </c>
      <c r="J56" s="154"/>
      <c r="K56" s="154"/>
      <c r="L56" s="154"/>
      <c r="M56" s="154"/>
      <c r="N56" s="154"/>
      <c r="O56" s="154"/>
      <c r="P56" s="154"/>
      <c r="Q56" s="154"/>
      <c r="R56" s="154"/>
      <c r="S56" s="154"/>
      <c r="T56" s="351" t="b" cm="1">
        <f t="array" aca="1" ref="T56" ca="1">T55</f>
        <v>0</v>
      </c>
      <c r="X56" s="1113"/>
      <c r="Z56" s="1114"/>
      <c r="AB56" s="131" t="s">
        <v>435</v>
      </c>
      <c r="AC56" s="132" t="s">
        <v>1807</v>
      </c>
      <c r="AD56" s="124" t="s">
        <v>859</v>
      </c>
      <c r="AE56" s="126">
        <f ca="1">AE57+AE58</f>
        <v>0</v>
      </c>
      <c r="AF56" s="126">
        <f ca="1">AF57+AF58</f>
        <v>0</v>
      </c>
      <c r="AG56" s="126">
        <f ca="1">AG57+AG58</f>
        <v>0</v>
      </c>
      <c r="AH56" s="126">
        <f t="shared" ref="AH56:AH81" ca="1" si="3">AG56-AF56</f>
        <v>0</v>
      </c>
      <c r="AI56" s="126">
        <f ca="1">AI57+AI58</f>
        <v>0</v>
      </c>
      <c r="AJ56" s="126">
        <f ca="1">AJ57+AJ58</f>
        <v>0</v>
      </c>
      <c r="AK56" s="126">
        <f ca="1">AK57+AK58</f>
        <v>0</v>
      </c>
      <c r="AL56" s="126">
        <f t="shared" ref="AL56:AL95" ca="1" si="4">IF(AI56=0,0,(AK56-AI56)/AI56*100)</f>
        <v>0</v>
      </c>
      <c r="AM56" s="776"/>
      <c r="AN56" s="776"/>
      <c r="AO56" s="776"/>
      <c r="AR56" s="693" t="s">
        <v>1808</v>
      </c>
      <c r="AS56" s="693"/>
      <c r="AT56" s="693"/>
      <c r="AU56" s="503"/>
      <c r="AV56" s="503"/>
    </row>
    <row r="57" spans="5:48" ht="32.85" hidden="1" customHeight="1">
      <c r="E57" s="502">
        <v>33.75</v>
      </c>
      <c r="F57" s="3" cm="1">
        <f t="array" aca="1" ref="F57" ca="1">OFFSET(E57,-1,1)</f>
        <v>0</v>
      </c>
      <c r="I57" s="38" t="s">
        <v>525</v>
      </c>
      <c r="J57" s="38"/>
      <c r="K57" s="38"/>
      <c r="L57" s="38"/>
      <c r="M57" s="38"/>
      <c r="N57" s="38"/>
      <c r="O57" s="38"/>
      <c r="P57" s="38"/>
      <c r="Q57" s="38"/>
      <c r="R57" s="38"/>
      <c r="S57" s="38"/>
      <c r="T57" s="351" t="b" cm="1">
        <f t="array" aca="1" ref="T57" ca="1">T56</f>
        <v>0</v>
      </c>
      <c r="X57" s="1113"/>
      <c r="Z57" s="1114"/>
      <c r="AB57" s="133" t="s">
        <v>588</v>
      </c>
      <c r="AC57" s="127" t="s">
        <v>1809</v>
      </c>
      <c r="AD57" s="7" t="s">
        <v>859</v>
      </c>
      <c r="AE57" s="128"/>
      <c r="AF57" s="128"/>
      <c r="AG57" s="128"/>
      <c r="AH57" s="170">
        <f t="shared" si="3"/>
        <v>0</v>
      </c>
      <c r="AI57" s="128"/>
      <c r="AJ57" s="777"/>
      <c r="AK57" s="777"/>
      <c r="AL57" s="170">
        <f t="shared" si="4"/>
        <v>0</v>
      </c>
      <c r="AM57" s="774"/>
      <c r="AN57" s="774"/>
      <c r="AO57" s="774"/>
      <c r="AR57" s="692" t="s">
        <v>1810</v>
      </c>
    </row>
    <row r="58" spans="5:48" ht="35.1" hidden="1" customHeight="1">
      <c r="E58" s="502">
        <v>36</v>
      </c>
      <c r="F58" s="3" cm="1">
        <f t="array" aca="1" ref="F58" ca="1">OFFSET(E58,-1,1)</f>
        <v>0</v>
      </c>
      <c r="I58" s="38" t="s">
        <v>528</v>
      </c>
      <c r="J58" s="38"/>
      <c r="K58" s="38"/>
      <c r="L58" s="38"/>
      <c r="M58" s="38"/>
      <c r="N58" s="38"/>
      <c r="O58" s="38"/>
      <c r="P58" s="38"/>
      <c r="Q58" s="38"/>
      <c r="R58" s="38"/>
      <c r="S58" s="38"/>
      <c r="T58" s="351" t="b" cm="1">
        <f t="array" aca="1" ref="T58" ca="1">T57</f>
        <v>0</v>
      </c>
      <c r="X58" s="1113"/>
      <c r="Z58" s="1114"/>
      <c r="AB58" s="133" t="s">
        <v>592</v>
      </c>
      <c r="AC58" s="127" t="s">
        <v>1811</v>
      </c>
      <c r="AD58" s="7" t="s">
        <v>859</v>
      </c>
      <c r="AE58" s="170">
        <f ca="1">AE59+AE60</f>
        <v>0</v>
      </c>
      <c r="AF58" s="170">
        <f ca="1">AF59+AF60</f>
        <v>0</v>
      </c>
      <c r="AG58" s="170">
        <f ca="1">AG59+AG60</f>
        <v>0</v>
      </c>
      <c r="AH58" s="170">
        <f t="shared" ca="1" si="3"/>
        <v>0</v>
      </c>
      <c r="AI58" s="170">
        <f ca="1">AI59+AI60</f>
        <v>0</v>
      </c>
      <c r="AJ58" s="170">
        <f ca="1">AJ59+AJ60</f>
        <v>0</v>
      </c>
      <c r="AK58" s="170">
        <f ca="1">AK59+AK60</f>
        <v>0</v>
      </c>
      <c r="AL58" s="170">
        <f t="shared" ca="1" si="4"/>
        <v>0</v>
      </c>
      <c r="AM58" s="774"/>
      <c r="AN58" s="774"/>
      <c r="AO58" s="774"/>
      <c r="AR58" s="692" t="s">
        <v>1812</v>
      </c>
    </row>
    <row r="59" spans="5:48" ht="14.65" hidden="1" customHeight="1">
      <c r="E59" s="502">
        <v>15</v>
      </c>
      <c r="F59" s="3" cm="1">
        <f t="array" aca="1" ref="F59" ca="1">OFFSET(E59,-1,1)</f>
        <v>0</v>
      </c>
      <c r="G59" s="277" t="s">
        <v>1150</v>
      </c>
      <c r="I59" s="38" t="s">
        <v>1813</v>
      </c>
      <c r="J59" s="38"/>
      <c r="K59" s="38"/>
      <c r="L59" s="38"/>
      <c r="M59" s="38"/>
      <c r="N59" s="38"/>
      <c r="O59" s="38"/>
      <c r="P59" s="38"/>
      <c r="Q59" s="38"/>
      <c r="R59" s="38"/>
      <c r="S59" s="38"/>
      <c r="T59" s="351" t="b" cm="1">
        <f t="array" aca="1" ref="T59" ca="1">T58</f>
        <v>0</v>
      </c>
      <c r="X59" s="1113"/>
      <c r="Z59" s="1114"/>
      <c r="AB59" s="133" t="s">
        <v>539</v>
      </c>
      <c r="AC59" s="134" t="s">
        <v>1814</v>
      </c>
      <c r="AD59" s="7" t="s">
        <v>859</v>
      </c>
      <c r="AE59" s="170">
        <f ca="1">SUMIFS(ФОТ!AE$25:AE$89,ФОТ!$F$25:$F$89,$F59,ФОТ!$G$25:$G$89,$G59)</f>
        <v>0</v>
      </c>
      <c r="AF59" s="170">
        <f ca="1">SUMIFS(ФОТ!AF$25:AF$89,ФОТ!$F$25:$F$89,$F59,ФОТ!$G$25:$G$89,$G59)</f>
        <v>0</v>
      </c>
      <c r="AG59" s="170">
        <f ca="1">SUMIFS(ФОТ!AG$25:AG$89,ФОТ!$F$25:$F$89,$F59,ФОТ!$G$25:$G$89,$G59)</f>
        <v>0</v>
      </c>
      <c r="AH59" s="170">
        <f t="shared" ca="1" si="3"/>
        <v>0</v>
      </c>
      <c r="AI59" s="170">
        <f ca="1">SUMIFS(ФОТ!AH$25:AH$89,ФОТ!$F$25:$F$89,$F59,ФОТ!$G$25:$G$89,$G59)</f>
        <v>0</v>
      </c>
      <c r="AJ59" s="170">
        <f ca="1">SUMIFS(ФОТ!AI$25:AI$89,ФОТ!$F$25:$F$89,$F59,ФОТ!$G$25:$G$89,$G59)</f>
        <v>0</v>
      </c>
      <c r="AK59" s="170">
        <f ca="1">SUMIFS(ФОТ!AJ$25:AJ$89,ФОТ!$F$25:$F$89,$F59,ФОТ!$G$25:$G$89,$G59)</f>
        <v>0</v>
      </c>
      <c r="AL59" s="170">
        <f t="shared" ca="1" si="4"/>
        <v>0</v>
      </c>
      <c r="AM59" s="774"/>
      <c r="AN59" s="778" t="str">
        <f ca="1">IF(IFERROR(INDEX(ФОТ!$K$26:$L$89,MATCH($F59&amp;"3komm",ФОТ!$K$26:$K$89,0),2),"")=0,"",IFERROR(INDEX(ФОТ!$K$26:$L$89,MATCH($F59&amp;"3komm",ФОТ!$K$26:$K$89,0),2),""))</f>
        <v/>
      </c>
      <c r="AO59" s="774"/>
      <c r="AR59" s="692" t="s">
        <v>1815</v>
      </c>
    </row>
    <row r="60" spans="5:48" ht="21.95" hidden="1" customHeight="1">
      <c r="E60" s="502">
        <v>22.5</v>
      </c>
      <c r="F60" s="3" cm="1">
        <f t="array" aca="1" ref="F60" ca="1">OFFSET(E60,-1,1)</f>
        <v>0</v>
      </c>
      <c r="G60" s="277" t="s">
        <v>1155</v>
      </c>
      <c r="I60" s="38" t="s">
        <v>1816</v>
      </c>
      <c r="J60" s="38"/>
      <c r="K60" s="38"/>
      <c r="L60" s="38"/>
      <c r="M60" s="38"/>
      <c r="N60" s="38"/>
      <c r="O60" s="38"/>
      <c r="P60" s="38"/>
      <c r="Q60" s="38"/>
      <c r="R60" s="38"/>
      <c r="S60" s="38"/>
      <c r="T60" s="351" t="b" cm="1">
        <f t="array" aca="1" ref="T60" ca="1">T59</f>
        <v>0</v>
      </c>
      <c r="X60" s="1113"/>
      <c r="Z60" s="1114"/>
      <c r="AB60" s="133" t="s">
        <v>1480</v>
      </c>
      <c r="AC60" s="134" t="s">
        <v>1817</v>
      </c>
      <c r="AD60" s="7" t="s">
        <v>859</v>
      </c>
      <c r="AE60" s="170">
        <f ca="1">SUMIFS(ФОТ!AE$25:AE$89,ФОТ!$F$25:$F$89,$F60,ФОТ!$G$25:$G$89,$G60)</f>
        <v>0</v>
      </c>
      <c r="AF60" s="170">
        <f ca="1">SUMIFS(ФОТ!AF$25:AF$89,ФОТ!$F$25:$F$89,$F60,ФОТ!$G$25:$G$89,$G60)</f>
        <v>0</v>
      </c>
      <c r="AG60" s="170">
        <f ca="1">SUMIFS(ФОТ!AG$25:AG$89,ФОТ!$F$25:$F$89,$F60,ФОТ!$G$25:$G$89,$G60)</f>
        <v>0</v>
      </c>
      <c r="AH60" s="170">
        <f t="shared" ca="1" si="3"/>
        <v>0</v>
      </c>
      <c r="AI60" s="170">
        <f ca="1">SUMIFS(ФОТ!AH$25:AH$89,ФОТ!$F$25:$F$89,$F60,ФОТ!$G$25:$G$89,$G60)</f>
        <v>0</v>
      </c>
      <c r="AJ60" s="170">
        <f ca="1">SUMIFS(ФОТ!AI$25:AI$89,ФОТ!$F$25:$F$89,$F60,ФОТ!$G$25:$G$89,$G60)</f>
        <v>0</v>
      </c>
      <c r="AK60" s="170">
        <f ca="1">SUMIFS(ФОТ!AJ$25:AJ$89,ФОТ!$F$25:$F$89,$F60,ФОТ!$G$25:$G$89,$G60)</f>
        <v>0</v>
      </c>
      <c r="AL60" s="170">
        <f t="shared" ca="1" si="4"/>
        <v>0</v>
      </c>
      <c r="AM60" s="774"/>
      <c r="AN60" s="778" t="str">
        <f ca="1">IF(IFERROR(INDEX(ФОТ!$K$26:$L$89,MATCH($F60&amp;"4komm",ФОТ!$K$26:$K$89,0),2),"")=0,"",IFERROR(INDEX(ФОТ!$K$26:$L$89,MATCH($F60&amp;"4komm",ФОТ!$K$26:$K$89,0),2),""))</f>
        <v/>
      </c>
      <c r="AO60" s="774"/>
      <c r="AR60" s="692" t="s">
        <v>1818</v>
      </c>
    </row>
    <row r="61" spans="5:48" s="421" customFormat="1" ht="14.65" hidden="1" customHeight="1">
      <c r="E61" s="503">
        <v>15</v>
      </c>
      <c r="F61" s="3" cm="1">
        <f t="array" aca="1" ref="F61" ca="1">OFFSET(E61,-1,1)</f>
        <v>0</v>
      </c>
      <c r="I61" s="154" t="s">
        <v>323</v>
      </c>
      <c r="J61" s="154"/>
      <c r="K61" s="154"/>
      <c r="L61" s="154"/>
      <c r="M61" s="154"/>
      <c r="N61" s="154"/>
      <c r="O61" s="154"/>
      <c r="P61" s="154"/>
      <c r="Q61" s="154"/>
      <c r="R61" s="154"/>
      <c r="S61" s="154"/>
      <c r="T61" s="351" t="b" cm="1">
        <f t="array" aca="1" ref="T61" ca="1">T60</f>
        <v>0</v>
      </c>
      <c r="X61" s="1113"/>
      <c r="Z61" s="1114"/>
      <c r="AB61" s="131" t="s">
        <v>319</v>
      </c>
      <c r="AC61" s="132" t="s">
        <v>1819</v>
      </c>
      <c r="AD61" s="124" t="s">
        <v>859</v>
      </c>
      <c r="AE61" s="126">
        <f ca="1">AE62+AE63+AE66+AE67+AE68+AE69+AE70</f>
        <v>0</v>
      </c>
      <c r="AF61" s="126">
        <f ca="1">AF62+AF63+AF66+AF67+AF68+AF69+AF70</f>
        <v>0</v>
      </c>
      <c r="AG61" s="126">
        <f ca="1">AG62+AG63+AG66+AG67+AG68+AG69+AG70</f>
        <v>0</v>
      </c>
      <c r="AH61" s="126">
        <f t="shared" ca="1" si="3"/>
        <v>0</v>
      </c>
      <c r="AI61" s="126">
        <f ca="1">AI62+AI63+AI66+AI67+AI68+AI69+AI70</f>
        <v>0</v>
      </c>
      <c r="AJ61" s="126">
        <f ca="1">AJ62+AJ63+AJ66+AJ67+AJ68+AJ69+AJ70</f>
        <v>0</v>
      </c>
      <c r="AK61" s="126">
        <f ca="1">AK62+AK63+AK66+AK67+AK68+AK69+AK70</f>
        <v>0</v>
      </c>
      <c r="AL61" s="126">
        <f t="shared" ca="1" si="4"/>
        <v>0</v>
      </c>
      <c r="AM61" s="776"/>
      <c r="AN61" s="776"/>
      <c r="AO61" s="776"/>
      <c r="AR61" s="693" t="s">
        <v>1820</v>
      </c>
      <c r="AS61" s="693"/>
      <c r="AT61" s="693"/>
      <c r="AU61" s="503"/>
      <c r="AV61" s="503"/>
    </row>
    <row r="62" spans="5:48" ht="21.95" hidden="1" customHeight="1">
      <c r="E62" s="502">
        <v>22.5</v>
      </c>
      <c r="F62" s="3" cm="1">
        <f t="array" aca="1" ref="F62" ca="1">OFFSET(E62,-1,1)</f>
        <v>0</v>
      </c>
      <c r="G62" s="277" t="s">
        <v>1198</v>
      </c>
      <c r="I62" s="38" t="s">
        <v>966</v>
      </c>
      <c r="J62" s="38"/>
      <c r="K62" s="38"/>
      <c r="L62" s="38"/>
      <c r="M62" s="38"/>
      <c r="N62" s="38"/>
      <c r="O62" s="38"/>
      <c r="P62" s="38"/>
      <c r="Q62" s="38"/>
      <c r="R62" s="38"/>
      <c r="S62" s="38"/>
      <c r="T62" s="351" t="b" cm="1">
        <f t="array" aca="1" ref="T62" ca="1">T61</f>
        <v>0</v>
      </c>
      <c r="X62" s="1113"/>
      <c r="Z62" s="1114"/>
      <c r="AB62" s="133" t="s">
        <v>602</v>
      </c>
      <c r="AC62" s="127" t="s">
        <v>1821</v>
      </c>
      <c r="AD62" s="7" t="s">
        <v>859</v>
      </c>
      <c r="AE62" s="170">
        <f ca="1">SUMIFS(Административные!AE$25:AE$65,Административные!$F$25:$F$65,$F62,Административные!$G$25:$G$65,$G62)</f>
        <v>0</v>
      </c>
      <c r="AF62" s="170">
        <f ca="1">SUMIFS(Административные!AF$25:AF$65,Административные!$F$25:$F$65,$F62,Административные!$G$25:$G$65,$G62)</f>
        <v>0</v>
      </c>
      <c r="AG62" s="170">
        <f ca="1">SUMIFS(Административные!AG$25:AG$65,Административные!$F$25:$F$65,$F62,Административные!$G$25:$G$65,$G62)</f>
        <v>0</v>
      </c>
      <c r="AH62" s="170">
        <f t="shared" ca="1" si="3"/>
        <v>0</v>
      </c>
      <c r="AI62" s="170">
        <f ca="1">SUMIFS(Административные!AH$25:AH$65,Административные!$F$25:$F$65,$F62,Административные!$G$25:$G$65,$G62)</f>
        <v>0</v>
      </c>
      <c r="AJ62" s="170">
        <f ca="1">SUMIFS(Административные!AI$25:AI$65,Административные!$F$25:$F$65,$F62,Административные!$G$25:$G$65,$G62)</f>
        <v>0</v>
      </c>
      <c r="AK62" s="170">
        <f ca="1">SUMIFS(Административные!AJ$25:AJ$65,Административные!$F$25:$F$65,$F62,Административные!$G$25:$G$65,$G62)</f>
        <v>0</v>
      </c>
      <c r="AL62" s="170">
        <f t="shared" ca="1" si="4"/>
        <v>0</v>
      </c>
      <c r="AM62" s="774"/>
      <c r="AN62" s="778" t="str">
        <f ca="1">IF(IFERROR(INDEX(Административные!$K$26:$L$65,MATCH($F62&amp;"17komm",Административные!$K$26:$K$65,0),2),"")=0,"",IFERROR(INDEX(Административные!$K$26:$L$65,MATCH($F62&amp;"17komm",Административные!$K$26:$K$65,0),2),""))</f>
        <v/>
      </c>
      <c r="AO62" s="774"/>
      <c r="AR62" s="692" t="s">
        <v>1200</v>
      </c>
    </row>
    <row r="63" spans="5:48" ht="32.85" hidden="1" customHeight="1">
      <c r="E63" s="502">
        <v>33.75</v>
      </c>
      <c r="F63" s="3" cm="1">
        <f t="array" aca="1" ref="F63" ca="1">OFFSET(E63,-1,1)</f>
        <v>0</v>
      </c>
      <c r="I63" s="38" t="s">
        <v>968</v>
      </c>
      <c r="J63" s="38"/>
      <c r="K63" s="38"/>
      <c r="L63" s="38"/>
      <c r="M63" s="38"/>
      <c r="N63" s="38"/>
      <c r="O63" s="38"/>
      <c r="P63" s="38"/>
      <c r="Q63" s="38"/>
      <c r="R63" s="38"/>
      <c r="S63" s="38"/>
      <c r="T63" s="351" t="b" cm="1">
        <f t="array" aca="1" ref="T63" ca="1">T62</f>
        <v>0</v>
      </c>
      <c r="X63" s="1113"/>
      <c r="Z63" s="1114"/>
      <c r="AB63" s="133" t="s">
        <v>606</v>
      </c>
      <c r="AC63" s="127" t="s">
        <v>1822</v>
      </c>
      <c r="AD63" s="7" t="s">
        <v>859</v>
      </c>
      <c r="AE63" s="170">
        <f ca="1">AE64+AE65</f>
        <v>0</v>
      </c>
      <c r="AF63" s="170">
        <f ca="1">AF64+AF65</f>
        <v>0</v>
      </c>
      <c r="AG63" s="170">
        <f ca="1">AG64+AG65</f>
        <v>0</v>
      </c>
      <c r="AH63" s="170">
        <f t="shared" ca="1" si="3"/>
        <v>0</v>
      </c>
      <c r="AI63" s="170">
        <f ca="1">AI64+AI65</f>
        <v>0</v>
      </c>
      <c r="AJ63" s="170">
        <f ca="1">AJ64+AJ65</f>
        <v>0</v>
      </c>
      <c r="AK63" s="170">
        <f ca="1">AK64+AK65</f>
        <v>0</v>
      </c>
      <c r="AL63" s="170">
        <f t="shared" ca="1" si="4"/>
        <v>0</v>
      </c>
      <c r="AM63" s="774"/>
      <c r="AN63" s="774"/>
      <c r="AO63" s="774"/>
      <c r="AR63" s="692" t="s">
        <v>1823</v>
      </c>
    </row>
    <row r="64" spans="5:48" ht="21.95" hidden="1" customHeight="1">
      <c r="E64" s="502">
        <v>22.5</v>
      </c>
      <c r="F64" s="3" cm="1">
        <f t="array" aca="1" ref="F64" ca="1">OFFSET(E64,-1,1)</f>
        <v>0</v>
      </c>
      <c r="G64" s="374" t="s">
        <v>1158</v>
      </c>
      <c r="I64" s="38" t="s">
        <v>543</v>
      </c>
      <c r="J64" s="38"/>
      <c r="K64" s="38"/>
      <c r="L64" s="38"/>
      <c r="M64" s="38"/>
      <c r="N64" s="38"/>
      <c r="O64" s="38"/>
      <c r="P64" s="38"/>
      <c r="Q64" s="38"/>
      <c r="R64" s="38"/>
      <c r="S64" s="38"/>
      <c r="T64" s="351" t="b" cm="1">
        <f t="array" aca="1" ref="T64" ca="1">T63</f>
        <v>0</v>
      </c>
      <c r="X64" s="1113"/>
      <c r="Z64" s="1114"/>
      <c r="AB64" s="133" t="s">
        <v>812</v>
      </c>
      <c r="AC64" s="134" t="s">
        <v>1824</v>
      </c>
      <c r="AD64" s="7" t="s">
        <v>859</v>
      </c>
      <c r="AE64" s="170">
        <f ca="1">SUMIFS(ФОТ!AE$25:AE$89,ФОТ!$F$25:$F$89,$F64,ФОТ!$G$25:$G$89,$G64)</f>
        <v>0</v>
      </c>
      <c r="AF64" s="170">
        <f ca="1">SUMIFS(ФОТ!AF$25:AF$89,ФОТ!$F$25:$F$89,$F64,ФОТ!$G$25:$G$89,$G64)</f>
        <v>0</v>
      </c>
      <c r="AG64" s="170">
        <f ca="1">SUMIFS(ФОТ!AG$25:AG$89,ФОТ!$F$25:$F$89,$F64,ФОТ!$G$25:$G$89,$G64)</f>
        <v>0</v>
      </c>
      <c r="AH64" s="170">
        <f t="shared" ca="1" si="3"/>
        <v>0</v>
      </c>
      <c r="AI64" s="170">
        <f ca="1">SUMIFS(ФОТ!AH$25:AH$89,ФОТ!$F$25:$F$89,$F64,ФОТ!$G$25:$G$89,$G64)</f>
        <v>0</v>
      </c>
      <c r="AJ64" s="170">
        <f ca="1">SUMIFS(ФОТ!AI$25:AI$89,ФОТ!$F$25:$F$89,$F64,ФОТ!$G$25:$G$89,$G64)</f>
        <v>0</v>
      </c>
      <c r="AK64" s="170">
        <f ca="1">SUMIFS(ФОТ!AJ$25:AJ$89,ФОТ!$F$25:$F$89,$F64,ФОТ!$G$25:$G$89,$G64)</f>
        <v>0</v>
      </c>
      <c r="AL64" s="170">
        <f t="shared" ca="1" si="4"/>
        <v>0</v>
      </c>
      <c r="AM64" s="774"/>
      <c r="AN64" s="778" t="str">
        <f ca="1">IF(IFERROR(INDEX(ФОТ!$K$26:$L$89,MATCH($F64&amp;"5komm",ФОТ!$K$26:$K$89,0),2),"")=0,"",IFERROR(INDEX(ФОТ!$K$26:$L$89,MATCH($F64&amp;"5komm",ФОТ!$K$26:$K$89,0),2),""))</f>
        <v/>
      </c>
      <c r="AO64" s="774"/>
      <c r="AR64" s="692" t="s">
        <v>1197</v>
      </c>
    </row>
    <row r="65" spans="2:48" ht="32.85" hidden="1" customHeight="1">
      <c r="E65" s="502">
        <v>33.75</v>
      </c>
      <c r="F65" s="3" cm="1">
        <f t="array" aca="1" ref="F65" ca="1">OFFSET(E65,-1,1)</f>
        <v>0</v>
      </c>
      <c r="G65" s="374" t="s">
        <v>1163</v>
      </c>
      <c r="I65" s="38" t="s">
        <v>548</v>
      </c>
      <c r="J65" s="38"/>
      <c r="K65" s="38"/>
      <c r="L65" s="38"/>
      <c r="M65" s="38"/>
      <c r="N65" s="38"/>
      <c r="O65" s="38"/>
      <c r="P65" s="38"/>
      <c r="Q65" s="38"/>
      <c r="R65" s="38"/>
      <c r="S65" s="38"/>
      <c r="T65" s="351" t="b" cm="1">
        <f t="array" aca="1" ref="T65" ca="1">T64</f>
        <v>0</v>
      </c>
      <c r="X65" s="1113"/>
      <c r="Z65" s="1114"/>
      <c r="AB65" s="133" t="s">
        <v>815</v>
      </c>
      <c r="AC65" s="134" t="s">
        <v>1825</v>
      </c>
      <c r="AD65" s="7" t="s">
        <v>859</v>
      </c>
      <c r="AE65" s="170">
        <f ca="1">SUMIFS(ФОТ!AE$25:AE$89,ФОТ!$F$25:$F$89,$F65,ФОТ!$G$25:$G$89,$G65)</f>
        <v>0</v>
      </c>
      <c r="AF65" s="170">
        <f ca="1">SUMIFS(ФОТ!AF$25:AF$89,ФОТ!$F$25:$F$89,$F65,ФОТ!$G$25:$G$89,$G65)</f>
        <v>0</v>
      </c>
      <c r="AG65" s="170">
        <f ca="1">SUMIFS(ФОТ!AG$25:AG$89,ФОТ!$F$25:$F$89,$F65,ФОТ!$G$25:$G$89,$G65)</f>
        <v>0</v>
      </c>
      <c r="AH65" s="170">
        <f t="shared" ca="1" si="3"/>
        <v>0</v>
      </c>
      <c r="AI65" s="170">
        <f ca="1">SUMIFS(ФОТ!AH$25:AH$89,ФОТ!$F$25:$F$89,$F65,ФОТ!$G$25:$G$89,$G65)</f>
        <v>0</v>
      </c>
      <c r="AJ65" s="170">
        <f ca="1">SUMIFS(ФОТ!AI$25:AI$89,ФОТ!$F$25:$F$89,$F65,ФОТ!$G$25:$G$89,$G65)</f>
        <v>0</v>
      </c>
      <c r="AK65" s="170">
        <f ca="1">SUMIFS(ФОТ!AJ$25:AJ$89,ФОТ!$F$25:$F$89,$F65,ФОТ!$G$25:$G$89,$G65)</f>
        <v>0</v>
      </c>
      <c r="AL65" s="170">
        <f t="shared" ca="1" si="4"/>
        <v>0</v>
      </c>
      <c r="AM65" s="774"/>
      <c r="AN65" s="778" t="str">
        <f ca="1">IF(IFERROR(INDEX(ФОТ!$K$26:$L$89,MATCH($F65&amp;"6komm",ФОТ!$K$26:$K$89,0),2),"")=0,"",IFERROR(INDEX(ФОТ!$K$26:$L$89,MATCH($F65&amp;"6komm",ФОТ!$K$26:$K$89,0),2),""))</f>
        <v/>
      </c>
      <c r="AO65" s="774"/>
      <c r="AR65" s="692" t="s">
        <v>1826</v>
      </c>
    </row>
    <row r="66" spans="2:48" ht="32.85" hidden="1" customHeight="1">
      <c r="E66" s="502">
        <v>33.75</v>
      </c>
      <c r="F66" s="3" cm="1">
        <f t="array" aca="1" ref="F66" ca="1">OFFSET(E66,-1,1)</f>
        <v>0</v>
      </c>
      <c r="G66" s="277" t="s">
        <v>1226</v>
      </c>
      <c r="I66" s="38" t="s">
        <v>970</v>
      </c>
      <c r="J66" s="38"/>
      <c r="K66" s="38"/>
      <c r="L66" s="38"/>
      <c r="M66" s="38"/>
      <c r="N66" s="38"/>
      <c r="O66" s="38"/>
      <c r="P66" s="38"/>
      <c r="Q66" s="38"/>
      <c r="R66" s="38"/>
      <c r="S66" s="38"/>
      <c r="T66" s="351" t="b" cm="1">
        <f t="array" aca="1" ref="T66" ca="1">T65</f>
        <v>0</v>
      </c>
      <c r="X66" s="1113"/>
      <c r="Z66" s="1114"/>
      <c r="AB66" s="133" t="s">
        <v>818</v>
      </c>
      <c r="AC66" s="127" t="s">
        <v>1827</v>
      </c>
      <c r="AD66" s="7" t="s">
        <v>859</v>
      </c>
      <c r="AE66" s="170">
        <f ca="1">SUMIFS(Административные!AE$25:AE$65,Административные!$F$25:$F$65,$F66,Административные!$G$25:$G$65,$G66)</f>
        <v>0</v>
      </c>
      <c r="AF66" s="170">
        <f ca="1">SUMIFS(Административные!AF$25:AF$65,Административные!$F$25:$F$65,$F66,Административные!$G$25:$G$65,$G66)</f>
        <v>0</v>
      </c>
      <c r="AG66" s="170">
        <f ca="1">SUMIFS(Административные!AG$25:AG$65,Административные!$F$25:$F$65,$F66,Административные!$G$25:$G$65,$G66)</f>
        <v>0</v>
      </c>
      <c r="AH66" s="170">
        <f t="shared" ca="1" si="3"/>
        <v>0</v>
      </c>
      <c r="AI66" s="170">
        <f ca="1">SUMIFS(Административные!AH$25:AH$65,Административные!$F$25:$F$65,$F66,Административные!$G$25:$G$65,$G66)</f>
        <v>0</v>
      </c>
      <c r="AJ66" s="170">
        <f ca="1">SUMIFS(Административные!AI$25:AI$65,Административные!$F$25:$F$65,$F66,Административные!$G$25:$G$65,$G66)</f>
        <v>0</v>
      </c>
      <c r="AK66" s="170">
        <f ca="1">SUMIFS(Административные!AJ$25:AJ$65,Административные!$F$25:$F$65,$F66,Административные!$G$25:$G$65,$G66)</f>
        <v>0</v>
      </c>
      <c r="AL66" s="170">
        <f t="shared" ca="1" si="4"/>
        <v>0</v>
      </c>
      <c r="AM66" s="774"/>
      <c r="AN66" s="778" t="str">
        <f ca="1">IF(IFERROR(INDEX(Административные!$K$26:$L$65,MATCH($F66&amp;"2komm",Административные!$K$26:$K$65,0),2),"")=0,"",IFERROR(INDEX(Административные!$K$26:$L$65,MATCH($F66&amp;"2komm",Административные!$K$26:$K$65,0),2),""))</f>
        <v/>
      </c>
      <c r="AO66" s="774"/>
      <c r="AR66" s="692" t="s">
        <v>1228</v>
      </c>
    </row>
    <row r="67" spans="2:48" ht="14.65" hidden="1" customHeight="1">
      <c r="E67" s="502">
        <v>15</v>
      </c>
      <c r="F67" s="3" cm="1">
        <f t="array" aca="1" ref="F67" ca="1">OFFSET(E67,-1,1)</f>
        <v>0</v>
      </c>
      <c r="G67" s="277" t="s">
        <v>1229</v>
      </c>
      <c r="I67" s="38" t="s">
        <v>972</v>
      </c>
      <c r="J67" s="38"/>
      <c r="K67" s="38"/>
      <c r="L67" s="38"/>
      <c r="M67" s="38"/>
      <c r="N67" s="38"/>
      <c r="O67" s="38"/>
      <c r="P67" s="38"/>
      <c r="Q67" s="38"/>
      <c r="R67" s="38"/>
      <c r="S67" s="38"/>
      <c r="T67" s="351" t="b" cm="1">
        <f t="array" aca="1" ref="T67" ca="1">T66</f>
        <v>0</v>
      </c>
      <c r="X67" s="1113"/>
      <c r="Z67" s="1114"/>
      <c r="AB67" s="133" t="s">
        <v>973</v>
      </c>
      <c r="AC67" s="127" t="s">
        <v>1230</v>
      </c>
      <c r="AD67" s="7" t="s">
        <v>859</v>
      </c>
      <c r="AE67" s="170">
        <f ca="1">SUMIFS(Административные!AE$25:AE$65,Административные!$F$25:$F$65,$F67,Административные!$G$25:$G$65,$G67)</f>
        <v>0</v>
      </c>
      <c r="AF67" s="170">
        <f ca="1">SUMIFS(Административные!AF$25:AF$65,Административные!$F$25:$F$65,$F67,Административные!$G$25:$G$65,$G67)</f>
        <v>0</v>
      </c>
      <c r="AG67" s="170">
        <f ca="1">SUMIFS(Административные!AG$25:AG$65,Административные!$F$25:$F$65,$F67,Административные!$G$25:$G$65,$G67)</f>
        <v>0</v>
      </c>
      <c r="AH67" s="170">
        <f t="shared" ca="1" si="3"/>
        <v>0</v>
      </c>
      <c r="AI67" s="170">
        <f ca="1">SUMIFS(Административные!AH$25:AH$65,Административные!$F$25:$F$65,$F67,Административные!$G$25:$G$65,$G67)</f>
        <v>0</v>
      </c>
      <c r="AJ67" s="170">
        <f ca="1">SUMIFS(Административные!AI$25:AI$65,Административные!$F$25:$F$65,$F67,Административные!$G$25:$G$65,$G67)</f>
        <v>0</v>
      </c>
      <c r="AK67" s="170">
        <f ca="1">SUMIFS(Административные!AJ$25:AJ$65,Административные!$F$25:$F$65,$F67,Административные!$G$25:$G$65,$G67)</f>
        <v>0</v>
      </c>
      <c r="AL67" s="170">
        <f t="shared" ca="1" si="4"/>
        <v>0</v>
      </c>
      <c r="AM67" s="774"/>
      <c r="AN67" s="778" t="str">
        <f ca="1">IF(IFERROR(INDEX(Административные!$K$26:$L$65,MATCH($F67&amp;"3komm",Административные!$K$26:$K$65,0),2),"")=0,"",IFERROR(INDEX(Административные!$K$26:$L$65,MATCH($F67&amp;"3komm",Административные!$K$26:$K$65,0),2),""))</f>
        <v/>
      </c>
      <c r="AO67" s="774"/>
      <c r="AR67" s="692" t="s">
        <v>1231</v>
      </c>
    </row>
    <row r="68" spans="2:48" ht="14.65" hidden="1" customHeight="1">
      <c r="E68" s="502">
        <v>15</v>
      </c>
      <c r="F68" s="3" cm="1">
        <f t="array" aca="1" ref="F68" ca="1">OFFSET(E68,-1,1)</f>
        <v>0</v>
      </c>
      <c r="G68" s="277" t="s">
        <v>1232</v>
      </c>
      <c r="I68" s="38" t="s">
        <v>975</v>
      </c>
      <c r="J68" s="38"/>
      <c r="K68" s="38"/>
      <c r="L68" s="38"/>
      <c r="M68" s="38"/>
      <c r="N68" s="38"/>
      <c r="O68" s="38"/>
      <c r="P68" s="38"/>
      <c r="Q68" s="38"/>
      <c r="R68" s="38"/>
      <c r="S68" s="38"/>
      <c r="T68" s="351" t="b" cm="1">
        <f t="array" aca="1" ref="T68" ca="1">T67</f>
        <v>0</v>
      </c>
      <c r="X68" s="1113"/>
      <c r="Z68" s="1114"/>
      <c r="AB68" s="133" t="s">
        <v>976</v>
      </c>
      <c r="AC68" s="127" t="s">
        <v>1233</v>
      </c>
      <c r="AD68" s="7" t="s">
        <v>859</v>
      </c>
      <c r="AE68" s="170">
        <f ca="1">SUMIFS(Административные!AE$25:AE$65,Административные!$F$25:$F$65,$F68,Административные!$G$25:$G$65,$G68)</f>
        <v>0</v>
      </c>
      <c r="AF68" s="170">
        <f ca="1">SUMIFS(Административные!AF$25:AF$65,Административные!$F$25:$F$65,$F68,Административные!$G$25:$G$65,$G68)</f>
        <v>0</v>
      </c>
      <c r="AG68" s="170">
        <f ca="1">SUMIFS(Административные!AG$25:AG$65,Административные!$F$25:$F$65,$F68,Административные!$G$25:$G$65,$G68)</f>
        <v>0</v>
      </c>
      <c r="AH68" s="170">
        <f t="shared" ca="1" si="3"/>
        <v>0</v>
      </c>
      <c r="AI68" s="170">
        <f ca="1">SUMIFS(Административные!AH$25:AH$65,Административные!$F$25:$F$65,$F68,Административные!$G$25:$G$65,$G68)</f>
        <v>0</v>
      </c>
      <c r="AJ68" s="170">
        <f ca="1">SUMIFS(Административные!AI$25:AI$65,Административные!$F$25:$F$65,$F68,Административные!$G$25:$G$65,$G68)</f>
        <v>0</v>
      </c>
      <c r="AK68" s="170">
        <f ca="1">SUMIFS(Административные!AJ$25:AJ$65,Административные!$F$25:$F$65,$F68,Административные!$G$25:$G$65,$G68)</f>
        <v>0</v>
      </c>
      <c r="AL68" s="170">
        <f t="shared" ca="1" si="4"/>
        <v>0</v>
      </c>
      <c r="AM68" s="774"/>
      <c r="AN68" s="778" t="str">
        <f ca="1">IF(IFERROR(INDEX(Административные!$K$26:$L$65,MATCH($F68&amp;"4komm",Административные!$K$26:$K$65,0),2),"")=0,"",IFERROR(INDEX(Административные!$K$26:$L$65,MATCH($F68&amp;"4komm",Административные!$K$26:$K$65,0),2),""))</f>
        <v/>
      </c>
      <c r="AO68" s="774"/>
      <c r="AR68" s="692" t="s">
        <v>1234</v>
      </c>
    </row>
    <row r="69" spans="2:48" ht="14.65" hidden="1" customHeight="1">
      <c r="E69" s="502">
        <v>15</v>
      </c>
      <c r="F69" s="3" cm="1">
        <f t="array" aca="1" ref="F69" ca="1">OFFSET(E69,-1,1)</f>
        <v>0</v>
      </c>
      <c r="G69" s="277" t="s">
        <v>1235</v>
      </c>
      <c r="I69" s="38" t="s">
        <v>1217</v>
      </c>
      <c r="J69" s="38"/>
      <c r="K69" s="38"/>
      <c r="L69" s="38"/>
      <c r="M69" s="38"/>
      <c r="N69" s="38"/>
      <c r="O69" s="38"/>
      <c r="P69" s="38"/>
      <c r="Q69" s="38"/>
      <c r="R69" s="38"/>
      <c r="S69" s="38"/>
      <c r="T69" s="351" t="b" cm="1">
        <f t="array" aca="1" ref="T69" ca="1">T68</f>
        <v>0</v>
      </c>
      <c r="X69" s="1113"/>
      <c r="Z69" s="1114"/>
      <c r="AB69" s="133" t="s">
        <v>1218</v>
      </c>
      <c r="AC69" s="127" t="s">
        <v>1236</v>
      </c>
      <c r="AD69" s="7" t="s">
        <v>859</v>
      </c>
      <c r="AE69" s="170">
        <f ca="1">SUMIFS(Административные!AE$25:AE$65,Административные!$F$25:$F$65,$F69,Административные!$G$25:$G$65,$G69)</f>
        <v>0</v>
      </c>
      <c r="AF69" s="170">
        <f ca="1">SUMIFS(Административные!AF$25:AF$65,Административные!$F$25:$F$65,$F69,Административные!$G$25:$G$65,$G69)</f>
        <v>0</v>
      </c>
      <c r="AG69" s="170">
        <f ca="1">SUMIFS(Административные!AG$25:AG$65,Административные!$F$25:$F$65,$F69,Административные!$G$25:$G$65,$G69)</f>
        <v>0</v>
      </c>
      <c r="AH69" s="170">
        <f t="shared" ca="1" si="3"/>
        <v>0</v>
      </c>
      <c r="AI69" s="170">
        <f ca="1">SUMIFS(Административные!AH$25:AH$65,Административные!$F$25:$F$65,$F69,Административные!$G$25:$G$65,$G69)</f>
        <v>0</v>
      </c>
      <c r="AJ69" s="170">
        <f ca="1">SUMIFS(Административные!AI$25:AI$65,Административные!$F$25:$F$65,$F69,Административные!$G$25:$G$65,$G69)</f>
        <v>0</v>
      </c>
      <c r="AK69" s="170">
        <f ca="1">SUMIFS(Административные!AJ$25:AJ$65,Административные!$F$25:$F$65,$F69,Административные!$G$25:$G$65,$G69)</f>
        <v>0</v>
      </c>
      <c r="AL69" s="170">
        <f t="shared" ca="1" si="4"/>
        <v>0</v>
      </c>
      <c r="AM69" s="774"/>
      <c r="AN69" s="778" t="str">
        <f ca="1">IF(IFERROR(INDEX(Административные!$K$26:$L$65,MATCH($F65&amp;"5komm",Административные!$K$26:$K$65,0),2),"")=0,"",IFERROR(INDEX(Административные!$K$26:$L$65,MATCH($F65&amp;"5komm",Административные!$K$26:$K$65,0),2),""))</f>
        <v/>
      </c>
      <c r="AO69" s="774"/>
      <c r="AR69" s="692" t="s">
        <v>1828</v>
      </c>
    </row>
    <row r="70" spans="2:48" ht="14.65" hidden="1" customHeight="1">
      <c r="E70" s="502">
        <v>15</v>
      </c>
      <c r="F70" s="3" cm="1">
        <f t="array" aca="1" ref="F70" ca="1">OFFSET(E70,-1,1)</f>
        <v>0</v>
      </c>
      <c r="G70" s="277" t="s">
        <v>1238</v>
      </c>
      <c r="I70" s="38" t="s">
        <v>1222</v>
      </c>
      <c r="J70" s="38"/>
      <c r="K70" s="38"/>
      <c r="L70" s="38"/>
      <c r="M70" s="38"/>
      <c r="N70" s="38"/>
      <c r="O70" s="38"/>
      <c r="P70" s="38"/>
      <c r="Q70" s="38"/>
      <c r="R70" s="38"/>
      <c r="S70" s="38"/>
      <c r="T70" s="351" t="b" cm="1">
        <f t="array" aca="1" ref="T70" ca="1">T69</f>
        <v>0</v>
      </c>
      <c r="X70" s="1113"/>
      <c r="Z70" s="1114"/>
      <c r="AB70" s="133" t="s">
        <v>1223</v>
      </c>
      <c r="AC70" s="127" t="s">
        <v>1829</v>
      </c>
      <c r="AD70" s="7" t="s">
        <v>859</v>
      </c>
      <c r="AE70" s="170">
        <f ca="1">SUMIFS(Административные!AE$25:AE$65,Административные!$F$25:$F$65,$F70,Административные!$G$25:$G$65,$G70)</f>
        <v>0</v>
      </c>
      <c r="AF70" s="170">
        <f ca="1">SUMIFS(Административные!AF$25:AF$65,Административные!$F$25:$F$65,$F70,Административные!$G$25:$G$65,$G70)</f>
        <v>0</v>
      </c>
      <c r="AG70" s="170">
        <f ca="1">SUMIFS(Административные!AG$25:AG$65,Административные!$F$25:$F$65,$F70,Административные!$G$25:$G$65,$G70)</f>
        <v>0</v>
      </c>
      <c r="AH70" s="170">
        <f t="shared" ca="1" si="3"/>
        <v>0</v>
      </c>
      <c r="AI70" s="170">
        <f ca="1">SUMIFS(Административные!AH$25:AH$65,Административные!$F$25:$F$65,$F70,Административные!$G$25:$G$65,$G70)</f>
        <v>0</v>
      </c>
      <c r="AJ70" s="170">
        <f ca="1">SUMIFS(Административные!AI$25:AI$65,Административные!$F$25:$F$65,$F70,Административные!$G$25:$G$65,$G70)</f>
        <v>0</v>
      </c>
      <c r="AK70" s="170">
        <f ca="1">SUMIFS(Административные!AJ$25:AJ$65,Административные!$F$25:$F$65,$F70,Административные!$G$25:$G$65,$G70)</f>
        <v>0</v>
      </c>
      <c r="AL70" s="170">
        <f t="shared" ca="1" si="4"/>
        <v>0</v>
      </c>
      <c r="AM70" s="774"/>
      <c r="AN70" s="778" t="str">
        <f ca="1">IF(IFERROR(INDEX(Административные!$K$26:$L$65,MATCH($F70&amp;"6komm",Административные!$K$26:$K$65,0),2),"")=0,"",IFERROR(INDEX(Административные!$K$26:$L$65,MATCH($F65&amp;"6komm",Административные!$K$26:$K$65,0),2),""))</f>
        <v/>
      </c>
      <c r="AO70" s="774"/>
      <c r="AR70" s="692" t="s">
        <v>1830</v>
      </c>
    </row>
    <row r="71" spans="2:48" ht="14.65" hidden="1" customHeight="1">
      <c r="E71" s="502">
        <v>15</v>
      </c>
      <c r="F71" s="3" cm="1">
        <f t="array" aca="1" ref="F71" ca="1">OFFSET(E71,-1,1)</f>
        <v>0</v>
      </c>
      <c r="G71" s="277" t="s">
        <v>1240</v>
      </c>
      <c r="I71" s="38" t="s">
        <v>1831</v>
      </c>
      <c r="J71" s="38"/>
      <c r="K71" s="38"/>
      <c r="L71" s="38"/>
      <c r="M71" s="38"/>
      <c r="N71" s="38"/>
      <c r="O71" s="38"/>
      <c r="P71" s="38"/>
      <c r="Q71" s="38"/>
      <c r="R71" s="38"/>
      <c r="S71" s="38"/>
      <c r="T71" s="351" t="b" cm="1">
        <f t="array" aca="1" ref="T71" ca="1">T70</f>
        <v>0</v>
      </c>
      <c r="X71" s="1113"/>
      <c r="Z71" s="1114"/>
      <c r="AB71" s="133" t="s">
        <v>1832</v>
      </c>
      <c r="AC71" s="134" t="s">
        <v>1833</v>
      </c>
      <c r="AD71" s="7" t="s">
        <v>859</v>
      </c>
      <c r="AE71" s="170">
        <f ca="1">SUMIFS(Административные!AE$25:AE$65,Административные!$F$25:$F$65,$F71,Административные!$G$25:$G$65,$G71)</f>
        <v>0</v>
      </c>
      <c r="AF71" s="170">
        <f ca="1">SUMIFS(Административные!AF$25:AF$65,Административные!$F$25:$F$65,$F71,Административные!$G$25:$G$65,$G71)</f>
        <v>0</v>
      </c>
      <c r="AG71" s="170">
        <f ca="1">SUMIFS(Административные!AG$25:AG$65,Административные!$F$25:$F$65,$F71,Административные!$G$25:$G$65,$G71)</f>
        <v>0</v>
      </c>
      <c r="AH71" s="170">
        <f t="shared" ca="1" si="3"/>
        <v>0</v>
      </c>
      <c r="AI71" s="170">
        <f ca="1">SUMIFS(Административные!AH$25:AH$65,Административные!$F$25:$F$65,$F71,Административные!$G$25:$G$65,$G71)</f>
        <v>0</v>
      </c>
      <c r="AJ71" s="170">
        <f ca="1">SUMIFS(Административные!AI$25:AI$65,Административные!$F$25:$F$65,$F71,Административные!$G$25:$G$65,$G71)</f>
        <v>0</v>
      </c>
      <c r="AK71" s="170">
        <f ca="1">SUMIFS(Административные!AJ$25:AJ$65,Административные!$F$25:$F$65,$F71,Административные!$G$25:$G$65,$G71)</f>
        <v>0</v>
      </c>
      <c r="AL71" s="170">
        <f t="shared" ca="1" si="4"/>
        <v>0</v>
      </c>
      <c r="AM71" s="774"/>
      <c r="AN71" s="778" t="str">
        <f ca="1">IF(IFERROR(INDEX(Административные!$K$26:$L$65,MATCH($F71&amp;"7komm",Административные!$K$26:$K$65,0),2),"")=0,"",IFERROR(INDEX(Административные!$K$26:$L$65,MATCH($F66&amp;"7komm",Административные!$K$26:$K$65,0),2),""))</f>
        <v/>
      </c>
      <c r="AO71" s="774"/>
      <c r="AR71" s="692" t="s">
        <v>1834</v>
      </c>
    </row>
    <row r="72" spans="2:48" ht="43.9" hidden="1" customHeight="1">
      <c r="E72" s="502">
        <v>45</v>
      </c>
      <c r="F72" s="3" cm="1">
        <f t="array" aca="1" ref="F72" ca="1">OFFSET(E72,-1,1)</f>
        <v>0</v>
      </c>
      <c r="G72" s="277" t="s">
        <v>1243</v>
      </c>
      <c r="I72" s="38" t="s">
        <v>1835</v>
      </c>
      <c r="J72" s="38"/>
      <c r="K72" s="38"/>
      <c r="L72" s="38"/>
      <c r="M72" s="38"/>
      <c r="N72" s="38"/>
      <c r="O72" s="38"/>
      <c r="P72" s="38"/>
      <c r="Q72" s="38"/>
      <c r="R72" s="38"/>
      <c r="S72" s="38"/>
      <c r="T72" s="351" t="b" cm="1">
        <f t="array" aca="1" ref="T72" ca="1">T71</f>
        <v>0</v>
      </c>
      <c r="X72" s="1113"/>
      <c r="Z72" s="1114"/>
      <c r="AB72" s="133" t="s">
        <v>1836</v>
      </c>
      <c r="AC72" s="127" t="s">
        <v>1244</v>
      </c>
      <c r="AD72" s="7" t="s">
        <v>859</v>
      </c>
      <c r="AE72" s="170">
        <f ca="1">SUMIFS(Административные!AE$25:AE$65,Административные!$F$25:$F$65,$F72,Административные!$G$25:$G$65,$G72)</f>
        <v>0</v>
      </c>
      <c r="AF72" s="170">
        <f ca="1">SUMIFS(Административные!AF$25:AF$65,Административные!$F$25:$F$65,$F72,Административные!$G$25:$G$65,$G72)</f>
        <v>0</v>
      </c>
      <c r="AG72" s="170">
        <f ca="1">SUMIFS(Административные!AG$25:AG$65,Административные!$F$25:$F$65,$F72,Административные!$G$25:$G$65,$G72)</f>
        <v>0</v>
      </c>
      <c r="AH72" s="170">
        <f t="shared" ca="1" si="3"/>
        <v>0</v>
      </c>
      <c r="AI72" s="170">
        <f ca="1">SUMIFS(Административные!AH$25:AH$65,Административные!$F$25:$F$65,$F72,Административные!$G$25:$G$65,$G72)</f>
        <v>0</v>
      </c>
      <c r="AJ72" s="170">
        <f ca="1">SUMIFS(Административные!AI$25:AI$65,Административные!$F$25:$F$65,$F72,Административные!$G$25:$G$65,$G72)</f>
        <v>0</v>
      </c>
      <c r="AK72" s="170">
        <f ca="1">SUMIFS(Административные!AJ$25:AJ$65,Административные!$F$25:$F$65,$F72,Административные!$G$25:$G$65,$G72)</f>
        <v>0</v>
      </c>
      <c r="AL72" s="170">
        <f t="shared" ca="1" si="4"/>
        <v>0</v>
      </c>
      <c r="AM72" s="774"/>
      <c r="AN72" s="778" t="str">
        <f ca="1">IF(IFERROR(INDEX(Административные!$K$26:$L$65,MATCH($F72&amp;"8komm",Административные!$K$26:$K$65,0),2),"")=0,"",IFERROR(INDEX(Административные!$K$26:$L$65,MATCH($F67&amp;"8komm",Административные!$K$26:$K$65,0),2),""))</f>
        <v/>
      </c>
      <c r="AO72" s="774"/>
      <c r="AR72" s="692" t="s">
        <v>1837</v>
      </c>
    </row>
    <row r="73" spans="2:48" ht="14.65" hidden="1" customHeight="1">
      <c r="E73" s="502">
        <v>15</v>
      </c>
      <c r="F73" s="3" cm="1">
        <f t="array" aca="1" ref="F73" ca="1">OFFSET(E73,-1,1)</f>
        <v>0</v>
      </c>
      <c r="G73" s="277" t="s">
        <v>1246</v>
      </c>
      <c r="I73" s="38" t="s">
        <v>1838</v>
      </c>
      <c r="J73" s="38"/>
      <c r="K73" s="38"/>
      <c r="L73" s="38"/>
      <c r="M73" s="38"/>
      <c r="N73" s="38"/>
      <c r="O73" s="38"/>
      <c r="P73" s="38"/>
      <c r="Q73" s="38"/>
      <c r="R73" s="38"/>
      <c r="S73" s="38"/>
      <c r="T73" s="351" t="b" cm="1">
        <f t="array" aca="1" ref="T73" ca="1">T72</f>
        <v>0</v>
      </c>
      <c r="X73" s="1113"/>
      <c r="Z73" s="1114"/>
      <c r="AB73" s="133" t="s">
        <v>1839</v>
      </c>
      <c r="AC73" s="134" t="s">
        <v>1247</v>
      </c>
      <c r="AD73" s="7" t="s">
        <v>859</v>
      </c>
      <c r="AE73" s="170">
        <f ca="1">SUMIFS(Административные!AE$25:AE$65,Административные!$F$25:$F$65,$F73,Административные!$G$25:$G$65,$G73)</f>
        <v>0</v>
      </c>
      <c r="AF73" s="170">
        <f ca="1">SUMIFS(Административные!AF$25:AF$65,Административные!$F$25:$F$65,$F73,Административные!$G$25:$G$65,$G73)</f>
        <v>0</v>
      </c>
      <c r="AG73" s="170">
        <f ca="1">SUMIFS(Административные!AG$25:AG$65,Административные!$F$25:$F$65,$F73,Административные!$G$25:$G$65,$G73)</f>
        <v>0</v>
      </c>
      <c r="AH73" s="170">
        <f t="shared" ca="1" si="3"/>
        <v>0</v>
      </c>
      <c r="AI73" s="170">
        <f ca="1">SUMIFS(Административные!AH$25:AH$65,Административные!$F$25:$F$65,$F73,Административные!$G$25:$G$65,$G73)</f>
        <v>0</v>
      </c>
      <c r="AJ73" s="170">
        <f ca="1">SUMIFS(Административные!AI$25:AI$65,Административные!$F$25:$F$65,$F73,Административные!$G$25:$G$65,$G73)</f>
        <v>0</v>
      </c>
      <c r="AK73" s="170">
        <f ca="1">SUMIFS(Административные!AJ$25:AJ$65,Административные!$F$25:$F$65,$F73,Административные!$G$25:$G$65,$G73)</f>
        <v>0</v>
      </c>
      <c r="AL73" s="170">
        <f t="shared" ca="1" si="4"/>
        <v>0</v>
      </c>
      <c r="AM73" s="774"/>
      <c r="AN73" s="778" t="str">
        <f ca="1">IF(IFERROR(INDEX(Административные!$K$26:$L$65,MATCH($F73&amp;"9komm",Административные!$K$26:$K$65,0),2),"")=0,"",IFERROR(INDEX(Административные!$K$26:$L$65,MATCH($F68&amp;"9komm",Административные!$K$26:$K$65,0),2),""))</f>
        <v/>
      </c>
      <c r="AO73" s="774"/>
      <c r="AR73" s="692" t="s">
        <v>1840</v>
      </c>
    </row>
    <row r="74" spans="2:48" s="421" customFormat="1" ht="14.65" hidden="1" customHeight="1">
      <c r="B74" s="421" t="b">
        <f>STATUS_GO="да"</f>
        <v>1</v>
      </c>
      <c r="E74" s="503">
        <v>15</v>
      </c>
      <c r="F74" s="3" cm="1">
        <f t="array" aca="1" ref="F74" ca="1">OFFSET(E74,-1,1)</f>
        <v>0</v>
      </c>
      <c r="I74" s="154" t="s">
        <v>325</v>
      </c>
      <c r="J74" s="154"/>
      <c r="K74" s="154"/>
      <c r="L74" s="154"/>
      <c r="M74" s="154"/>
      <c r="N74" s="154"/>
      <c r="O74" s="154"/>
      <c r="P74" s="154"/>
      <c r="Q74" s="154"/>
      <c r="R74" s="154"/>
      <c r="S74" s="154"/>
      <c r="T74" s="351" t="b" cm="1">
        <f t="array" aca="1" ref="T74" ca="1">T73</f>
        <v>0</v>
      </c>
      <c r="X74" s="1113"/>
      <c r="Z74" s="1114"/>
      <c r="AB74" s="131" t="s">
        <v>438</v>
      </c>
      <c r="AC74" s="132" t="s">
        <v>1841</v>
      </c>
      <c r="AD74" s="124" t="s">
        <v>859</v>
      </c>
      <c r="AE74" s="126">
        <f ca="1">SUMIFS('Сбытовые расходы ГО'!AE$25:AE$51,'Сбытовые расходы ГО'!$F$25:$F$51,$F74,'Сбытовые расходы ГО'!$G$25:$G$51,"l0")</f>
        <v>0</v>
      </c>
      <c r="AF74" s="126">
        <f ca="1">SUMIFS('Сбытовые расходы ГО'!AF$25:AF$51,'Сбытовые расходы ГО'!$F$25:$F$51,$F74,'Сбытовые расходы ГО'!$G$25:$G$51,"l0")</f>
        <v>0</v>
      </c>
      <c r="AG74" s="126">
        <f ca="1">SUMIFS('Сбытовые расходы ГО'!AG$25:AG$51,'Сбытовые расходы ГО'!$F$25:$F$51,$F74,'Сбытовые расходы ГО'!$G$25:$G$51,"l0")</f>
        <v>0</v>
      </c>
      <c r="AH74" s="126">
        <f t="shared" ca="1" si="3"/>
        <v>0</v>
      </c>
      <c r="AI74" s="126">
        <f ca="1">SUMIFS('Сбытовые расходы ГО'!AH$25:AH$51,'Сбытовые расходы ГО'!$F$25:$F$51,$F74,'Сбытовые расходы ГО'!$G$25:$G$51,"l0")</f>
        <v>0</v>
      </c>
      <c r="AJ74" s="126">
        <f ca="1">SUMIFS('Сбытовые расходы ГО'!AI$25:AI$51,'Сбытовые расходы ГО'!$F$25:$F$51,$F74,'Сбытовые расходы ГО'!$G$25:$G$51,"l0")</f>
        <v>0</v>
      </c>
      <c r="AK74" s="126">
        <f ca="1">SUMIFS('Сбытовые расходы ГО'!AJ$25:AJ$51,'Сбытовые расходы ГО'!$F$25:$F$51,$F74,'Сбытовые расходы ГО'!$G$25:$G$51,"l0")</f>
        <v>0</v>
      </c>
      <c r="AL74" s="126">
        <f t="shared" ca="1" si="4"/>
        <v>0</v>
      </c>
      <c r="AM74" s="776"/>
      <c r="AN74" s="778"/>
      <c r="AO74" s="776"/>
      <c r="AR74" s="693" t="s">
        <v>1842</v>
      </c>
      <c r="AS74" s="693"/>
      <c r="AT74" s="693"/>
      <c r="AU74" s="503"/>
      <c r="AV74" s="503"/>
    </row>
    <row r="75" spans="2:48" s="421" customFormat="1" ht="14.65" hidden="1" customHeight="1">
      <c r="E75" s="503">
        <v>15</v>
      </c>
      <c r="F75" s="3" cm="1">
        <f t="array" aca="1" ref="F75" ca="1">OFFSET(E75,-1,1)</f>
        <v>0</v>
      </c>
      <c r="I75" s="154" t="s">
        <v>324</v>
      </c>
      <c r="J75" s="154"/>
      <c r="K75" s="154"/>
      <c r="L75" s="154"/>
      <c r="M75" s="154"/>
      <c r="N75" s="154"/>
      <c r="O75" s="154"/>
      <c r="P75" s="154"/>
      <c r="Q75" s="154"/>
      <c r="R75" s="154"/>
      <c r="S75" s="154"/>
      <c r="T75" s="351" t="b" cm="1">
        <f t="array" aca="1" ref="T75" ca="1">T74</f>
        <v>0</v>
      </c>
      <c r="X75" s="1113"/>
      <c r="Z75" s="1114"/>
      <c r="AB75" s="131" t="s">
        <v>440</v>
      </c>
      <c r="AC75" s="125" t="s">
        <v>1843</v>
      </c>
      <c r="AD75" s="124" t="s">
        <v>859</v>
      </c>
      <c r="AE75" s="126">
        <f ca="1">SUMIFS(Амортизация!AE$25:AE$125,Амортизация!$F$25:$F$125,$F75,Амортизация!$AC$25:$AC$125,"Сумма амортизационных отчислений")</f>
        <v>0</v>
      </c>
      <c r="AF75" s="126">
        <f ca="1">SUMIFS(Амортизация!AF$25:AF$125,Амортизация!$F$25:$F$125,$F75,Амортизация!$AC$25:$AC$125,"Сумма амортизационных отчислений")</f>
        <v>0</v>
      </c>
      <c r="AG75" s="126">
        <f ca="1">SUMIFS(Амортизация!AG$25:AG$125,Амортизация!$F$25:$F$125,$F75,Амортизация!$AC$25:$AC$125,"Сумма амортизационных отчислений")</f>
        <v>0</v>
      </c>
      <c r="AH75" s="126">
        <f t="shared" ca="1" si="3"/>
        <v>0</v>
      </c>
      <c r="AI75" s="126">
        <f ca="1">SUMIFS(Амортизация!AH$25:AH$125,Амортизация!$F$25:$F$125,$F75,Амортизация!$AC$25:$AC$125,"Сумма амортизационных отчислений")</f>
        <v>0</v>
      </c>
      <c r="AJ75" s="126">
        <f ca="1">SUMIFS(Амортизация!AI$25:AI$125,Амортизация!$F$25:$F$125,$F75,Амортизация!$AC$25:$AC$125,"Сумма амортизационных отчислений")</f>
        <v>0</v>
      </c>
      <c r="AK75" s="126">
        <f ca="1">SUMIFS(Амортизация!AS$25:AS$125,Амортизация!$F$25:$F$125,$F75,Амортизация!$AC$25:$AC$125,"Сумма амортизационных отчислений")</f>
        <v>0</v>
      </c>
      <c r="AL75" s="126">
        <f t="shared" ca="1" si="4"/>
        <v>0</v>
      </c>
      <c r="AM75" s="776"/>
      <c r="AN75" s="778" t="str">
        <f ca="1">IF(IFERROR(INDEX(Амортизация!$K$26:$L$125,MATCH($F75&amp;"komm",Амортизация!$K$26:$K$525,0),2),"")=0,"",IFERROR(INDEX(Амортизация!$K$26:$L$125,MATCH($F75&amp;"komm",Амортизация!$K$26:$K$525,0),2),""))</f>
        <v/>
      </c>
      <c r="AO75" s="776"/>
      <c r="AR75" s="693" t="s">
        <v>1242</v>
      </c>
      <c r="AS75" s="693"/>
      <c r="AT75" s="693"/>
      <c r="AU75" s="503"/>
      <c r="AV75" s="503"/>
    </row>
    <row r="76" spans="2:48" ht="14.65" hidden="1" customHeight="1">
      <c r="E76" s="502">
        <v>15</v>
      </c>
      <c r="F76" s="3" cm="1">
        <f t="array" aca="1" ref="F76" ca="1">OFFSET(E76,-1,1)</f>
        <v>0</v>
      </c>
      <c r="I76" s="38" t="s">
        <v>601</v>
      </c>
      <c r="J76" s="38"/>
      <c r="K76" s="38"/>
      <c r="L76" s="38"/>
      <c r="M76" s="38"/>
      <c r="N76" s="38"/>
      <c r="O76" s="38"/>
      <c r="P76" s="38"/>
      <c r="Q76" s="38"/>
      <c r="R76" s="38"/>
      <c r="S76" s="38"/>
      <c r="T76" s="351" t="b" cm="1">
        <f t="array" aca="1" ref="T76" ca="1">T75</f>
        <v>0</v>
      </c>
      <c r="X76" s="1113"/>
      <c r="Z76" s="1114"/>
      <c r="AB76" s="133" t="s">
        <v>729</v>
      </c>
      <c r="AC76" s="127" t="s">
        <v>1844</v>
      </c>
      <c r="AD76" s="7" t="s">
        <v>859</v>
      </c>
      <c r="AE76" s="128">
        <f ca="1">SUMIFS('ИП + источники'!AF$27:AF$87,'ИП + источники'!$F$27:$F$87,$F76,'ИП + источники'!$AC$27:$AC$87,"Амортизационные отчисления")+SUMIFS('ИП + источники'!AF$27:AF$87,'ИП + источники'!$F$27:$F$87,$F76,'ИП + источники'!$AC$27:$AC$87,"погашение займов и кредитов из амортизации")</f>
        <v>0</v>
      </c>
      <c r="AF76" s="128">
        <f ca="1">SUMIFS('ИП + источники'!AG$27:AG$87,'ИП + источники'!$F$27:$F$87,$F76,'ИП + источники'!$AC$27:$AC$87,"Амортизационные отчисления")+SUMIFS('ИП + источники'!AG$27:AG$87,'ИП + источники'!$F$27:$F$87,$F76,'ИП + источники'!$AC$27:$AC$87,"погашение займов и кредитов из амортизации")</f>
        <v>0</v>
      </c>
      <c r="AG76" s="128">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H76" s="170">
        <f t="shared" ca="1" si="3"/>
        <v>0</v>
      </c>
      <c r="AI76" s="128">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J76" s="777">
        <f ca="1">SUMIFS('ИП + источники'!AI$27:AI$87,'ИП + источники'!$F$27:$F$87,$F76,'ИП + источники'!$AC$27:$AC$87,"Амортизационные отчисления")+SUMIFS('ИП + источники'!AI$27:AI$87,'ИП + источники'!$F$27:$F$87,$F76,'ИП + источники'!$AC$27:$AC$87,"погашение займов и кредитов из амортизации")</f>
        <v>0</v>
      </c>
      <c r="AK76" s="777">
        <f ca="1">SUMIFS('ИП + источники'!AJ$27:AJ$87,'ИП + источники'!$F$27:$F$87,$F76,'ИП + источники'!$AC$27:$AC$87,"Амортизационные отчисления")+SUMIFS('ИП + источники'!AJ$27:AJ$87,'ИП + источники'!$F$27:$F$87,$F76,'ИП + источники'!$AC$27:$AC$87,"погашение займов и кредитов из амортизации")</f>
        <v>0</v>
      </c>
      <c r="AL76" s="170">
        <f t="shared" ca="1" si="4"/>
        <v>0</v>
      </c>
      <c r="AM76" s="774"/>
      <c r="AN76" s="774"/>
      <c r="AO76" s="774"/>
      <c r="AR76" s="692" t="s">
        <v>1845</v>
      </c>
    </row>
    <row r="77" spans="2:48" s="421" customFormat="1" ht="21.95" hidden="1" customHeight="1">
      <c r="E77" s="503">
        <v>22.5</v>
      </c>
      <c r="F77" s="3" cm="1">
        <f t="array" aca="1" ref="F77" ca="1">OFFSET(E77,-1,1)</f>
        <v>0</v>
      </c>
      <c r="I77" s="154" t="s">
        <v>557</v>
      </c>
      <c r="J77" s="154"/>
      <c r="K77" s="154"/>
      <c r="L77" s="154"/>
      <c r="M77" s="154"/>
      <c r="N77" s="154"/>
      <c r="O77" s="154"/>
      <c r="P77" s="154"/>
      <c r="Q77" s="154"/>
      <c r="R77" s="154"/>
      <c r="S77" s="154"/>
      <c r="T77" s="351" t="b" cm="1">
        <f t="array" aca="1" ref="T77" ca="1">T76</f>
        <v>0</v>
      </c>
      <c r="X77" s="1113"/>
      <c r="Z77" s="1114"/>
      <c r="AB77" s="131" t="s">
        <v>442</v>
      </c>
      <c r="AC77" s="125" t="s">
        <v>1846</v>
      </c>
      <c r="AD77" s="124" t="s">
        <v>859</v>
      </c>
      <c r="AE77" s="126">
        <f ca="1">SUMIFS(Аренда!AE$25:AE$47,Аренда!$F$25:$F$47,$F77,Аренда!$G$25:$G$47,"Арендная и концессионная плата, лизинговые платежи")</f>
        <v>0</v>
      </c>
      <c r="AF77" s="126">
        <f ca="1">SUMIFS(Аренда!AF$25:AF$47,Аренда!$F$25:$F$47,$F77,Аренда!$G$25:$G$47,"Арендная и концессионная плата, лизинговые платежи")</f>
        <v>0</v>
      </c>
      <c r="AG77" s="126">
        <f ca="1">SUMIFS(Аренда!AG$25:AG$47,Аренда!$F$25:$F$47,$F77,Аренда!$G$25:$G$47,"Арендная и концессионная плата, лизинговые платежи")</f>
        <v>0</v>
      </c>
      <c r="AH77" s="126">
        <f t="shared" ca="1" si="3"/>
        <v>0</v>
      </c>
      <c r="AI77" s="126">
        <f ca="1">SUMIFS(Аренда!AH$25:AH$47,Аренда!$F$25:$F$47,$F77,Аренда!$G$25:$G$47,"Арендная и концессионная плата, лизинговые платежи")</f>
        <v>0</v>
      </c>
      <c r="AJ77" s="126">
        <f ca="1">SUMIFS(Аренда!AI$25:AI$47,Аренда!$F$25:$F$47,$F77,Аренда!$G$25:$G$47,"Арендная и концессионная плата, лизинговые платежи")</f>
        <v>0</v>
      </c>
      <c r="AK77" s="126">
        <f ca="1">SUMIFS(Аренда!AS$25:AS$47,Аренда!$F$25:$F$47,$F77,Аренда!$G$25:$G$47,"Арендная и концессионная плата, лизинговые платежи")</f>
        <v>0</v>
      </c>
      <c r="AL77" s="126">
        <f t="shared" ca="1" si="4"/>
        <v>0</v>
      </c>
      <c r="AM77" s="776"/>
      <c r="AN77" s="778" t="str">
        <f ca="1">IF(IFERROR(INDEX(Аренда!$K$26:$L$47,MATCH($F77&amp;"komm",Аренда!$K$26:$K$47,0),2),"")=0,"",IFERROR(INDEX(Аренда!$K$26:$L$47,MATCH($F77&amp;"komm",Аренда!$K$26:$K$47,0),2),""))</f>
        <v/>
      </c>
      <c r="AO77" s="776"/>
      <c r="AR77" s="693" t="s">
        <v>1847</v>
      </c>
      <c r="AS77" s="693"/>
      <c r="AT77" s="693"/>
      <c r="AU77" s="503"/>
      <c r="AV77" s="503"/>
    </row>
    <row r="78" spans="2:48" s="421" customFormat="1" ht="14.65" hidden="1" customHeight="1">
      <c r="E78" s="503">
        <v>15</v>
      </c>
      <c r="F78" s="3" cm="1">
        <f t="array" aca="1" ref="F78" ca="1">OFFSET(E78,-1,1)</f>
        <v>0</v>
      </c>
      <c r="I78" s="154" t="s">
        <v>560</v>
      </c>
      <c r="J78" s="154"/>
      <c r="K78" s="154"/>
      <c r="L78" s="154"/>
      <c r="M78" s="154"/>
      <c r="N78" s="154"/>
      <c r="O78" s="154"/>
      <c r="P78" s="154"/>
      <c r="Q78" s="154"/>
      <c r="R78" s="154"/>
      <c r="S78" s="154"/>
      <c r="T78" s="351" t="b" cm="1">
        <f t="array" aca="1" ref="T78" ca="1">T77</f>
        <v>0</v>
      </c>
      <c r="X78" s="1113"/>
      <c r="Z78" s="1114"/>
      <c r="AB78" s="131" t="s">
        <v>444</v>
      </c>
      <c r="AC78" s="125" t="s">
        <v>1848</v>
      </c>
      <c r="AD78" s="124" t="s">
        <v>859</v>
      </c>
      <c r="AE78" s="126">
        <f ca="1">SUMIFS(Налоги!AE$25:AE$55,Налоги!$F$25:$F$55,$F78,Налоги!$AC$25:$AC$55,"Налоги и платежи, относимые на указанный вид деятельности")</f>
        <v>0</v>
      </c>
      <c r="AF78" s="126">
        <f ca="1">SUMIFS(Налоги!AF$25:AF$55,Налоги!$F$25:$F$55,$F78,Налоги!$AC$25:$AC$55,"Налоги и платежи, относимые на указанный вид деятельности")</f>
        <v>0</v>
      </c>
      <c r="AG78" s="126">
        <f ca="1">SUMIFS(Налоги!AG$25:AG$55,Налоги!$F$25:$F$55,$F78,Налоги!$AC$25:$AC$55,"Налоги и платежи, относимые на указанный вид деятельности")</f>
        <v>0</v>
      </c>
      <c r="AH78" s="126">
        <f t="shared" ca="1" si="3"/>
        <v>0</v>
      </c>
      <c r="AI78" s="126">
        <f ca="1">SUMIFS(Налоги!AH$25:AH$55,Налоги!$F$25:$F$55,$F78,Налоги!$AC$25:$AC$55,"Налоги и платежи, относимые на указанный вид деятельности")</f>
        <v>0</v>
      </c>
      <c r="AJ78" s="126">
        <f ca="1">SUMIFS(Налоги!AI$25:AI$55,Налоги!$F$25:$F$55,$F78,Налоги!$AC$25:$AC$55,"Налоги и платежи, относимые на указанный вид деятельности")</f>
        <v>0</v>
      </c>
      <c r="AK78" s="126">
        <f ca="1">SUMIFS(Налоги!AS$25:AS$55,Налоги!$F$25:$F$55,$F78,Налоги!$AC$25:$AC$55,"Налоги и платежи, относимые на указанный вид деятельности")</f>
        <v>0</v>
      </c>
      <c r="AL78" s="126">
        <f t="shared" ca="1" si="4"/>
        <v>0</v>
      </c>
      <c r="AM78" s="776"/>
      <c r="AN78" s="778" t="str">
        <f ca="1">IF(IFERROR(INDEX(Налоги!$K$26:$L$55,MATCH($F78&amp;"komm",Налоги!$K$26:$K$55,0),2),"")=0,"",IFERROR(INDEX(Налоги!$K$26:$L$55,MATCH($F78&amp;"komm",Налоги!$K$26:$K$55,0),2),""))</f>
        <v/>
      </c>
      <c r="AO78" s="776"/>
      <c r="AR78" s="693" t="s">
        <v>1294</v>
      </c>
      <c r="AS78" s="693"/>
      <c r="AT78" s="693"/>
      <c r="AU78" s="503"/>
      <c r="AV78" s="503"/>
    </row>
    <row r="79" spans="2:48" s="421" customFormat="1" ht="14.65" hidden="1" customHeight="1">
      <c r="E79" s="503">
        <v>15</v>
      </c>
      <c r="F79" s="3" cm="1">
        <f t="array" aca="1" ref="F79" ca="1">OFFSET(E79,-1,1)</f>
        <v>0</v>
      </c>
      <c r="I79" s="154" t="s">
        <v>613</v>
      </c>
      <c r="J79" s="154"/>
      <c r="K79" s="154"/>
      <c r="L79" s="154"/>
      <c r="M79" s="154"/>
      <c r="N79" s="154"/>
      <c r="O79" s="154"/>
      <c r="P79" s="154"/>
      <c r="Q79" s="154"/>
      <c r="R79" s="154"/>
      <c r="S79" s="154"/>
      <c r="T79" s="351" t="b" cm="1">
        <f t="array" aca="1" ref="T79" ca="1">T78</f>
        <v>0</v>
      </c>
      <c r="X79" s="1113"/>
      <c r="Z79" s="1114"/>
      <c r="AB79" s="131" t="s">
        <v>446</v>
      </c>
      <c r="AC79" s="125" t="s">
        <v>1849</v>
      </c>
      <c r="AD79" s="147" t="s">
        <v>859</v>
      </c>
      <c r="AE79" s="126">
        <f ca="1">AE80+AE81+AE82</f>
        <v>0</v>
      </c>
      <c r="AF79" s="126">
        <f ca="1">AF80+AF81+AF82</f>
        <v>0</v>
      </c>
      <c r="AG79" s="126">
        <f ca="1">AG80+AG81+AG82</f>
        <v>0</v>
      </c>
      <c r="AH79" s="126">
        <f t="shared" ca="1" si="3"/>
        <v>0</v>
      </c>
      <c r="AI79" s="126">
        <f ca="1">AI80+AI81+AI82</f>
        <v>0</v>
      </c>
      <c r="AJ79" s="126">
        <f ca="1">AJ80+AJ81+AJ82</f>
        <v>0</v>
      </c>
      <c r="AK79" s="126">
        <f ca="1">AK80+AK81+AK82</f>
        <v>0</v>
      </c>
      <c r="AL79" s="126">
        <f t="shared" ca="1" si="4"/>
        <v>0</v>
      </c>
      <c r="AM79" s="776"/>
      <c r="AN79" s="778"/>
      <c r="AO79" s="776"/>
      <c r="AR79" s="693" t="s">
        <v>1551</v>
      </c>
      <c r="AS79" s="693"/>
      <c r="AT79" s="693"/>
      <c r="AU79" s="503"/>
      <c r="AV79" s="503"/>
    </row>
    <row r="80" spans="2:48" ht="14.65" hidden="1" customHeight="1">
      <c r="E80" s="502">
        <v>15</v>
      </c>
      <c r="F80" s="3" cm="1">
        <f t="array" aca="1" ref="F80" ca="1">OFFSET(E80,-1,1)</f>
        <v>0</v>
      </c>
      <c r="I80" s="38" t="s">
        <v>616</v>
      </c>
      <c r="J80" s="38"/>
      <c r="K80" s="38"/>
      <c r="L80" s="38"/>
      <c r="M80" s="38"/>
      <c r="N80" s="38"/>
      <c r="O80" s="38"/>
      <c r="P80" s="38"/>
      <c r="Q80" s="38"/>
      <c r="R80" s="38"/>
      <c r="S80" s="38"/>
      <c r="T80" s="351" t="b" cm="1">
        <f t="array" aca="1" ref="T80" ca="1">T79</f>
        <v>0</v>
      </c>
      <c r="X80" s="1113"/>
      <c r="Z80" s="1114"/>
      <c r="AB80" s="133" t="s">
        <v>639</v>
      </c>
      <c r="AC80" s="127" t="s">
        <v>1850</v>
      </c>
      <c r="AD80" s="7" t="s">
        <v>859</v>
      </c>
      <c r="AE80" s="128">
        <f ca="1">SUMIFS('ИП + источники'!AF$26:AF$87,'ИП + источники'!$F$26:$F$87,$F80,'ИП + источники'!$AC$26:$AC$87,"погашение займов и кредитов из нормативной прибыли")+SUMIFS('ИП + источники'!AF$26:AF$87,'ИП + источники'!$F$26:$F$87,$F80,'ИП + источники'!$AC$26:$AC$87,"уплата процентов по кредитам из нормативной прибыли")</f>
        <v>0</v>
      </c>
      <c r="AF80" s="128">
        <f ca="1">SUMIFS('ИП + источники'!AG$26:AG$87,'ИП + источники'!$F$26:$F$87,$F80,'ИП + источники'!$AC$26:$AC$87,"погашение займов и кредитов из нормативной прибыли")+SUMIFS('ИП + источники'!AG$26:AG$87,'ИП + источники'!$F$26:$F$87,$F80,'ИП + источники'!$AC$26:$AC$87,"уплата процентов по кредитам из нормативной прибыли")</f>
        <v>0</v>
      </c>
      <c r="AG80" s="128">
        <f ca="1">SUMIFS('ИП + источники'!AH$26:AH$87,'ИП + источники'!$F$26:$F$87,$F80,'ИП + источники'!$AC$26:$AC$87,"погашение займов и кредитов из нормативной прибыли")+SUMIFS('ИП + источники'!AH$26:AH$87,'ИП + источники'!$F$26:$F$87,$F80,'ИП + источники'!$AC$26:$AC$87,"уплата процентов по кредитам из нормативной прибыли")</f>
        <v>0</v>
      </c>
      <c r="AH80" s="170">
        <f t="shared" ca="1" si="3"/>
        <v>0</v>
      </c>
      <c r="AI80" s="128">
        <f ca="1">SUMIFS('ИП + источники'!AJ$26:AJ$87,'ИП + источники'!$F$26:$F$87,$F80,'ИП + источники'!$AC$26:$AC$87,"погашение займов и кредитов из нормативной прибыли")+SUMIFS('ИП + источники'!AJ$26:AJ$87,'ИП + источники'!$F$26:$F$87,$F80,'ИП + источники'!$AC$26:$AC$87,"уплата процентов по кредитам из нормативной прибыли")</f>
        <v>0</v>
      </c>
      <c r="AJ80" s="777">
        <f ca="1">SUMIFS('ИП + источники'!AK$26:AK$87,'ИП + источники'!$F$26:$F$87,$F80,'ИП + источники'!$AC$26:$AC$87,"погашение займов и кредитов из нормативной прибыли")+SUMIFS('ИП + источники'!AK$26:AK$87,'ИП + источники'!$F$26:$F$87,$F80,'ИП + источники'!$AC$26:$AC$87,"уплата процентов по кредитам из нормативной прибыли")</f>
        <v>0</v>
      </c>
      <c r="AK80" s="777">
        <f ca="1">SUMIFS('ИП + источники'!AU$26:AU$87,'ИП + источники'!$F$26:$F$87,$F80,'ИП + источники'!$AC$26:$AC$87,"погашение займов и кредитов из нормативной прибыли")+SUMIFS('ИП + источники'!AU$26:AU$87,'ИП + источники'!$F$26:$F$87,$F80,'ИП + источники'!$AC$26:$AC$87,"уплата процентов по кредитам из нормативной прибыли")</f>
        <v>0</v>
      </c>
      <c r="AL80" s="170">
        <f t="shared" ca="1" si="4"/>
        <v>0</v>
      </c>
      <c r="AM80" s="774"/>
      <c r="AN80" s="778" t="str">
        <f ca="1">IF(IFERROR(INDEX('ИП + источники'!$K$28:$L$87,MATCH($F80&amp;"1komm",'ИП + источники'!$K$28:$K$87,0),2),"")=0,"",IFERROR(INDEX('ИП + источники'!$K$28:$L$87,MATCH($F80&amp;"1komm",'ИП + источники'!$K$28:$K$87,0),2),""))</f>
        <v/>
      </c>
      <c r="AO80" s="774"/>
      <c r="AR80" s="692" t="s">
        <v>1282</v>
      </c>
    </row>
    <row r="81" spans="2:48" ht="14.65" hidden="1" customHeight="1">
      <c r="E81" s="502">
        <v>15</v>
      </c>
      <c r="F81" s="3" cm="1">
        <f t="array" aca="1" ref="F81" ca="1">OFFSET(E81,-1,1)</f>
        <v>0</v>
      </c>
      <c r="I81" s="38" t="s">
        <v>620</v>
      </c>
      <c r="J81" s="38"/>
      <c r="K81" s="38"/>
      <c r="L81" s="38"/>
      <c r="M81" s="38"/>
      <c r="N81" s="38"/>
      <c r="O81" s="38"/>
      <c r="P81" s="38"/>
      <c r="Q81" s="38"/>
      <c r="R81" s="38"/>
      <c r="S81" s="38"/>
      <c r="T81" s="351" t="b" cm="1">
        <f t="array" aca="1" ref="T81" ca="1">T80</f>
        <v>0</v>
      </c>
      <c r="X81" s="1113"/>
      <c r="Z81" s="1114"/>
      <c r="AB81" s="133" t="s">
        <v>656</v>
      </c>
      <c r="AC81" s="127" t="s">
        <v>1851</v>
      </c>
      <c r="AD81" s="7" t="s">
        <v>859</v>
      </c>
      <c r="AE81" s="128">
        <f ca="1">SUMIFS('ИП + источники'!AF$27:AF$87,'ИП + источники'!$F$27:$F$87,$F81,'ИП + источники'!$AC$27:$AC$87,"Прибыль на капвложения")</f>
        <v>0</v>
      </c>
      <c r="AF81" s="128">
        <f ca="1">SUMIFS('ИП + источники'!AG$27:AG$87,'ИП + источники'!$F$27:$F$87,$F81,'ИП + источники'!$AC$27:$AC$87,"Прибыль на капвложения")</f>
        <v>0</v>
      </c>
      <c r="AG81" s="128">
        <f ca="1">SUMIFS('ИП + источники'!AH$27:AH$87,'ИП + источники'!$F$27:$F$87,$F81,'ИП + источники'!$AC$27:$AC$87,"Прибыль на капвложения")</f>
        <v>0</v>
      </c>
      <c r="AH81" s="170">
        <f t="shared" ca="1" si="3"/>
        <v>0</v>
      </c>
      <c r="AI81" s="128">
        <f ca="1">SUMIFS('ИП + источники'!AJ$27:AJ$87,'ИП + источники'!$F$27:$F$87,$F81,'ИП + источники'!$AC$27:$AC$87,"Прибыль на капвложения")</f>
        <v>0</v>
      </c>
      <c r="AJ81" s="777">
        <f ca="1">SUMIFS('ИП + источники'!AK$27:AK$87,'ИП + источники'!$F$27:$F$87,$F81,'ИП + источники'!$AC$27:$AC$87,"Прибыль на капвложения")</f>
        <v>0</v>
      </c>
      <c r="AK81" s="777">
        <f ca="1">SUMIFS('ИП + источники'!AU$27:AU$87,'ИП + источники'!$F$27:$F$87,$F81,'ИП + источники'!$AC$27:$AC$87,"Прибыль на капвложения")</f>
        <v>0</v>
      </c>
      <c r="AL81" s="170">
        <f t="shared" ca="1" si="4"/>
        <v>0</v>
      </c>
      <c r="AM81" s="774"/>
      <c r="AN81" s="778" t="str">
        <f ca="1">IF(IFERROR(INDEX('ИП + источники'!$K$28:$L$87,MATCH($F81&amp;"2komm",'ИП + источники'!$K$28:$K$87,0),2),"")=0,"",IFERROR(INDEX('ИП + источники'!$K$28:$L$87,MATCH($F81&amp;"2komm",'ИП + источники'!$K$28:$K$87,0),2),""))</f>
        <v/>
      </c>
      <c r="AO81" s="774"/>
      <c r="AR81" s="692" t="s">
        <v>1852</v>
      </c>
    </row>
    <row r="82" spans="2:48" ht="21.95" hidden="1" customHeight="1">
      <c r="E82" s="502">
        <v>22.5</v>
      </c>
      <c r="F82" s="3" cm="1">
        <f t="array" aca="1" ref="F82" ca="1">OFFSET(E82,-1,1)</f>
        <v>0</v>
      </c>
      <c r="I82" s="38" t="s">
        <v>624</v>
      </c>
      <c r="J82" s="38"/>
      <c r="K82" s="38"/>
      <c r="L82" s="38"/>
      <c r="M82" s="38"/>
      <c r="N82" s="38"/>
      <c r="O82" s="38"/>
      <c r="P82" s="38"/>
      <c r="Q82" s="38"/>
      <c r="R82" s="38"/>
      <c r="S82" s="38"/>
      <c r="T82" s="351" t="b" cm="1">
        <f t="array" aca="1" ref="T82" ca="1">T81</f>
        <v>0</v>
      </c>
      <c r="X82" s="1113"/>
      <c r="Z82" s="1114"/>
      <c r="AB82" s="133" t="s">
        <v>668</v>
      </c>
      <c r="AC82" s="127" t="s">
        <v>1853</v>
      </c>
      <c r="AD82" s="7" t="s">
        <v>859</v>
      </c>
      <c r="AE82" s="128"/>
      <c r="AF82" s="128"/>
      <c r="AG82" s="128"/>
      <c r="AH82" s="170"/>
      <c r="AI82" s="128"/>
      <c r="AJ82" s="777"/>
      <c r="AK82" s="777"/>
      <c r="AL82" s="170">
        <f t="shared" si="4"/>
        <v>0</v>
      </c>
      <c r="AM82" s="774"/>
      <c r="AN82" s="774"/>
      <c r="AO82" s="774"/>
      <c r="AR82" s="692" t="s">
        <v>1854</v>
      </c>
    </row>
    <row r="83" spans="2:48" s="421" customFormat="1" ht="21.95" hidden="1" customHeight="1">
      <c r="B83" s="421" t="b">
        <f>STATUS_GO="да"</f>
        <v>1</v>
      </c>
      <c r="E83" s="503">
        <v>22.5</v>
      </c>
      <c r="F83" s="3" cm="1">
        <f t="array" aca="1" ref="F83" ca="1">OFFSET(E83,-1,1)</f>
        <v>0</v>
      </c>
      <c r="I83" s="154" t="s">
        <v>628</v>
      </c>
      <c r="J83" s="154"/>
      <c r="K83" s="154"/>
      <c r="L83" s="154"/>
      <c r="M83" s="154"/>
      <c r="N83" s="154"/>
      <c r="O83" s="154"/>
      <c r="P83" s="154"/>
      <c r="Q83" s="154"/>
      <c r="R83" s="154"/>
      <c r="S83" s="154"/>
      <c r="T83" s="351" t="b" cm="1">
        <f t="array" aca="1" ref="T83" ca="1">T82</f>
        <v>0</v>
      </c>
      <c r="X83" s="1113"/>
      <c r="Z83" s="1114"/>
      <c r="AB83" s="131" t="s">
        <v>448</v>
      </c>
      <c r="AC83" s="132" t="s">
        <v>1855</v>
      </c>
      <c r="AD83" s="124" t="s">
        <v>859</v>
      </c>
      <c r="AE83" s="138"/>
      <c r="AF83" s="138"/>
      <c r="AG83" s="138"/>
      <c r="AH83" s="126">
        <f>AG83-AF83</f>
        <v>0</v>
      </c>
      <c r="AI83" s="138"/>
      <c r="AJ83" s="773"/>
      <c r="AK83" s="773"/>
      <c r="AL83" s="126">
        <f t="shared" si="4"/>
        <v>0</v>
      </c>
      <c r="AM83" s="776"/>
      <c r="AN83" s="776"/>
      <c r="AO83" s="776"/>
      <c r="AR83" s="693" t="s">
        <v>1856</v>
      </c>
      <c r="AS83" s="693"/>
      <c r="AT83" s="693"/>
      <c r="AU83" s="503"/>
      <c r="AV83" s="503"/>
    </row>
    <row r="84" spans="2:48" ht="14.65" hidden="1" customHeight="1">
      <c r="E84" s="502">
        <v>15</v>
      </c>
      <c r="F84" s="3" cm="1">
        <f t="array" aca="1" ref="F84" ca="1">OFFSET(E84,-1,1)</f>
        <v>0</v>
      </c>
      <c r="I84" s="38" t="s">
        <v>635</v>
      </c>
      <c r="J84" s="38"/>
      <c r="K84" s="38"/>
      <c r="L84" s="38"/>
      <c r="M84" s="38"/>
      <c r="N84" s="38"/>
      <c r="O84" s="38"/>
      <c r="P84" s="38"/>
      <c r="Q84" s="38"/>
      <c r="R84" s="38"/>
      <c r="S84" s="38"/>
      <c r="T84" s="351" t="b" cm="1">
        <f t="array" aca="1" ref="T84" ca="1">T83</f>
        <v>0</v>
      </c>
      <c r="X84" s="1113"/>
      <c r="Z84" s="1114"/>
      <c r="AB84" s="133" t="s">
        <v>450</v>
      </c>
      <c r="AC84" s="345" t="s">
        <v>1506</v>
      </c>
      <c r="AD84" s="7" t="s">
        <v>859</v>
      </c>
      <c r="AE84" s="128"/>
      <c r="AF84" s="128"/>
      <c r="AG84" s="128"/>
      <c r="AH84" s="170"/>
      <c r="AI84" s="129"/>
      <c r="AJ84" s="129"/>
      <c r="AK84" s="129"/>
      <c r="AL84" s="170">
        <f t="shared" si="4"/>
        <v>0</v>
      </c>
      <c r="AM84" s="774"/>
      <c r="AN84" s="774"/>
      <c r="AO84" s="774"/>
      <c r="AR84" s="692" t="s">
        <v>1857</v>
      </c>
    </row>
    <row r="85" spans="2:48" ht="101.25" hidden="1" customHeight="1">
      <c r="E85" s="502">
        <v>0</v>
      </c>
      <c r="F85" s="3" cm="1">
        <f t="array" aca="1" ref="F85" ca="1">OFFSET(E85,-1,1)</f>
        <v>0</v>
      </c>
      <c r="H85" s="38" t="b">
        <f>ISERR(SEARCH("Водоснабжение",AB27))</f>
        <v>1</v>
      </c>
      <c r="I85" s="38" t="s">
        <v>792</v>
      </c>
      <c r="J85" s="38"/>
      <c r="K85" s="38"/>
      <c r="L85" s="38"/>
      <c r="M85" s="38"/>
      <c r="N85" s="38"/>
      <c r="O85" s="38"/>
      <c r="P85" s="38"/>
      <c r="Q85" s="38"/>
      <c r="R85" s="38"/>
      <c r="S85" s="38"/>
      <c r="T85" s="351" t="b" cm="1">
        <f t="array" aca="1" ref="T85" ca="1">T84</f>
        <v>0</v>
      </c>
      <c r="X85" s="1113"/>
      <c r="Z85" s="1114"/>
      <c r="AB85" s="133" t="s">
        <v>452</v>
      </c>
      <c r="AC85" s="345" t="s">
        <v>1858</v>
      </c>
      <c r="AD85" s="9" t="s">
        <v>859</v>
      </c>
      <c r="AE85" s="128"/>
      <c r="AF85" s="128"/>
      <c r="AG85" s="128"/>
      <c r="AH85" s="170">
        <f t="shared" ref="AH85:AH100" si="5">AG85-AF85</f>
        <v>0</v>
      </c>
      <c r="AI85" s="128"/>
      <c r="AJ85" s="777"/>
      <c r="AK85" s="777">
        <f ca="1">IFERROR(SUMIFS('Плата за негативное возд'!$AL$25:$AL$32,'Плата за негативное возд'!$F$25:$F$32,F85,'Плата за негативное возд'!$G$25:$G$32,"1"),0)</f>
        <v>0</v>
      </c>
      <c r="AL85" s="170">
        <f t="shared" si="4"/>
        <v>0</v>
      </c>
      <c r="AM85" s="774"/>
      <c r="AN85" s="774"/>
      <c r="AO85" s="774"/>
      <c r="AR85" s="692" t="s">
        <v>1408</v>
      </c>
    </row>
    <row r="86" spans="2:48" ht="67.5" hidden="1" customHeight="1">
      <c r="E86" s="502">
        <v>0</v>
      </c>
      <c r="F86" s="3" cm="1">
        <f t="array" aca="1" ref="F86" ca="1">OFFSET(E86,-1,1)</f>
        <v>0</v>
      </c>
      <c r="H86" s="38" t="b">
        <f>ISERR(SEARCH("Водоснабжение",AB27))</f>
        <v>1</v>
      </c>
      <c r="I86" s="38" t="s">
        <v>794</v>
      </c>
      <c r="J86" s="38"/>
      <c r="K86" s="38"/>
      <c r="L86" s="38"/>
      <c r="M86" s="38"/>
      <c r="N86" s="38"/>
      <c r="O86" s="38"/>
      <c r="P86" s="38"/>
      <c r="Q86" s="38"/>
      <c r="R86" s="38"/>
      <c r="S86" s="38"/>
      <c r="T86" s="351" t="b" cm="1">
        <f t="array" aca="1" ref="T86" ca="1">T85</f>
        <v>0</v>
      </c>
      <c r="X86" s="1113"/>
      <c r="Z86" s="1114"/>
      <c r="AB86" s="133" t="s">
        <v>454</v>
      </c>
      <c r="AC86" s="345" t="s">
        <v>1859</v>
      </c>
      <c r="AD86" s="9" t="s">
        <v>859</v>
      </c>
      <c r="AE86" s="128"/>
      <c r="AF86" s="128"/>
      <c r="AG86" s="128"/>
      <c r="AH86" s="170">
        <f t="shared" si="5"/>
        <v>0</v>
      </c>
      <c r="AI86" s="128"/>
      <c r="AJ86" s="777"/>
      <c r="AK86" s="777">
        <f ca="1">IFERROR(SUMIFS('Плата за негативное возд'!$AL$25:$AL$32,'Плата за негативное возд'!$F$25:$F$32,F86,'Плата за негативное возд'!$G$25:$G$32,"2"),0)</f>
        <v>0</v>
      </c>
      <c r="AL86" s="170">
        <f t="shared" si="4"/>
        <v>0</v>
      </c>
      <c r="AM86" s="774"/>
      <c r="AN86" s="774"/>
      <c r="AO86" s="774"/>
      <c r="AR86" s="692" t="s">
        <v>1412</v>
      </c>
    </row>
    <row r="87" spans="2:48" ht="14.65" hidden="1" customHeight="1">
      <c r="E87" s="502">
        <v>15</v>
      </c>
      <c r="F87" s="3" cm="1">
        <f t="array" aca="1" ref="F87" ca="1">OFFSET(E87,-1,1)</f>
        <v>0</v>
      </c>
      <c r="I87" s="38" t="s">
        <v>837</v>
      </c>
      <c r="J87" s="38"/>
      <c r="K87" s="38"/>
      <c r="L87" s="38"/>
      <c r="M87" s="38"/>
      <c r="N87" s="38"/>
      <c r="O87" s="38"/>
      <c r="P87" s="38"/>
      <c r="Q87" s="38"/>
      <c r="R87" s="38"/>
      <c r="S87" s="38"/>
      <c r="T87" s="351" t="b" cm="1">
        <f t="array" aca="1" ref="T87" ca="1">T86</f>
        <v>0</v>
      </c>
      <c r="X87" s="1113"/>
      <c r="Z87" s="1114"/>
      <c r="AB87" s="133" t="s">
        <v>456</v>
      </c>
      <c r="AC87" s="245" t="s">
        <v>1860</v>
      </c>
      <c r="AD87" s="7" t="s">
        <v>859</v>
      </c>
      <c r="AE87" s="128"/>
      <c r="AF87" s="128"/>
      <c r="AG87" s="128"/>
      <c r="AH87" s="170">
        <f t="shared" si="5"/>
        <v>0</v>
      </c>
      <c r="AI87" s="128"/>
      <c r="AJ87" s="777"/>
      <c r="AK87" s="777"/>
      <c r="AL87" s="170">
        <f t="shared" si="4"/>
        <v>0</v>
      </c>
      <c r="AM87" s="774"/>
      <c r="AN87" s="774"/>
      <c r="AO87" s="774"/>
      <c r="AR87" s="692" t="s">
        <v>1248</v>
      </c>
    </row>
    <row r="88" spans="2:48" s="421" customFormat="1" ht="21.95" hidden="1" customHeight="1">
      <c r="E88" s="503">
        <v>22.5</v>
      </c>
      <c r="F88" s="3" cm="1">
        <f t="array" aca="1" ref="F88" ca="1">OFFSET(E88,-1,1)</f>
        <v>0</v>
      </c>
      <c r="I88" s="154" t="s">
        <v>838</v>
      </c>
      <c r="J88" s="154"/>
      <c r="K88" s="154"/>
      <c r="L88" s="154"/>
      <c r="M88" s="154"/>
      <c r="N88" s="154"/>
      <c r="O88" s="154"/>
      <c r="P88" s="154"/>
      <c r="Q88" s="154"/>
      <c r="R88" s="154"/>
      <c r="S88" s="154"/>
      <c r="T88" s="351" t="b" cm="1">
        <f t="array" aca="1" ref="T88" ca="1">T87</f>
        <v>0</v>
      </c>
      <c r="X88" s="1113"/>
      <c r="Z88" s="1114"/>
      <c r="AB88" s="131" t="s">
        <v>460</v>
      </c>
      <c r="AC88" s="125" t="s">
        <v>1861</v>
      </c>
      <c r="AD88" s="124" t="s">
        <v>859</v>
      </c>
      <c r="AE88" s="126">
        <f>AE89+AE90</f>
        <v>0</v>
      </c>
      <c r="AF88" s="126">
        <f>AF89+AF90</f>
        <v>0</v>
      </c>
      <c r="AG88" s="126">
        <f>AG89+AG90</f>
        <v>0</v>
      </c>
      <c r="AH88" s="126">
        <f t="shared" si="5"/>
        <v>0</v>
      </c>
      <c r="AI88" s="126">
        <f>AI89+AI90</f>
        <v>0</v>
      </c>
      <c r="AJ88" s="126">
        <f>AJ89+AJ90</f>
        <v>0</v>
      </c>
      <c r="AK88" s="126">
        <f>AK89+AK90</f>
        <v>0</v>
      </c>
      <c r="AL88" s="126">
        <f t="shared" si="4"/>
        <v>0</v>
      </c>
      <c r="AM88" s="776"/>
      <c r="AN88" s="776"/>
      <c r="AO88" s="776"/>
      <c r="AR88" s="693" t="s">
        <v>1589</v>
      </c>
      <c r="AS88" s="693"/>
      <c r="AT88" s="693"/>
      <c r="AU88" s="503"/>
      <c r="AV88" s="503"/>
    </row>
    <row r="89" spans="2:48" ht="21.95" hidden="1" customHeight="1">
      <c r="E89" s="502">
        <v>22.5</v>
      </c>
      <c r="F89" s="3" cm="1">
        <f t="array" aca="1" ref="F89" ca="1">OFFSET(E89,-1,1)</f>
        <v>0</v>
      </c>
      <c r="I89" s="38" t="s">
        <v>1862</v>
      </c>
      <c r="J89" s="38"/>
      <c r="K89" s="38"/>
      <c r="L89" s="38"/>
      <c r="M89" s="38"/>
      <c r="N89" s="38"/>
      <c r="O89" s="38"/>
      <c r="P89" s="38"/>
      <c r="Q89" s="38"/>
      <c r="R89" s="38"/>
      <c r="S89" s="38"/>
      <c r="T89" s="351" t="b" cm="1">
        <f t="array" aca="1" ref="T89" ca="1">T88</f>
        <v>0</v>
      </c>
      <c r="X89" s="1113"/>
      <c r="Z89" s="1114"/>
      <c r="AB89" s="133" t="s">
        <v>1863</v>
      </c>
      <c r="AC89" s="548" t="s">
        <v>1590</v>
      </c>
      <c r="AD89" s="7" t="s">
        <v>859</v>
      </c>
      <c r="AE89" s="128"/>
      <c r="AF89" s="128"/>
      <c r="AG89" s="128"/>
      <c r="AH89" s="170">
        <f t="shared" si="5"/>
        <v>0</v>
      </c>
      <c r="AI89" s="128"/>
      <c r="AJ89" s="777"/>
      <c r="AK89" s="777"/>
      <c r="AL89" s="170">
        <f t="shared" si="4"/>
        <v>0</v>
      </c>
      <c r="AM89" s="774"/>
      <c r="AN89" s="774"/>
      <c r="AO89" s="774"/>
      <c r="AR89" s="692" t="s">
        <v>1628</v>
      </c>
    </row>
    <row r="90" spans="2:48" ht="21.95" hidden="1" customHeight="1">
      <c r="E90" s="502">
        <v>22.5</v>
      </c>
      <c r="F90" s="3" cm="1">
        <f t="array" aca="1" ref="F90" ca="1">OFFSET(E90,-1,1)</f>
        <v>0</v>
      </c>
      <c r="I90" s="38" t="s">
        <v>1864</v>
      </c>
      <c r="J90" s="38"/>
      <c r="K90" s="38"/>
      <c r="L90" s="38"/>
      <c r="M90" s="38"/>
      <c r="N90" s="38"/>
      <c r="O90" s="38"/>
      <c r="P90" s="38"/>
      <c r="Q90" s="38"/>
      <c r="R90" s="38"/>
      <c r="S90" s="38"/>
      <c r="T90" s="351" t="b" cm="1">
        <f t="array" aca="1" ref="T90" ca="1">T89</f>
        <v>0</v>
      </c>
      <c r="X90" s="1113"/>
      <c r="Z90" s="1114"/>
      <c r="AB90" s="133" t="s">
        <v>1865</v>
      </c>
      <c r="AC90" s="548" t="s">
        <v>1592</v>
      </c>
      <c r="AD90" s="7" t="s">
        <v>859</v>
      </c>
      <c r="AE90" s="128"/>
      <c r="AF90" s="128"/>
      <c r="AG90" s="128"/>
      <c r="AH90" s="170">
        <f t="shared" si="5"/>
        <v>0</v>
      </c>
      <c r="AI90" s="128"/>
      <c r="AJ90" s="777"/>
      <c r="AK90" s="777"/>
      <c r="AL90" s="170">
        <f t="shared" si="4"/>
        <v>0</v>
      </c>
      <c r="AM90" s="774"/>
      <c r="AN90" s="774"/>
      <c r="AO90" s="774"/>
      <c r="AR90" s="692" t="s">
        <v>1866</v>
      </c>
    </row>
    <row r="91" spans="2:48" ht="14.65" hidden="1" customHeight="1">
      <c r="E91" s="502">
        <v>15</v>
      </c>
      <c r="F91" s="3" cm="1">
        <f t="array" aca="1" ref="F91" ca="1">OFFSET(E91,-1,1)</f>
        <v>0</v>
      </c>
      <c r="I91" s="38" t="s">
        <v>1867</v>
      </c>
      <c r="J91" s="38"/>
      <c r="K91" s="38"/>
      <c r="L91" s="38"/>
      <c r="M91" s="38"/>
      <c r="N91" s="38"/>
      <c r="O91" s="38"/>
      <c r="P91" s="38"/>
      <c r="Q91" s="38"/>
      <c r="R91" s="38"/>
      <c r="S91" s="38"/>
      <c r="T91" s="351" t="b" cm="1">
        <f t="array" aca="1" ref="T91" ca="1">T90</f>
        <v>0</v>
      </c>
      <c r="X91" s="1113"/>
      <c r="Z91" s="1114"/>
      <c r="AB91" s="549" t="s">
        <v>330</v>
      </c>
      <c r="AC91" s="555" t="s">
        <v>1594</v>
      </c>
      <c r="AD91" s="7" t="s">
        <v>859</v>
      </c>
      <c r="AE91" s="128"/>
      <c r="AF91" s="128"/>
      <c r="AG91" s="128"/>
      <c r="AH91" s="170">
        <f t="shared" si="5"/>
        <v>0</v>
      </c>
      <c r="AI91" s="128"/>
      <c r="AJ91" s="777"/>
      <c r="AK91" s="777"/>
      <c r="AL91" s="170">
        <f t="shared" si="4"/>
        <v>0</v>
      </c>
      <c r="AM91" s="774"/>
      <c r="AN91" s="774"/>
      <c r="AO91" s="774"/>
      <c r="AR91" s="692" t="s">
        <v>1595</v>
      </c>
    </row>
    <row r="92" spans="2:48" ht="14.65" hidden="1" customHeight="1">
      <c r="E92" s="502">
        <v>15</v>
      </c>
      <c r="F92" s="3" cm="1">
        <f t="array" aca="1" ref="F92" ca="1">OFFSET(E92,-1,1)</f>
        <v>0</v>
      </c>
      <c r="I92" s="38" t="s">
        <v>1868</v>
      </c>
      <c r="J92" s="38"/>
      <c r="K92" s="38"/>
      <c r="L92" s="38"/>
      <c r="M92" s="38"/>
      <c r="N92" s="38"/>
      <c r="O92" s="38"/>
      <c r="P92" s="38"/>
      <c r="Q92" s="38"/>
      <c r="R92" s="38"/>
      <c r="S92" s="38"/>
      <c r="T92" s="351" t="b" cm="1">
        <f t="array" aca="1" ref="T92" ca="1">T91</f>
        <v>0</v>
      </c>
      <c r="X92" s="1113"/>
      <c r="Z92" s="1114"/>
      <c r="AB92" s="549" t="s">
        <v>465</v>
      </c>
      <c r="AC92" s="555" t="s">
        <v>1596</v>
      </c>
      <c r="AD92" s="7" t="s">
        <v>859</v>
      </c>
      <c r="AE92" s="128"/>
      <c r="AF92" s="128"/>
      <c r="AG92" s="128"/>
      <c r="AH92" s="170">
        <f t="shared" si="5"/>
        <v>0</v>
      </c>
      <c r="AI92" s="128"/>
      <c r="AJ92" s="777"/>
      <c r="AK92" s="777"/>
      <c r="AL92" s="170">
        <f t="shared" si="4"/>
        <v>0</v>
      </c>
      <c r="AM92" s="774"/>
      <c r="AN92" s="774"/>
      <c r="AO92" s="774"/>
      <c r="AR92" s="692" t="s">
        <v>1597</v>
      </c>
    </row>
    <row r="93" spans="2:48" s="421" customFormat="1" ht="14.65" hidden="1" customHeight="1">
      <c r="E93" s="503">
        <v>15</v>
      </c>
      <c r="F93" s="3" cm="1">
        <f t="array" aca="1" ref="F93" ca="1">OFFSET(E93,-1,1)</f>
        <v>0</v>
      </c>
      <c r="I93" s="154" t="s">
        <v>1869</v>
      </c>
      <c r="J93" s="154"/>
      <c r="K93" s="154"/>
      <c r="L93" s="154"/>
      <c r="M93" s="154"/>
      <c r="N93" s="154"/>
      <c r="O93" s="154"/>
      <c r="P93" s="154"/>
      <c r="Q93" s="154"/>
      <c r="R93" s="154"/>
      <c r="S93" s="154"/>
      <c r="T93" s="351" t="b" cm="1">
        <f t="array" aca="1" ref="T93" ca="1">T92</f>
        <v>0</v>
      </c>
      <c r="X93" s="1113"/>
      <c r="Z93" s="1114"/>
      <c r="AB93" s="131" t="s">
        <v>468</v>
      </c>
      <c r="AC93" s="125" t="s">
        <v>1870</v>
      </c>
      <c r="AD93" s="124" t="s">
        <v>859</v>
      </c>
      <c r="AE93" s="126">
        <f ca="1">AE28+AE56+AE61+AE74+AE75+AE77+AE78+AE79+AE83+AE84-AE85-AE86+AE87-AE88+AE91+AE92</f>
        <v>0</v>
      </c>
      <c r="AF93" s="126">
        <f ca="1">AF28+AF56+AF61+AF74+AF75+AF77+AF78+AF79+AF83+AF84-AF85-AF86+AF87-AF88+AF91+AF92</f>
        <v>0</v>
      </c>
      <c r="AG93" s="126">
        <f ca="1">AG28+AG56+AG61+AG74+AG75+AG77+AG78+AG79+AG83+AG84-AG85-AG86+AG87-AG88+AG91+AG92</f>
        <v>0</v>
      </c>
      <c r="AH93" s="126">
        <f t="shared" ca="1" si="5"/>
        <v>0</v>
      </c>
      <c r="AI93" s="126">
        <f ca="1">AI28+AI56+AI61+AI74+AI75+AI77+AI78+AI79+AI83+AI84-AI85-AI86+AI87-AI88+AI91+AI92</f>
        <v>0</v>
      </c>
      <c r="AJ93" s="126">
        <f ca="1">AJ28+AJ56+AJ61+AJ74+AJ75+AJ77+AJ78+AJ79+AJ83+AJ84-AJ85-AJ86+AJ87-AJ88+AJ91+AJ92</f>
        <v>0</v>
      </c>
      <c r="AK93" s="126">
        <f ca="1">AK28+AK56+AK61+AK74+AK75+AK77+AK78+AK79+AK83+AK84-AK85-AK86+AK87-AK88+AK91+AK92</f>
        <v>0</v>
      </c>
      <c r="AL93" s="126">
        <f t="shared" ca="1" si="4"/>
        <v>0</v>
      </c>
      <c r="AM93" s="776"/>
      <c r="AN93" s="776"/>
      <c r="AO93" s="776"/>
      <c r="AR93" s="693" t="s">
        <v>1871</v>
      </c>
      <c r="AS93" s="693"/>
      <c r="AT93" s="693"/>
      <c r="AU93" s="503"/>
      <c r="AV93" s="503"/>
    </row>
    <row r="94" spans="2:48" ht="15" hidden="1" customHeight="1">
      <c r="B94" s="277" t="b">
        <f>G27="двухставочный"</f>
        <v>0</v>
      </c>
      <c r="E94" s="502">
        <v>0</v>
      </c>
      <c r="F94" s="3" cm="1">
        <f t="array" aca="1" ref="F94" ca="1">OFFSET(E94,-1,1)</f>
        <v>0</v>
      </c>
      <c r="I94" s="38" t="s">
        <v>1872</v>
      </c>
      <c r="J94" s="38"/>
      <c r="K94" s="38"/>
      <c r="L94" s="38"/>
      <c r="M94" s="38"/>
      <c r="N94" s="38"/>
      <c r="O94" s="38"/>
      <c r="P94" s="38"/>
      <c r="Q94" s="38"/>
      <c r="R94" s="38"/>
      <c r="S94" s="38"/>
      <c r="T94" s="351" t="b" cm="1">
        <f t="array" aca="1" ref="T94" ca="1">T93</f>
        <v>0</v>
      </c>
      <c r="X94" s="1113"/>
      <c r="Z94" s="1114"/>
      <c r="AB94" s="133" t="s">
        <v>1873</v>
      </c>
      <c r="AC94" s="548" t="s">
        <v>1874</v>
      </c>
      <c r="AD94" s="7" t="s">
        <v>859</v>
      </c>
      <c r="AE94" s="128"/>
      <c r="AF94" s="128"/>
      <c r="AG94" s="128"/>
      <c r="AH94" s="170">
        <f t="shared" si="5"/>
        <v>0</v>
      </c>
      <c r="AI94" s="128"/>
      <c r="AJ94" s="777"/>
      <c r="AK94" s="777"/>
      <c r="AL94" s="170">
        <f t="shared" si="4"/>
        <v>0</v>
      </c>
      <c r="AM94" s="774"/>
      <c r="AN94" s="774"/>
      <c r="AO94" s="774"/>
      <c r="AR94" s="692" t="s">
        <v>1875</v>
      </c>
    </row>
    <row r="95" spans="2:48" ht="15" hidden="1" customHeight="1">
      <c r="B95" s="277" t="b">
        <f>G27="двухставочный"</f>
        <v>0</v>
      </c>
      <c r="E95" s="502">
        <v>0</v>
      </c>
      <c r="F95" s="3" cm="1">
        <f t="array" aca="1" ref="F95" ca="1">OFFSET(E95,-1,1)</f>
        <v>0</v>
      </c>
      <c r="I95" s="38" t="s">
        <v>1876</v>
      </c>
      <c r="J95" s="38"/>
      <c r="K95" s="38"/>
      <c r="L95" s="38"/>
      <c r="M95" s="38"/>
      <c r="N95" s="38"/>
      <c r="O95" s="38"/>
      <c r="P95" s="38"/>
      <c r="Q95" s="38"/>
      <c r="R95" s="38"/>
      <c r="S95" s="38"/>
      <c r="T95" s="351" t="b" cm="1">
        <f t="array" aca="1" ref="T95" ca="1">T94</f>
        <v>0</v>
      </c>
      <c r="X95" s="1113"/>
      <c r="Z95" s="1114"/>
      <c r="AB95" s="133" t="s">
        <v>1877</v>
      </c>
      <c r="AC95" s="548" t="s">
        <v>1878</v>
      </c>
      <c r="AD95" s="7" t="s">
        <v>859</v>
      </c>
      <c r="AE95" s="128"/>
      <c r="AF95" s="128"/>
      <c r="AG95" s="128"/>
      <c r="AH95" s="170">
        <f t="shared" si="5"/>
        <v>0</v>
      </c>
      <c r="AI95" s="128"/>
      <c r="AJ95" s="777"/>
      <c r="AK95" s="777"/>
      <c r="AL95" s="170">
        <f t="shared" si="4"/>
        <v>0</v>
      </c>
      <c r="AM95" s="774"/>
      <c r="AN95" s="774"/>
      <c r="AO95" s="774"/>
      <c r="AR95" s="692" t="s">
        <v>1879</v>
      </c>
    </row>
    <row r="96" spans="2:48" s="421" customFormat="1" ht="14.65" hidden="1" customHeight="1">
      <c r="E96" s="503">
        <v>15</v>
      </c>
      <c r="F96" s="3" cm="1">
        <f t="array" aca="1" ref="F96" ca="1">OFFSET(E96,-1,1)</f>
        <v>0</v>
      </c>
      <c r="G96" s="72" t="s">
        <v>1656</v>
      </c>
      <c r="I96" s="154" t="s">
        <v>1880</v>
      </c>
      <c r="J96" s="154"/>
      <c r="K96" s="154"/>
      <c r="L96" s="154"/>
      <c r="M96" s="154"/>
      <c r="N96" s="154"/>
      <c r="O96" s="154"/>
      <c r="P96" s="154"/>
      <c r="Q96" s="154"/>
      <c r="R96" s="154"/>
      <c r="S96" s="154"/>
      <c r="T96" s="351" t="b" cm="1">
        <f t="array" aca="1" ref="T96" ca="1">T95</f>
        <v>0</v>
      </c>
      <c r="X96" s="1113"/>
      <c r="Z96" s="1114"/>
      <c r="AB96" s="131" t="s">
        <v>470</v>
      </c>
      <c r="AC96" s="125" t="s">
        <v>1881</v>
      </c>
      <c r="AD96" s="124" t="s">
        <v>585</v>
      </c>
      <c r="AE96" s="550">
        <f ca="1">SUMIFS(Баланс!AE$26:AE$209,Баланс!$F$26:$F$209,$F96,Баланс!$G$26:$G$209,"ПО")</f>
        <v>0</v>
      </c>
      <c r="AF96" s="550">
        <f ca="1">SUMIFS(Баланс!AF$26:AF$209,Баланс!$F$26:$F$209,$F96,Баланс!$G$26:$G$209,"ПО")</f>
        <v>0</v>
      </c>
      <c r="AG96" s="550">
        <f ca="1">SUMIFS(Баланс!AG$26:AG$209,Баланс!$F$26:$F$209,$F96,Баланс!$G$26:$G$209,"ПО")</f>
        <v>0</v>
      </c>
      <c r="AH96" s="550">
        <f t="shared" ca="1" si="5"/>
        <v>0</v>
      </c>
      <c r="AI96" s="550">
        <f ca="1">SUMIFS(Баланс!AH$26:AH$209,Баланс!$F$26:$F$209,$F96,Баланс!$G$26:$G$209,"ПО")</f>
        <v>0</v>
      </c>
      <c r="AJ96" s="550">
        <f ca="1">SUMIFS(Баланс!AI$26:AI$209,Баланс!$F$26:$F$209,$F96,Баланс!$G$26:$G$209,"ПО")</f>
        <v>0</v>
      </c>
      <c r="AK96" s="550">
        <f ca="1">SUMIFS(Баланс!AS$26:AS$209,Баланс!$F$26:$F$209,$F96,Баланс!$G$26:$G$209,"ПО")</f>
        <v>0</v>
      </c>
      <c r="AL96" s="129"/>
      <c r="AM96" s="776"/>
      <c r="AN96" s="776"/>
      <c r="AO96" s="776"/>
      <c r="AR96" s="693" t="s">
        <v>1882</v>
      </c>
      <c r="AS96" s="693"/>
      <c r="AT96" s="693"/>
      <c r="AU96" s="503"/>
      <c r="AV96" s="503"/>
    </row>
    <row r="97" spans="5:48" ht="14.65" hidden="1" customHeight="1">
      <c r="E97" s="502">
        <v>15</v>
      </c>
      <c r="F97" s="3" cm="1">
        <f t="array" aca="1" ref="F97" ca="1">OFFSET(E97,-1,1)</f>
        <v>0</v>
      </c>
      <c r="G97" s="72" t="s">
        <v>1683</v>
      </c>
      <c r="I97" s="38" t="s">
        <v>1883</v>
      </c>
      <c r="J97" s="38"/>
      <c r="K97" s="38"/>
      <c r="L97" s="38"/>
      <c r="M97" s="38"/>
      <c r="N97" s="38"/>
      <c r="O97" s="38"/>
      <c r="P97" s="38"/>
      <c r="Q97" s="38"/>
      <c r="R97" s="38"/>
      <c r="S97" s="38"/>
      <c r="T97" s="351" t="b" cm="1">
        <f t="array" aca="1" ref="T97" ca="1">T96</f>
        <v>0</v>
      </c>
      <c r="X97" s="1113"/>
      <c r="Z97" s="1114"/>
      <c r="AB97" s="133" t="s">
        <v>1884</v>
      </c>
      <c r="AC97" s="127" t="s">
        <v>1885</v>
      </c>
      <c r="AD97" s="7" t="s">
        <v>585</v>
      </c>
      <c r="AE97" s="442">
        <f ca="1">AE96/2</f>
        <v>0</v>
      </c>
      <c r="AF97" s="442">
        <f ca="1">AF96/2</f>
        <v>0</v>
      </c>
      <c r="AG97" s="442">
        <f ca="1">AG96/2</f>
        <v>0</v>
      </c>
      <c r="AH97" s="556">
        <f t="shared" ca="1" si="5"/>
        <v>0</v>
      </c>
      <c r="AI97" s="442">
        <f ca="1">AI96/2</f>
        <v>0</v>
      </c>
      <c r="AJ97" s="775">
        <f ca="1">IF(god=2026,AJ96/12*9,AJ96/2)</f>
        <v>0</v>
      </c>
      <c r="AK97" s="775">
        <f ca="1">IF(god=2026,AK96/12*9,AK96/2)</f>
        <v>0</v>
      </c>
      <c r="AL97" s="540"/>
      <c r="AM97" s="774"/>
      <c r="AN97" s="774"/>
      <c r="AO97" s="774"/>
      <c r="AR97" s="692" t="s">
        <v>1886</v>
      </c>
    </row>
    <row r="98" spans="5:48" ht="14.65" hidden="1" customHeight="1">
      <c r="E98" s="502">
        <v>15</v>
      </c>
      <c r="F98" s="3" cm="1">
        <f t="array" aca="1" ref="F98" ca="1">OFFSET(E98,-1,1)</f>
        <v>0</v>
      </c>
      <c r="G98" s="72" t="s">
        <v>1644</v>
      </c>
      <c r="I98" s="38" t="s">
        <v>1887</v>
      </c>
      <c r="J98" s="38"/>
      <c r="K98" s="38"/>
      <c r="L98" s="38"/>
      <c r="M98" s="38"/>
      <c r="N98" s="38"/>
      <c r="O98" s="38"/>
      <c r="P98" s="38"/>
      <c r="Q98" s="38"/>
      <c r="R98" s="38"/>
      <c r="S98" s="38"/>
      <c r="T98" s="351" t="b" cm="1">
        <f t="array" aca="1" ref="T98" ca="1">T97</f>
        <v>0</v>
      </c>
      <c r="X98" s="1113"/>
      <c r="Z98" s="1114"/>
      <c r="AB98" s="133" t="s">
        <v>1888</v>
      </c>
      <c r="AC98" s="127" t="s">
        <v>1889</v>
      </c>
      <c r="AD98" s="7" t="s">
        <v>1647</v>
      </c>
      <c r="AE98" s="128"/>
      <c r="AF98" s="128"/>
      <c r="AG98" s="128"/>
      <c r="AH98" s="170">
        <f t="shared" si="5"/>
        <v>0</v>
      </c>
      <c r="AI98" s="128"/>
      <c r="AJ98" s="777"/>
      <c r="AK98" s="777"/>
      <c r="AL98" s="540"/>
      <c r="AM98" s="774"/>
      <c r="AN98" s="774"/>
      <c r="AO98" s="774"/>
      <c r="AR98" s="692" t="s">
        <v>1890</v>
      </c>
    </row>
    <row r="99" spans="5:48" ht="14.65" hidden="1" customHeight="1">
      <c r="E99" s="502">
        <v>15</v>
      </c>
      <c r="F99" s="3" cm="1">
        <f t="array" aca="1" ref="F99" ca="1">OFFSET(E99,-1,1)</f>
        <v>0</v>
      </c>
      <c r="G99" s="72" t="s">
        <v>1696</v>
      </c>
      <c r="I99" s="38" t="s">
        <v>1891</v>
      </c>
      <c r="J99" s="38"/>
      <c r="K99" s="38"/>
      <c r="L99" s="38"/>
      <c r="M99" s="38"/>
      <c r="N99" s="38"/>
      <c r="O99" s="38"/>
      <c r="P99" s="38"/>
      <c r="Q99" s="38"/>
      <c r="R99" s="38"/>
      <c r="S99" s="38"/>
      <c r="T99" s="351" t="b" cm="1">
        <f t="array" aca="1" ref="T99" ca="1">T98</f>
        <v>0</v>
      </c>
      <c r="X99" s="1113"/>
      <c r="Z99" s="1114"/>
      <c r="AB99" s="133" t="s">
        <v>1892</v>
      </c>
      <c r="AC99" s="127" t="s">
        <v>1893</v>
      </c>
      <c r="AD99" s="7" t="s">
        <v>585</v>
      </c>
      <c r="AE99" s="556">
        <f ca="1">AE96-AE97</f>
        <v>0</v>
      </c>
      <c r="AF99" s="556">
        <f ca="1">AF96-AF97</f>
        <v>0</v>
      </c>
      <c r="AG99" s="556">
        <f ca="1">AG96-AG97</f>
        <v>0</v>
      </c>
      <c r="AH99" s="556">
        <f t="shared" ca="1" si="5"/>
        <v>0</v>
      </c>
      <c r="AI99" s="556">
        <f ca="1">AI96-AI97</f>
        <v>0</v>
      </c>
      <c r="AJ99" s="556">
        <f ca="1">AJ96-AJ97</f>
        <v>0</v>
      </c>
      <c r="AK99" s="556">
        <f ca="1">AK96-AK97</f>
        <v>0</v>
      </c>
      <c r="AL99" s="540"/>
      <c r="AM99" s="774"/>
      <c r="AN99" s="774"/>
      <c r="AO99" s="774"/>
      <c r="AR99" s="692" t="s">
        <v>1894</v>
      </c>
    </row>
    <row r="100" spans="5:48" ht="14.65" hidden="1" customHeight="1">
      <c r="E100" s="502">
        <v>15</v>
      </c>
      <c r="F100" s="3" cm="1">
        <f t="array" aca="1" ref="F100" ca="1">OFFSET(E100,-1,1)</f>
        <v>0</v>
      </c>
      <c r="G100" s="72" t="s">
        <v>1649</v>
      </c>
      <c r="I100" s="38" t="s">
        <v>1895</v>
      </c>
      <c r="J100" s="38"/>
      <c r="K100" s="38"/>
      <c r="L100" s="38"/>
      <c r="M100" s="38"/>
      <c r="N100" s="38"/>
      <c r="O100" s="38"/>
      <c r="P100" s="38"/>
      <c r="Q100" s="38"/>
      <c r="R100" s="38"/>
      <c r="S100" s="38"/>
      <c r="T100" s="351" t="b" cm="1">
        <f t="array" aca="1" ref="T100" ca="1">T99</f>
        <v>0</v>
      </c>
      <c r="X100" s="1113"/>
      <c r="Z100" s="1114"/>
      <c r="AB100" s="133" t="s">
        <v>1896</v>
      </c>
      <c r="AC100" s="127" t="s">
        <v>1897</v>
      </c>
      <c r="AD100" s="7" t="s">
        <v>1647</v>
      </c>
      <c r="AE100" s="128">
        <f ca="1">IF(AE99=0,0,(AE93-AE97*AE98)/AE99)</f>
        <v>0</v>
      </c>
      <c r="AF100" s="128">
        <f ca="1">IF(AF99=0,0,(AF93-AF97*AF98)/AF99)</f>
        <v>0</v>
      </c>
      <c r="AG100" s="128">
        <f ca="1">IF(AG99=0,0,(AG93-AG97*AG98)/AG99)</f>
        <v>0</v>
      </c>
      <c r="AH100" s="170">
        <f t="shared" ca="1" si="5"/>
        <v>0</v>
      </c>
      <c r="AI100" s="128">
        <f ca="1">IF(AI99=0,0,(AI93-AI97*AI98)/AI99)</f>
        <v>0</v>
      </c>
      <c r="AJ100" s="777">
        <f ca="1">IF(AJ99=0,0,(AJ93-AJ97*AJ98)/AJ99)</f>
        <v>0</v>
      </c>
      <c r="AK100" s="777">
        <f ca="1">IF(AK99=0,0,(AK93-AK97*AK98)/AK99)</f>
        <v>0</v>
      </c>
      <c r="AL100" s="540"/>
      <c r="AM100" s="774"/>
      <c r="AN100" s="774"/>
      <c r="AO100" s="774"/>
      <c r="AR100" s="692" t="s">
        <v>1898</v>
      </c>
    </row>
    <row r="101" spans="5:48" ht="14.65" hidden="1" customHeight="1">
      <c r="E101" s="502">
        <v>15</v>
      </c>
      <c r="F101" s="3" cm="1">
        <f t="array" aca="1" ref="F101" ca="1">OFFSET(E101,-1,1)</f>
        <v>0</v>
      </c>
      <c r="G101" s="72"/>
      <c r="I101" s="38" t="s">
        <v>1899</v>
      </c>
      <c r="J101" s="38"/>
      <c r="K101" s="38"/>
      <c r="L101" s="38"/>
      <c r="M101" s="38"/>
      <c r="N101" s="38"/>
      <c r="O101" s="38"/>
      <c r="P101" s="38"/>
      <c r="Q101" s="38"/>
      <c r="R101" s="38"/>
      <c r="S101" s="38"/>
      <c r="T101" s="351" t="b" cm="1">
        <f t="array" aca="1" ref="T101" ca="1">T100</f>
        <v>0</v>
      </c>
      <c r="X101" s="1113"/>
      <c r="Z101" s="1114"/>
      <c r="AB101" s="133" t="s">
        <v>1900</v>
      </c>
      <c r="AC101" s="127" t="s">
        <v>1901</v>
      </c>
      <c r="AD101" s="7" t="s">
        <v>501</v>
      </c>
      <c r="AE101" s="170">
        <f>IF(AE98=0,0,AE100/AE98*100)</f>
        <v>0</v>
      </c>
      <c r="AF101" s="170">
        <f>IF(AF98=0,0,AF100/AF98*100)</f>
        <v>0</v>
      </c>
      <c r="AG101" s="170">
        <f>IF(AG98=0,0,AG100/AG98*100)</f>
        <v>0</v>
      </c>
      <c r="AH101" s="540"/>
      <c r="AI101" s="170">
        <f>IF(AI98=0,0,AI100/AI98*100)</f>
        <v>0</v>
      </c>
      <c r="AJ101" s="170">
        <f>IF(AJ98=0,0,AJ100/AJ98*100)</f>
        <v>0</v>
      </c>
      <c r="AK101" s="170">
        <f>IF(AK98=0,0,AK100/AK98*100)</f>
        <v>0</v>
      </c>
      <c r="AL101" s="540"/>
      <c r="AM101" s="774"/>
      <c r="AN101" s="774"/>
      <c r="AO101" s="774"/>
      <c r="AR101" s="692" t="s">
        <v>1902</v>
      </c>
    </row>
    <row r="102" spans="5:48" ht="14.65" hidden="1" customHeight="1">
      <c r="E102" s="502">
        <v>15</v>
      </c>
      <c r="F102" s="3" cm="1">
        <f t="array" aca="1" ref="F102" ca="1">OFFSET(E102,-1,1)</f>
        <v>0</v>
      </c>
      <c r="G102" s="72"/>
      <c r="I102" s="38" t="s">
        <v>1903</v>
      </c>
      <c r="J102" s="38"/>
      <c r="K102" s="38"/>
      <c r="L102" s="38"/>
      <c r="M102" s="38"/>
      <c r="N102" s="38"/>
      <c r="O102" s="38"/>
      <c r="P102" s="38"/>
      <c r="Q102" s="38"/>
      <c r="R102" s="38"/>
      <c r="S102" s="38"/>
      <c r="T102" s="351" t="b" cm="1">
        <f t="array" aca="1" ref="T102" ca="1">T101</f>
        <v>0</v>
      </c>
      <c r="X102" s="1113"/>
      <c r="Z102" s="1114"/>
      <c r="AB102" s="133" t="s">
        <v>1904</v>
      </c>
      <c r="AC102" s="127" t="s">
        <v>1905</v>
      </c>
      <c r="AD102" s="7" t="s">
        <v>1647</v>
      </c>
      <c r="AE102" s="128">
        <f ca="1">IF(AE96=0,0,AE93/AE96)</f>
        <v>0</v>
      </c>
      <c r="AF102" s="128">
        <f ca="1">IF(AF96=0,0,AF93/AF96)</f>
        <v>0</v>
      </c>
      <c r="AG102" s="128">
        <f ca="1">IF(AG96=0,0,AG93/AG96)</f>
        <v>0</v>
      </c>
      <c r="AH102" s="170">
        <f ca="1">AG102-AF102</f>
        <v>0</v>
      </c>
      <c r="AI102" s="128">
        <f ca="1">IF(AI96=0,0,AI93/AI96)</f>
        <v>0</v>
      </c>
      <c r="AJ102" s="777">
        <f ca="1">IF(AJ96=0,0,AJ93/AJ96)</f>
        <v>0</v>
      </c>
      <c r="AK102" s="777">
        <f ca="1">IF(AK96=0,0,AK93/AK96)</f>
        <v>0</v>
      </c>
      <c r="AL102" s="540"/>
      <c r="AM102" s="774"/>
      <c r="AN102" s="774"/>
      <c r="AO102" s="774"/>
      <c r="AR102" s="692" t="s">
        <v>1906</v>
      </c>
    </row>
    <row r="103" spans="5:48" s="421" customFormat="1" ht="14.65" hidden="1" customHeight="1">
      <c r="E103" s="503">
        <v>15</v>
      </c>
      <c r="F103" s="3" cm="1">
        <f t="array" aca="1" ref="F103" ca="1">OFFSET(E103,-1,1)</f>
        <v>0</v>
      </c>
      <c r="G103" s="76"/>
      <c r="I103" s="154" t="s">
        <v>1907</v>
      </c>
      <c r="J103" s="154"/>
      <c r="K103" s="154"/>
      <c r="L103" s="154"/>
      <c r="M103" s="154"/>
      <c r="N103" s="154"/>
      <c r="O103" s="154"/>
      <c r="P103" s="154"/>
      <c r="Q103" s="154"/>
      <c r="R103" s="154"/>
      <c r="S103" s="154"/>
      <c r="T103" s="351" t="b" cm="1">
        <f t="array" aca="1" ref="T103" ca="1">T102</f>
        <v>0</v>
      </c>
      <c r="X103" s="1113"/>
      <c r="Z103" s="1114"/>
      <c r="AB103" s="131" t="s">
        <v>472</v>
      </c>
      <c r="AC103" s="125" t="s">
        <v>1908</v>
      </c>
      <c r="AD103" s="124" t="s">
        <v>859</v>
      </c>
      <c r="AE103" s="138">
        <f ca="1">IF(AE96=0,0,AE93/AE96*AE104)</f>
        <v>0</v>
      </c>
      <c r="AF103" s="138">
        <f ca="1">IF(AF96=0,0,AF93/AF96*AF104)</f>
        <v>0</v>
      </c>
      <c r="AG103" s="138">
        <f ca="1">IF(AG96=0,0,AG93/AG96*AG104)</f>
        <v>0</v>
      </c>
      <c r="AH103" s="126">
        <f ca="1">AH105*AH106+AH107*AH108</f>
        <v>0</v>
      </c>
      <c r="AI103" s="138">
        <f ca="1">IF(AI96=0,0,AI93/AI96*AI104)</f>
        <v>0</v>
      </c>
      <c r="AJ103" s="773">
        <f ca="1">IF(AJ96=0,0,AJ93/AJ96*AJ104)</f>
        <v>0</v>
      </c>
      <c r="AK103" s="773">
        <f ca="1">IF(AK96=0,0,AK93/AK96*AK104)</f>
        <v>0</v>
      </c>
      <c r="AL103" s="126">
        <f ca="1">IF(AI103=0,0,(AK103-AI103)/AI103*100)</f>
        <v>0</v>
      </c>
      <c r="AM103" s="776"/>
      <c r="AN103" s="776"/>
      <c r="AO103" s="776"/>
      <c r="AR103" s="693" t="s">
        <v>1909</v>
      </c>
      <c r="AS103" s="693"/>
      <c r="AT103" s="693"/>
      <c r="AU103" s="503"/>
      <c r="AV103" s="503"/>
    </row>
    <row r="104" spans="5:48" s="421" customFormat="1" ht="14.65" hidden="1" customHeight="1">
      <c r="E104" s="503">
        <v>15</v>
      </c>
      <c r="F104" s="3" cm="1">
        <f t="array" aca="1" ref="F104" ca="1">OFFSET(E104,-1,1)</f>
        <v>0</v>
      </c>
      <c r="G104" s="72" t="s">
        <v>1669</v>
      </c>
      <c r="I104" s="154" t="s">
        <v>1910</v>
      </c>
      <c r="J104" s="154"/>
      <c r="K104" s="154"/>
      <c r="L104" s="154"/>
      <c r="M104" s="154"/>
      <c r="N104" s="154"/>
      <c r="O104" s="154"/>
      <c r="P104" s="154"/>
      <c r="Q104" s="154"/>
      <c r="R104" s="154"/>
      <c r="S104" s="154"/>
      <c r="T104" s="351" t="b" cm="1">
        <f t="array" aca="1" ref="T104" ca="1">T103</f>
        <v>0</v>
      </c>
      <c r="X104" s="1113"/>
      <c r="Z104" s="1114"/>
      <c r="AB104" s="131" t="s">
        <v>475</v>
      </c>
      <c r="AC104" s="125" t="s">
        <v>1911</v>
      </c>
      <c r="AD104" s="124" t="s">
        <v>585</v>
      </c>
      <c r="AE104" s="550">
        <f ca="1">SUMIFS(Баланс!AE$26:AE$209,Баланс!$F$26:$F$209,$F104,Баланс!$G$26:$G$209,"население")</f>
        <v>0</v>
      </c>
      <c r="AF104" s="550">
        <f ca="1">SUMIFS(Баланс!AF$26:AF$209,Баланс!$F$26:$F$209,$F104,Баланс!$G$26:$G$209,"население")</f>
        <v>0</v>
      </c>
      <c r="AG104" s="550">
        <f ca="1">SUMIFS(Баланс!AG$26:AG$209,Баланс!$F$26:$F$209,$F104,Баланс!$G$26:$G$209,"население")</f>
        <v>0</v>
      </c>
      <c r="AH104" s="550">
        <f t="shared" ref="AH104:AH111" ca="1" si="6">AG104-AF104</f>
        <v>0</v>
      </c>
      <c r="AI104" s="550">
        <f ca="1">SUMIFS(Баланс!AH$26:AH$209,Баланс!$F$26:$F$209,$F104,Баланс!$G$26:$G$209,"население")</f>
        <v>0</v>
      </c>
      <c r="AJ104" s="550">
        <f ca="1">SUMIFS(Баланс!AI$26:AI$209,Баланс!$F$26:$F$209,$F104,Баланс!$G$26:$G$209,"население")</f>
        <v>0</v>
      </c>
      <c r="AK104" s="550">
        <f ca="1">SUMIFS(Баланс!AS$26:AS$209,Баланс!$F$26:$F$209,$F104,Баланс!$G$26:$G$209,"население")</f>
        <v>0</v>
      </c>
      <c r="AL104" s="129"/>
      <c r="AM104" s="776"/>
      <c r="AN104" s="776"/>
      <c r="AO104" s="776"/>
      <c r="AR104" s="693" t="s">
        <v>1912</v>
      </c>
      <c r="AS104" s="693"/>
      <c r="AT104" s="693"/>
      <c r="AU104" s="503"/>
      <c r="AV104" s="503"/>
    </row>
    <row r="105" spans="5:48" ht="14.65" hidden="1" customHeight="1">
      <c r="E105" s="502">
        <v>15</v>
      </c>
      <c r="F105" s="3" cm="1">
        <f t="array" aca="1" ref="F105" ca="1">OFFSET(E105,-1,1)</f>
        <v>0</v>
      </c>
      <c r="G105" s="72" t="s">
        <v>1703</v>
      </c>
      <c r="I105" s="38" t="s">
        <v>1913</v>
      </c>
      <c r="J105" s="38"/>
      <c r="K105" s="38"/>
      <c r="L105" s="38"/>
      <c r="M105" s="38"/>
      <c r="N105" s="38"/>
      <c r="O105" s="38"/>
      <c r="P105" s="38"/>
      <c r="Q105" s="38"/>
      <c r="R105" s="38"/>
      <c r="S105" s="38"/>
      <c r="T105" s="351" t="b" cm="1">
        <f t="array" aca="1" ref="T105" ca="1">T104</f>
        <v>0</v>
      </c>
      <c r="X105" s="1113"/>
      <c r="Z105" s="1114"/>
      <c r="AB105" s="133" t="s">
        <v>1914</v>
      </c>
      <c r="AC105" s="127" t="s">
        <v>1915</v>
      </c>
      <c r="AD105" s="7" t="s">
        <v>585</v>
      </c>
      <c r="AE105" s="442">
        <f ca="1">AE104/2</f>
        <v>0</v>
      </c>
      <c r="AF105" s="442">
        <f ca="1">AF104/2</f>
        <v>0</v>
      </c>
      <c r="AG105" s="442">
        <f ca="1">AG104/2</f>
        <v>0</v>
      </c>
      <c r="AH105" s="556">
        <f t="shared" ca="1" si="6"/>
        <v>0</v>
      </c>
      <c r="AI105" s="442">
        <f ca="1">AI104/2</f>
        <v>0</v>
      </c>
      <c r="AJ105" s="775">
        <f ca="1">IF(god=2026,AJ104/12*9,AJ104/2)</f>
        <v>0</v>
      </c>
      <c r="AK105" s="775">
        <f ca="1">IF(god=2026,AK104/12*9,AK104/2)</f>
        <v>0</v>
      </c>
      <c r="AL105" s="540"/>
      <c r="AM105" s="774"/>
      <c r="AN105" s="774"/>
      <c r="AO105" s="774"/>
      <c r="AR105" s="692" t="s">
        <v>1916</v>
      </c>
    </row>
    <row r="106" spans="5:48" ht="14.65" hidden="1" customHeight="1">
      <c r="E106" s="502">
        <v>15</v>
      </c>
      <c r="F106" s="3" cm="1">
        <f t="array" aca="1" ref="F106" ca="1">OFFSET(E106,-1,1)</f>
        <v>0</v>
      </c>
      <c r="G106" s="72" t="s">
        <v>1659</v>
      </c>
      <c r="I106" s="38" t="s">
        <v>1917</v>
      </c>
      <c r="J106" s="38"/>
      <c r="K106" s="38"/>
      <c r="L106" s="38"/>
      <c r="M106" s="38"/>
      <c r="N106" s="38"/>
      <c r="O106" s="38"/>
      <c r="P106" s="38"/>
      <c r="Q106" s="38"/>
      <c r="R106" s="38"/>
      <c r="S106" s="38"/>
      <c r="T106" s="351" t="b" cm="1">
        <f t="array" aca="1" ref="T106" ca="1">T105</f>
        <v>0</v>
      </c>
      <c r="X106" s="1113"/>
      <c r="Z106" s="1114"/>
      <c r="AB106" s="133" t="s">
        <v>1918</v>
      </c>
      <c r="AC106" s="127" t="s">
        <v>1919</v>
      </c>
      <c r="AD106" s="7" t="s">
        <v>1647</v>
      </c>
      <c r="AE106" s="128">
        <f ca="1">IF(AE104=0,0,AE98*(1+Сценарии!AE$26))</f>
        <v>0</v>
      </c>
      <c r="AF106" s="128">
        <f ca="1">IF(AF104=0,0,AF98*(1+Сценарии!AF$26))</f>
        <v>0</v>
      </c>
      <c r="AG106" s="128">
        <f ca="1">IF(AG104=0,0,AG98*(1+Сценарии!AG$26))</f>
        <v>0</v>
      </c>
      <c r="AH106" s="170">
        <f t="shared" ca="1" si="6"/>
        <v>0</v>
      </c>
      <c r="AI106" s="128">
        <f ca="1">IF(AI104=0,0,AI98*(1+Сценарии!AI$26))</f>
        <v>0</v>
      </c>
      <c r="AJ106" s="777">
        <f ca="1">IF(AJ104=0,0,AJ98*(1+Сценарии!AJ$26))</f>
        <v>0</v>
      </c>
      <c r="AK106" s="777">
        <f ca="1">IF(AK104=0,0,AK98*(1+Сценарии!AK$26))</f>
        <v>0</v>
      </c>
      <c r="AL106" s="540"/>
      <c r="AM106" s="774"/>
      <c r="AN106" s="774"/>
      <c r="AO106" s="774"/>
      <c r="AR106" s="692" t="s">
        <v>1920</v>
      </c>
    </row>
    <row r="107" spans="5:48" ht="14.65" hidden="1" customHeight="1">
      <c r="E107" s="502">
        <v>15</v>
      </c>
      <c r="F107" s="3" cm="1">
        <f t="array" aca="1" ref="F107" ca="1">OFFSET(E107,-1,1)</f>
        <v>0</v>
      </c>
      <c r="G107" s="72" t="s">
        <v>1710</v>
      </c>
      <c r="I107" s="38" t="s">
        <v>1921</v>
      </c>
      <c r="J107" s="38"/>
      <c r="K107" s="38"/>
      <c r="L107" s="38"/>
      <c r="M107" s="38"/>
      <c r="N107" s="38"/>
      <c r="O107" s="38"/>
      <c r="P107" s="38"/>
      <c r="Q107" s="38"/>
      <c r="R107" s="38"/>
      <c r="S107" s="38"/>
      <c r="T107" s="351" t="b" cm="1">
        <f t="array" aca="1" ref="T107" ca="1">T106</f>
        <v>0</v>
      </c>
      <c r="X107" s="1113"/>
      <c r="Z107" s="1114"/>
      <c r="AB107" s="133" t="s">
        <v>1922</v>
      </c>
      <c r="AC107" s="127" t="s">
        <v>1893</v>
      </c>
      <c r="AD107" s="7" t="s">
        <v>585</v>
      </c>
      <c r="AE107" s="556">
        <f ca="1">AE104-AE105</f>
        <v>0</v>
      </c>
      <c r="AF107" s="556">
        <f ca="1">AF104-AF105</f>
        <v>0</v>
      </c>
      <c r="AG107" s="556">
        <f ca="1">AG104-AG105</f>
        <v>0</v>
      </c>
      <c r="AH107" s="556">
        <f t="shared" ca="1" si="6"/>
        <v>0</v>
      </c>
      <c r="AI107" s="556">
        <f ca="1">AI104-AI105</f>
        <v>0</v>
      </c>
      <c r="AJ107" s="556">
        <f ca="1">AJ104-AJ105</f>
        <v>0</v>
      </c>
      <c r="AK107" s="556">
        <f ca="1">AK104-AK105</f>
        <v>0</v>
      </c>
      <c r="AL107" s="540"/>
      <c r="AM107" s="774"/>
      <c r="AN107" s="774"/>
      <c r="AO107" s="774"/>
      <c r="AR107" s="692" t="s">
        <v>1923</v>
      </c>
    </row>
    <row r="108" spans="5:48" ht="14.65" hidden="1" customHeight="1">
      <c r="E108" s="502">
        <v>15</v>
      </c>
      <c r="F108" s="3" cm="1">
        <f t="array" aca="1" ref="F108" ca="1">OFFSET(E108,-1,1)</f>
        <v>0</v>
      </c>
      <c r="G108" s="72" t="s">
        <v>1663</v>
      </c>
      <c r="I108" s="38" t="s">
        <v>1924</v>
      </c>
      <c r="J108" s="38"/>
      <c r="K108" s="38"/>
      <c r="L108" s="38"/>
      <c r="M108" s="38"/>
      <c r="N108" s="38"/>
      <c r="O108" s="38"/>
      <c r="P108" s="38"/>
      <c r="Q108" s="38"/>
      <c r="R108" s="38"/>
      <c r="S108" s="38"/>
      <c r="T108" s="351" t="b" cm="1">
        <f t="array" aca="1" ref="T108" ca="1">T107</f>
        <v>0</v>
      </c>
      <c r="X108" s="1113"/>
      <c r="Z108" s="1114"/>
      <c r="AB108" s="133" t="s">
        <v>1925</v>
      </c>
      <c r="AC108" s="127" t="s">
        <v>1926</v>
      </c>
      <c r="AD108" s="7" t="s">
        <v>1647</v>
      </c>
      <c r="AE108" s="128">
        <f ca="1">IF(AE104=0,0,AE100*(1+Сценарии!AE$26))</f>
        <v>0</v>
      </c>
      <c r="AF108" s="128">
        <f ca="1">IF(AF104=0,0,AF100*(1+Сценарии!AF$26))</f>
        <v>0</v>
      </c>
      <c r="AG108" s="128">
        <f ca="1">IF(AG104=0,0,AG100*(1+Сценарии!AG$26))</f>
        <v>0</v>
      </c>
      <c r="AH108" s="170">
        <f t="shared" ca="1" si="6"/>
        <v>0</v>
      </c>
      <c r="AI108" s="128">
        <f ca="1">IF(AI104=0,0,AI100*(1+Сценарии!AI$26))</f>
        <v>0</v>
      </c>
      <c r="AJ108" s="777">
        <f ca="1">IF(AJ104=0,0,AJ100*(1+Сценарии!AJ$26))</f>
        <v>0</v>
      </c>
      <c r="AK108" s="777">
        <f ca="1">IF(AK104=0,0,AK100*(1+Сценарии!AK$26))</f>
        <v>0</v>
      </c>
      <c r="AL108" s="540"/>
      <c r="AM108" s="774"/>
      <c r="AN108" s="774"/>
      <c r="AO108" s="774"/>
      <c r="AR108" s="692" t="s">
        <v>1927</v>
      </c>
    </row>
    <row r="109" spans="5:48" ht="14.65" hidden="1" customHeight="1">
      <c r="E109" s="502">
        <v>15</v>
      </c>
      <c r="F109" s="3" cm="1">
        <f t="array" aca="1" ref="F109" ca="1">OFFSET(E109,-1,1)</f>
        <v>0</v>
      </c>
      <c r="G109" s="72"/>
      <c r="I109" s="38"/>
      <c r="J109" s="38"/>
      <c r="K109" s="38"/>
      <c r="L109" s="38"/>
      <c r="M109" s="38"/>
      <c r="N109" s="38"/>
      <c r="O109" s="38"/>
      <c r="P109" s="38"/>
      <c r="Q109" s="38"/>
      <c r="R109" s="38"/>
      <c r="S109" s="38"/>
      <c r="T109" s="351" t="b" cm="1">
        <f t="array" aca="1" ref="T109" ca="1">T108</f>
        <v>0</v>
      </c>
      <c r="X109" s="1113"/>
      <c r="Z109" s="1114"/>
      <c r="AB109" s="131" t="s">
        <v>478</v>
      </c>
      <c r="AC109" s="125" t="s">
        <v>1928</v>
      </c>
      <c r="AD109" s="124" t="s">
        <v>859</v>
      </c>
      <c r="AE109" s="128"/>
      <c r="AF109" s="128"/>
      <c r="AG109" s="128"/>
      <c r="AH109" s="170">
        <f t="shared" si="6"/>
        <v>0</v>
      </c>
      <c r="AI109" s="128"/>
      <c r="AJ109" s="777"/>
      <c r="AK109" s="777"/>
      <c r="AL109" s="540"/>
      <c r="AM109" s="774"/>
      <c r="AN109" s="774"/>
      <c r="AO109" s="774"/>
      <c r="AR109" s="692" t="s">
        <v>1929</v>
      </c>
    </row>
    <row r="110" spans="5:48" ht="21.95" hidden="1" customHeight="1">
      <c r="E110" s="502">
        <v>22.5</v>
      </c>
      <c r="F110" s="3" cm="1">
        <f t="array" aca="1" ref="F110" ca="1">OFFSET(E110,-1,1)</f>
        <v>0</v>
      </c>
      <c r="G110" s="72"/>
      <c r="I110" s="38"/>
      <c r="J110" s="38"/>
      <c r="K110" s="38"/>
      <c r="L110" s="38"/>
      <c r="M110" s="38"/>
      <c r="N110" s="38"/>
      <c r="O110" s="38"/>
      <c r="P110" s="38"/>
      <c r="Q110" s="38"/>
      <c r="R110" s="38"/>
      <c r="S110" s="38"/>
      <c r="T110" s="351" t="b" cm="1">
        <f t="array" aca="1" ref="T110" ca="1">T109</f>
        <v>0</v>
      </c>
      <c r="X110" s="1113"/>
      <c r="Z110" s="1114"/>
      <c r="AB110" s="133" t="s">
        <v>1930</v>
      </c>
      <c r="AC110" s="127" t="s">
        <v>1931</v>
      </c>
      <c r="AD110" s="7" t="s">
        <v>859</v>
      </c>
      <c r="AE110" s="128"/>
      <c r="AF110" s="128"/>
      <c r="AG110" s="128"/>
      <c r="AH110" s="170">
        <f t="shared" si="6"/>
        <v>0</v>
      </c>
      <c r="AI110" s="128"/>
      <c r="AJ110" s="777"/>
      <c r="AK110" s="777"/>
      <c r="AL110" s="540"/>
      <c r="AM110" s="774"/>
      <c r="AN110" s="774"/>
      <c r="AO110" s="774"/>
      <c r="AR110" s="692" t="s">
        <v>1932</v>
      </c>
    </row>
    <row r="111" spans="5:48" ht="70.150000000000006" hidden="1" customHeight="1">
      <c r="E111" s="502">
        <v>72</v>
      </c>
      <c r="F111" s="3" cm="1">
        <f t="array" aca="1" ref="F111" ca="1">OFFSET(E111,-1,1)</f>
        <v>0</v>
      </c>
      <c r="G111" s="72"/>
      <c r="I111" s="38"/>
      <c r="J111" s="38"/>
      <c r="K111" s="38"/>
      <c r="L111" s="38"/>
      <c r="M111" s="38"/>
      <c r="N111" s="38"/>
      <c r="O111" s="38"/>
      <c r="P111" s="38"/>
      <c r="Q111" s="38"/>
      <c r="R111" s="38"/>
      <c r="S111" s="38"/>
      <c r="T111" s="351" t="b" cm="1">
        <f t="array" aca="1" ref="T111" ca="1">T110</f>
        <v>0</v>
      </c>
      <c r="X111" s="1113"/>
      <c r="Z111" s="1114"/>
      <c r="AB111" s="133" t="s">
        <v>1933</v>
      </c>
      <c r="AC111" s="127" t="s">
        <v>1934</v>
      </c>
      <c r="AD111" s="7" t="s">
        <v>859</v>
      </c>
      <c r="AE111" s="128"/>
      <c r="AF111" s="128"/>
      <c r="AG111" s="128"/>
      <c r="AH111" s="170">
        <f t="shared" si="6"/>
        <v>0</v>
      </c>
      <c r="AI111" s="128"/>
      <c r="AJ111" s="777"/>
      <c r="AK111" s="777"/>
      <c r="AL111" s="540"/>
      <c r="AM111" s="774"/>
      <c r="AN111" s="774"/>
      <c r="AO111" s="774"/>
      <c r="AR111" s="692" t="s">
        <v>1935</v>
      </c>
    </row>
    <row r="112" spans="5:48" ht="14.25" customHeight="1">
      <c r="E112" s="502">
        <v>15</v>
      </c>
      <c r="F112" s="17" t="str" cm="1">
        <f t="array" ref="F112">X112</f>
        <v>1</v>
      </c>
      <c r="G112" s="17" t="str" cm="1">
        <f t="array" ref="G112">INDEX('Общие сведения'!$AK$179:$AK$208,MATCH($X112,'Общие сведения'!$Z$179:$Z$208,0))</f>
        <v>одноставочный</v>
      </c>
      <c r="T112" s="351" t="b">
        <f>X112&gt;0</f>
        <v>1</v>
      </c>
      <c r="V112" s="277" t="str" cm="1">
        <f t="array" ref="V112">ТМ!$AD$85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112" s="1113" t="s">
        <v>277</v>
      </c>
      <c r="Z112" s="1114"/>
      <c r="AB112" s="97" t="str" cm="1">
        <f t="array" ref="AB112">ТМ!$AD$85</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112" s="164"/>
      <c r="AD112" s="164"/>
      <c r="AE112" s="164"/>
      <c r="AF112" s="164"/>
      <c r="AG112" s="164"/>
      <c r="AH112" s="164"/>
      <c r="AI112" s="164"/>
      <c r="AJ112" s="164"/>
      <c r="AK112" s="164"/>
      <c r="AL112" s="164"/>
      <c r="AM112" s="164"/>
      <c r="AN112" s="164"/>
      <c r="AO112" s="164"/>
    </row>
    <row r="113" spans="1:48" ht="14.25" customHeight="1">
      <c r="E113" s="502">
        <v>15</v>
      </c>
      <c r="F113" s="3" t="str" cm="1">
        <f t="array" aca="1" ref="F113" ca="1">OFFSET(E113,-1,1)</f>
        <v>1</v>
      </c>
      <c r="I113" s="38" t="s">
        <v>321</v>
      </c>
      <c r="J113" s="38"/>
      <c r="K113" s="38"/>
      <c r="L113" s="38"/>
      <c r="M113" s="38"/>
      <c r="N113" s="38"/>
      <c r="O113" s="38"/>
      <c r="P113" s="38"/>
      <c r="Q113" s="38"/>
      <c r="R113" s="38"/>
      <c r="S113" s="38"/>
      <c r="T113" s="351" t="b" cm="1">
        <f t="array" ref="T113">T112</f>
        <v>1</v>
      </c>
      <c r="X113" s="1113"/>
      <c r="Z113" s="1114"/>
      <c r="AB113" s="160" t="s">
        <v>277</v>
      </c>
      <c r="AC113" s="132" t="s">
        <v>1739</v>
      </c>
      <c r="AD113" s="9" t="s">
        <v>859</v>
      </c>
      <c r="AE113" s="126">
        <f ca="1">AE114+AE118+AE128+AE129+AE132+AE133+AE134</f>
        <v>8070.9299999999985</v>
      </c>
      <c r="AF113" s="126">
        <f ca="1">AF114+AF118+AF128+AF129+AF132+AF133+AF134</f>
        <v>16184.310000000001</v>
      </c>
      <c r="AG113" s="126">
        <f ca="1">AG114+AG118+AG128+AG129+AG132+AG133+AG134</f>
        <v>16191.362940000001</v>
      </c>
      <c r="AH113" s="126">
        <f t="shared" ref="AH113:AH141" ca="1" si="7">AG113-AF113</f>
        <v>7.0529399999995803</v>
      </c>
      <c r="AI113" s="126">
        <f ca="1">AI114+AI118+AI128+AI129+AI132+AI133+AI134</f>
        <v>198563.39777692797</v>
      </c>
      <c r="AJ113" s="126">
        <f ca="1">AJ114+AJ118+AJ128+AJ129+AJ132+AJ133+AJ134</f>
        <v>203782.33860640001</v>
      </c>
      <c r="AK113" s="126">
        <f ca="1">AK114+AK118+AK128+AK129+AK132+AK133+AK134</f>
        <v>202682.70660640002</v>
      </c>
      <c r="AL113" s="170">
        <f t="shared" ref="AL113:AL141" ca="1" si="8">IF(AI113=0,0,(AK113-AI113)/AI113*100)</f>
        <v>2.0745559733520502</v>
      </c>
      <c r="AM113" s="195"/>
      <c r="AN113" s="599"/>
      <c r="AO113" s="195"/>
      <c r="AR113" s="692" t="s">
        <v>562</v>
      </c>
    </row>
    <row r="114" spans="1:48" s="901" customFormat="1" ht="21.75" customHeight="1">
      <c r="A114" s="421"/>
      <c r="B114" s="421"/>
      <c r="C114" s="421"/>
      <c r="D114" s="421"/>
      <c r="E114" s="503">
        <v>22.5</v>
      </c>
      <c r="F114" s="3" t="str" cm="1">
        <f t="array" aca="1" ref="F114" ca="1">OFFSET(E114,-1,1)</f>
        <v>1</v>
      </c>
      <c r="G114" s="421"/>
      <c r="H114" s="421"/>
      <c r="I114" s="154" t="s">
        <v>507</v>
      </c>
      <c r="J114" s="154"/>
      <c r="K114" s="154"/>
      <c r="L114" s="154"/>
      <c r="M114" s="154"/>
      <c r="N114" s="154"/>
      <c r="O114" s="154"/>
      <c r="P114" s="154"/>
      <c r="Q114" s="154"/>
      <c r="R114" s="154"/>
      <c r="S114" s="154"/>
      <c r="T114" s="351" t="b" cm="1">
        <f t="array" ref="T114">T113</f>
        <v>1</v>
      </c>
      <c r="U114" s="421"/>
      <c r="V114" s="421"/>
      <c r="W114" s="421"/>
      <c r="X114" s="1113"/>
      <c r="Y114" s="421"/>
      <c r="Z114" s="1114"/>
      <c r="AA114" s="421"/>
      <c r="AB114" s="131" t="s">
        <v>936</v>
      </c>
      <c r="AC114" s="262" t="s">
        <v>1740</v>
      </c>
      <c r="AD114" s="147" t="s">
        <v>859</v>
      </c>
      <c r="AE114" s="126">
        <f ca="1">SUM(AE115:AE117)</f>
        <v>40.98</v>
      </c>
      <c r="AF114" s="126">
        <f ca="1">SUM(AF115:AF117)</f>
        <v>56.34</v>
      </c>
      <c r="AG114" s="126">
        <f ca="1">SUM(AG115:AG117)</f>
        <v>56.34</v>
      </c>
      <c r="AH114" s="126">
        <f t="shared" ca="1" si="7"/>
        <v>0</v>
      </c>
      <c r="AI114" s="126">
        <f ca="1">SUM(AI115:AI117)</f>
        <v>5351.6578599999993</v>
      </c>
      <c r="AJ114" s="126">
        <f ca="1">SUM(AJ115:AJ117)</f>
        <v>921.26</v>
      </c>
      <c r="AK114" s="126">
        <f ca="1">SUM(AK115:AK117)</f>
        <v>699.89</v>
      </c>
      <c r="AL114" s="126">
        <f t="shared" ca="1" si="8"/>
        <v>-86.921996541834218</v>
      </c>
      <c r="AM114" s="554"/>
      <c r="AN114" s="554"/>
      <c r="AO114" s="554"/>
      <c r="AP114" s="421"/>
      <c r="AQ114" s="421"/>
      <c r="AR114" s="693" t="s">
        <v>1741</v>
      </c>
      <c r="AS114" s="693"/>
      <c r="AT114" s="693"/>
      <c r="AU114" s="503"/>
      <c r="AV114" s="503"/>
    </row>
    <row r="115" spans="1:48" ht="14.25" customHeight="1">
      <c r="E115" s="502">
        <v>15</v>
      </c>
      <c r="F115" s="3" t="str" cm="1">
        <f t="array" aca="1" ref="F115" ca="1">OFFSET(E115,-1,1)</f>
        <v>1</v>
      </c>
      <c r="I115" s="38" t="s">
        <v>1040</v>
      </c>
      <c r="J115" s="38"/>
      <c r="K115" s="38"/>
      <c r="L115" s="38"/>
      <c r="M115" s="38"/>
      <c r="N115" s="38"/>
      <c r="O115" s="38"/>
      <c r="P115" s="38"/>
      <c r="Q115" s="38"/>
      <c r="R115" s="38"/>
      <c r="S115" s="38"/>
      <c r="T115" s="351" t="b" cm="1">
        <f t="array" ref="T115">T114</f>
        <v>1</v>
      </c>
      <c r="X115" s="1113"/>
      <c r="Z115" s="1114"/>
      <c r="AB115" s="133" t="s">
        <v>1041</v>
      </c>
      <c r="AC115" s="134" t="s">
        <v>1742</v>
      </c>
      <c r="AD115" s="9" t="s">
        <v>859</v>
      </c>
      <c r="AE115" s="170">
        <f ca="1">SUMIFS('Сырье и материалы'!AE$25:AE$36,'Сырье и материалы'!$F$25:$F$36,$F115,'Сырье и материалы'!$AC$25:$AC$36,"Всего по тарифу")</f>
        <v>40.98</v>
      </c>
      <c r="AF115" s="170">
        <f ca="1">SUMIFS('Сырье и материалы'!AF$25:AF$36,'Сырье и материалы'!$F$25:$F$36,$F115,'Сырье и материалы'!$AC$25:$AC$36,"Всего по тарифу")</f>
        <v>56.34</v>
      </c>
      <c r="AG115" s="170">
        <f ca="1">SUMIFS('Сырье и материалы'!AG$25:AG$36,'Сырье и материалы'!$F$25:$F$36,$F115,'Сырье и материалы'!$AC$25:$AC$36,"Всего по тарифу")</f>
        <v>56.34</v>
      </c>
      <c r="AH115" s="170">
        <f t="shared" ca="1" si="7"/>
        <v>0</v>
      </c>
      <c r="AI115" s="170">
        <f ca="1">SUMIFS('Сырье и материалы'!AH$25:AH$36,'Сырье и материалы'!$F$25:$F$36,$F115,'Сырье и материалы'!$AC$25:$AC$36,"Всего по тарифу")</f>
        <v>920.13</v>
      </c>
      <c r="AJ115" s="170">
        <f ca="1">SUMIFS('Сырье и материалы'!AI$25:AI$36,'Сырье и материалы'!$F$25:$F$36,$F115,'Сырье и материалы'!$AC$25:$AC$36,"Всего по тарифу")</f>
        <v>921.26</v>
      </c>
      <c r="AK115" s="170">
        <f ca="1">SUMIFS('Сырье и материалы'!AS$25:AS$36,'Сырье и материалы'!$F$25:$F$36,$F115,'Сырье и материалы'!$AC$25:$AC$36,"Всего по тарифу")</f>
        <v>699.89</v>
      </c>
      <c r="AL115" s="170">
        <f t="shared" ca="1" si="8"/>
        <v>-23.935748209492139</v>
      </c>
      <c r="AM115" s="195"/>
      <c r="AN115" s="599" t="str">
        <f ca="1">IF(IFERROR(INDEX('Сырье и материалы'!$K$26:$L$36,MATCH($F115&amp;"komm",'Сырье и материалы'!$K$26:$K$36,0),2),"")=0,"",IFERROR(INDEX('Сырье и материалы'!$K$26:$L$36,MATCH($F115&amp;"komm",'Сырье и материалы'!$K$26:$K$36,0),2),""))</f>
        <v>1) Пункты 22 - 23, 65 (л) Основ ценообразования  2)  П. 49 (10) , 16, 18(1), 19, 33 Методических указаний ФСТ России № 1746-э.</v>
      </c>
      <c r="AO115" s="195"/>
      <c r="AR115" s="692" t="s">
        <v>1743</v>
      </c>
    </row>
    <row r="116" spans="1:48" ht="14.65" customHeight="1">
      <c r="E116" s="502">
        <v>15</v>
      </c>
      <c r="F116" s="3" t="str" cm="1">
        <f t="array" aca="1" ref="F116" ca="1">OFFSET(E116,-1,1)</f>
        <v>1</v>
      </c>
      <c r="I116" s="38" t="s">
        <v>1044</v>
      </c>
      <c r="J116" s="38"/>
      <c r="K116" s="38"/>
      <c r="L116" s="38"/>
      <c r="M116" s="38"/>
      <c r="N116" s="38"/>
      <c r="O116" s="38"/>
      <c r="P116" s="38"/>
      <c r="Q116" s="38"/>
      <c r="R116" s="38"/>
      <c r="S116" s="38"/>
      <c r="T116" s="351" t="b" cm="1">
        <f t="array" ref="T116">T115</f>
        <v>1</v>
      </c>
      <c r="X116" s="1113"/>
      <c r="Z116" s="1114"/>
      <c r="AB116" s="133" t="s">
        <v>1045</v>
      </c>
      <c r="AC116" s="134" t="s">
        <v>1744</v>
      </c>
      <c r="AD116" s="9" t="s">
        <v>859</v>
      </c>
      <c r="AE116" s="128"/>
      <c r="AF116" s="128"/>
      <c r="AG116" s="128"/>
      <c r="AH116" s="170">
        <f t="shared" si="7"/>
        <v>0</v>
      </c>
      <c r="AI116" s="128">
        <v>1990.74</v>
      </c>
      <c r="AJ116" s="128"/>
      <c r="AK116" s="128"/>
      <c r="AL116" s="170">
        <f t="shared" si="8"/>
        <v>-100</v>
      </c>
      <c r="AM116" s="195"/>
      <c r="AN116" s="195"/>
      <c r="AO116" s="195"/>
      <c r="AR116" s="692" t="s">
        <v>1745</v>
      </c>
    </row>
    <row r="117" spans="1:48" ht="14.65" customHeight="1">
      <c r="E117" s="502">
        <v>15</v>
      </c>
      <c r="F117" s="3" t="str" cm="1">
        <f t="array" aca="1" ref="F117" ca="1">OFFSET(E117,-1,1)</f>
        <v>1</v>
      </c>
      <c r="I117" s="38" t="s">
        <v>1353</v>
      </c>
      <c r="J117" s="38"/>
      <c r="K117" s="38"/>
      <c r="L117" s="38"/>
      <c r="M117" s="38"/>
      <c r="N117" s="38"/>
      <c r="O117" s="38"/>
      <c r="P117" s="38"/>
      <c r="Q117" s="38"/>
      <c r="R117" s="38"/>
      <c r="S117" s="38"/>
      <c r="T117" s="351" t="b" cm="1">
        <f t="array" ref="T117">T116</f>
        <v>1</v>
      </c>
      <c r="X117" s="1113"/>
      <c r="Z117" s="1114"/>
      <c r="AB117" s="133" t="s">
        <v>1354</v>
      </c>
      <c r="AC117" s="134" t="s">
        <v>1746</v>
      </c>
      <c r="AD117" s="9" t="s">
        <v>859</v>
      </c>
      <c r="AE117" s="128"/>
      <c r="AF117" s="128"/>
      <c r="AG117" s="128"/>
      <c r="AH117" s="170">
        <f t="shared" si="7"/>
        <v>0</v>
      </c>
      <c r="AI117" s="128">
        <v>2440.7878599999999</v>
      </c>
      <c r="AJ117" s="128"/>
      <c r="AK117" s="128"/>
      <c r="AL117" s="170">
        <f t="shared" si="8"/>
        <v>-100</v>
      </c>
      <c r="AM117" s="195"/>
      <c r="AN117" s="195"/>
      <c r="AO117" s="195"/>
      <c r="AR117" s="692" t="s">
        <v>1747</v>
      </c>
    </row>
    <row r="118" spans="1:48" s="901" customFormat="1" ht="21.75" customHeight="1">
      <c r="A118" s="421"/>
      <c r="B118" s="421"/>
      <c r="C118" s="421"/>
      <c r="D118" s="421"/>
      <c r="E118" s="503">
        <v>22.5</v>
      </c>
      <c r="F118" s="3" t="str" cm="1">
        <f t="array" aca="1" ref="F118" ca="1">OFFSET(E118,-1,1)</f>
        <v>1</v>
      </c>
      <c r="G118" s="421"/>
      <c r="H118" s="421"/>
      <c r="I118" s="154" t="s">
        <v>511</v>
      </c>
      <c r="J118" s="154"/>
      <c r="K118" s="154"/>
      <c r="L118" s="154"/>
      <c r="M118" s="154"/>
      <c r="N118" s="154"/>
      <c r="O118" s="154"/>
      <c r="P118" s="154"/>
      <c r="Q118" s="154"/>
      <c r="R118" s="154"/>
      <c r="S118" s="154"/>
      <c r="T118" s="351" t="b" cm="1">
        <f t="array" ref="T118">T117</f>
        <v>1</v>
      </c>
      <c r="U118" s="421"/>
      <c r="V118" s="421"/>
      <c r="W118" s="421"/>
      <c r="X118" s="1113"/>
      <c r="Y118" s="421"/>
      <c r="Z118" s="1114"/>
      <c r="AA118" s="421"/>
      <c r="AB118" s="131" t="s">
        <v>939</v>
      </c>
      <c r="AC118" s="262" t="s">
        <v>1748</v>
      </c>
      <c r="AD118" s="147" t="s">
        <v>859</v>
      </c>
      <c r="AE118" s="126">
        <f ca="1">SUM(AE119:AE127)</f>
        <v>4823.0999999999995</v>
      </c>
      <c r="AF118" s="126">
        <f ca="1">SUM(AF119:AF127)</f>
        <v>11407.5</v>
      </c>
      <c r="AG118" s="126">
        <f ca="1">SUM(AG119:AG127)</f>
        <v>11407.5</v>
      </c>
      <c r="AH118" s="126">
        <f t="shared" ca="1" si="7"/>
        <v>0</v>
      </c>
      <c r="AI118" s="126">
        <f ca="1">SUM(AI119:AI127)</f>
        <v>99525.98</v>
      </c>
      <c r="AJ118" s="126">
        <f ca="1">SUM(AJ119:AJ127)</f>
        <v>118116.212</v>
      </c>
      <c r="AK118" s="126">
        <f ca="1">SUM(AK119:AK127)</f>
        <v>117237.95</v>
      </c>
      <c r="AL118" s="126">
        <f t="shared" ca="1" si="8"/>
        <v>17.796328154719003</v>
      </c>
      <c r="AM118" s="554"/>
      <c r="AN118" s="554"/>
      <c r="AO118" s="554"/>
      <c r="AP118" s="421"/>
      <c r="AQ118" s="421"/>
      <c r="AR118" s="693" t="s">
        <v>1749</v>
      </c>
      <c r="AS118" s="693"/>
      <c r="AT118" s="693"/>
      <c r="AU118" s="503"/>
      <c r="AV118" s="503"/>
    </row>
    <row r="119" spans="1:48" ht="14.25" customHeight="1">
      <c r="E119" s="502">
        <v>15</v>
      </c>
      <c r="F119" s="3" t="str" cm="1">
        <f t="array" aca="1" ref="F119" ca="1">OFFSET(E119,-1,1)</f>
        <v>1</v>
      </c>
      <c r="I119" s="38" t="s">
        <v>1378</v>
      </c>
      <c r="J119" s="38"/>
      <c r="K119" s="38"/>
      <c r="L119" s="38"/>
      <c r="M119" s="38"/>
      <c r="N119" s="38"/>
      <c r="O119" s="38"/>
      <c r="P119" s="38"/>
      <c r="Q119" s="38"/>
      <c r="R119" s="38"/>
      <c r="S119" s="38"/>
      <c r="T119" s="351" t="b" cm="1">
        <f t="array" ref="T119">T118</f>
        <v>1</v>
      </c>
      <c r="X119" s="1113"/>
      <c r="Z119" s="1114"/>
      <c r="AB119" s="133" t="s">
        <v>1379</v>
      </c>
      <c r="AC119" s="134" t="s">
        <v>1750</v>
      </c>
      <c r="AD119" s="9" t="s">
        <v>859</v>
      </c>
      <c r="AE119" s="170">
        <f ca="1">SUMIFS(ЭЭ!AE$25:AE$74,ЭЭ!$F$25:$F$74,$F119,ЭЭ!$AC$25:$AC$74,"Всего по тарифу")</f>
        <v>4821.1499999999996</v>
      </c>
      <c r="AF119" s="170">
        <f ca="1">SUMIFS(ЭЭ!AF$25:AF$74,ЭЭ!$F$25:$F$74,$F119,ЭЭ!$AC$25:$AC$74,"Всего по тарифу")</f>
        <v>11407.5</v>
      </c>
      <c r="AG119" s="170">
        <f ca="1">SUMIFS(ЭЭ!AG$25:AG$74,ЭЭ!$F$25:$F$74,$F119,ЭЭ!$AC$25:$AC$74,"Всего по тарифу")</f>
        <v>11407.5</v>
      </c>
      <c r="AH119" s="170">
        <f t="shared" ca="1" si="7"/>
        <v>0</v>
      </c>
      <c r="AI119" s="170">
        <f ca="1">SUMIFS(ЭЭ!AH$25:AH$74,ЭЭ!$F$25:$F$74,$F119,ЭЭ!$AC$25:$AC$74,"Всего по тарифу")</f>
        <v>99499.73</v>
      </c>
      <c r="AJ119" s="170">
        <f ca="1">SUMIFS(ЭЭ!AI$25:AI$74,ЭЭ!$F$25:$F$74,$F119,ЭЭ!$AC$25:$AC$74,"Всего по тарифу")</f>
        <v>116563.89</v>
      </c>
      <c r="AK119" s="170">
        <f ca="1">SUMIFS(ЭЭ!AS$25:AS$74,ЭЭ!$F$25:$F$74,$F119,ЭЭ!$AC$25:$AC$74,"Всего по тарифу")</f>
        <v>116149.25</v>
      </c>
      <c r="AL119" s="170">
        <f t="shared" ca="1" si="8"/>
        <v>16.733231336406647</v>
      </c>
      <c r="AM119" s="195"/>
      <c r="AN119" s="599" t="str">
        <f ca="1">IF(IFERROR(INDEX(ЭЭ!$K$26:$L$74,MATCH($F119&amp;"komm",ЭЭ!$K$26:$K$74,0),2),"")=0,"",IFERROR(INDEX(ЭЭ!$K$26:$L$74,MATCH($F119&amp;"komm",ЭЭ!$K$26:$K$74,0),2),""))</f>
        <v>1) Пункты 22 - 23 Основ ценообразования  2)  П. 16, 20, 33 Методических указаний ФСТ России № 1746-э.</v>
      </c>
      <c r="AO119" s="195"/>
      <c r="AR119" s="692" t="s">
        <v>1751</v>
      </c>
    </row>
    <row r="120" spans="1:48" ht="14.25" customHeight="1">
      <c r="E120" s="502">
        <v>15</v>
      </c>
      <c r="F120" s="3" t="str" cm="1">
        <f t="array" aca="1" ref="F120" ca="1">OFFSET(E120,-1,1)</f>
        <v>1</v>
      </c>
      <c r="G120" s="277" t="s">
        <v>1114</v>
      </c>
      <c r="I120" s="38" t="s">
        <v>1381</v>
      </c>
      <c r="J120" s="38"/>
      <c r="K120" s="38"/>
      <c r="L120" s="38"/>
      <c r="M120" s="38"/>
      <c r="N120" s="38"/>
      <c r="O120" s="38"/>
      <c r="P120" s="38"/>
      <c r="Q120" s="38"/>
      <c r="R120" s="38"/>
      <c r="S120" s="38"/>
      <c r="T120" s="351" t="b" cm="1">
        <f t="array" ref="T120">T119</f>
        <v>1</v>
      </c>
      <c r="X120" s="1113"/>
      <c r="Z120" s="1114"/>
      <c r="AB120" s="133" t="s">
        <v>1382</v>
      </c>
      <c r="AC120" s="134" t="s">
        <v>1752</v>
      </c>
      <c r="AD120" s="9" t="s">
        <v>859</v>
      </c>
      <c r="AE120" s="170">
        <f ca="1">SUMIFS(Покупка!AE$25:AE$87,Покупка!$F$25:$F$87,$F120,Покупка!$AC$25:$AC$87,$G120)</f>
        <v>1.95</v>
      </c>
      <c r="AF120" s="170">
        <f ca="1">SUMIFS(Покупка!AF$25:AF$87,Покупка!$F$25:$F$87,$F120,Покупка!$AC$25:$AC$87,$G120)</f>
        <v>0</v>
      </c>
      <c r="AG120" s="170">
        <f ca="1">SUMIFS(Покупка!AG$25:AG$87,Покупка!$F$25:$F$87,$F120,Покупка!$AC$25:$AC$87,$G120)</f>
        <v>0</v>
      </c>
      <c r="AH120" s="170">
        <f t="shared" ca="1" si="7"/>
        <v>0</v>
      </c>
      <c r="AI120" s="170">
        <f ca="1">SUMIFS(Покупка!AH$25:AH$87,Покупка!$F$25:$F$87,$F120,Покупка!$AC$25:$AC$87,$G120)</f>
        <v>26.25</v>
      </c>
      <c r="AJ120" s="170">
        <f ca="1">SUMIFS(Покупка!AI$25:AI$87,Покупка!$F$25:$F$87,$F120,Покупка!$AC$25:$AC$87,$G120)</f>
        <v>24.071999999999999</v>
      </c>
      <c r="AK120" s="170">
        <f ca="1">SUMIFS(Покупка!AS$25:AS$87,Покупка!$F$25:$F$87,$F120,Покупка!$AC$25:$AC$87,$G120)</f>
        <v>42.67</v>
      </c>
      <c r="AL120" s="170">
        <f t="shared" ca="1" si="8"/>
        <v>62.552380952380958</v>
      </c>
      <c r="AM120" s="195"/>
      <c r="AN120" s="599" t="str">
        <f ca="1">IF(IFERROR(INDEX(Покупка!$K$26:$L$87,MATCH($F120&amp;"6komm",Покупка!$K$26:$K$87,0),2),"")=0,"",IFERROR(INDEX(Покупка!$K$26:$L$87,MATCH($F120&amp;"6komm",Покупка!$K$26:$K$87,0),2),""))</f>
        <v>П. 39(б), п. 48  Методических указаний ФСТ России № 1746-э.</v>
      </c>
      <c r="AO120" s="195"/>
      <c r="AR120" s="692" t="s">
        <v>1115</v>
      </c>
    </row>
    <row r="121" spans="1:48" ht="14.25" customHeight="1">
      <c r="E121" s="502">
        <v>15</v>
      </c>
      <c r="F121" s="3" t="str" cm="1">
        <f t="array" aca="1" ref="F121" ca="1">OFFSET(E121,-1,1)</f>
        <v>1</v>
      </c>
      <c r="G121" s="277" t="s">
        <v>1116</v>
      </c>
      <c r="I121" s="38" t="s">
        <v>1385</v>
      </c>
      <c r="J121" s="38"/>
      <c r="K121" s="38"/>
      <c r="L121" s="38"/>
      <c r="M121" s="38"/>
      <c r="N121" s="38"/>
      <c r="O121" s="38"/>
      <c r="P121" s="38"/>
      <c r="Q121" s="38"/>
      <c r="R121" s="38"/>
      <c r="S121" s="38"/>
      <c r="T121" s="351" t="b" cm="1">
        <f t="array" ref="T121">T120</f>
        <v>1</v>
      </c>
      <c r="X121" s="1113"/>
      <c r="Z121" s="1114"/>
      <c r="AB121" s="133" t="s">
        <v>1386</v>
      </c>
      <c r="AC121" s="134" t="s">
        <v>1753</v>
      </c>
      <c r="AD121" s="9" t="s">
        <v>859</v>
      </c>
      <c r="AE121" s="170">
        <f ca="1">SUMIFS(Покупка!AE$25:AE$87,Покупка!$F$25:$F$87,$F121,Покупка!$AC$25:$AC$87,$G121)</f>
        <v>0</v>
      </c>
      <c r="AF121" s="170">
        <f ca="1">SUMIFS(Покупка!AF$25:AF$87,Покупка!$F$25:$F$87,$F121,Покупка!$AC$25:$AC$87,$G121)</f>
        <v>0</v>
      </c>
      <c r="AG121" s="170">
        <f ca="1">SUMIFS(Покупка!AG$25:AG$87,Покупка!$F$25:$F$87,$F121,Покупка!$AC$25:$AC$87,$G121)</f>
        <v>0</v>
      </c>
      <c r="AH121" s="170">
        <f t="shared" ca="1" si="7"/>
        <v>0</v>
      </c>
      <c r="AI121" s="170">
        <f ca="1">SUMIFS(Покупка!AH$25:AH$87,Покупка!$F$25:$F$87,$F121,Покупка!$AC$25:$AC$87,$G121)</f>
        <v>0</v>
      </c>
      <c r="AJ121" s="170">
        <f ca="1">SUMIFS(Покупка!AI$25:AI$87,Покупка!$F$25:$F$87,$F121,Покупка!$AC$25:$AC$87,$G121)</f>
        <v>0</v>
      </c>
      <c r="AK121" s="170">
        <f ca="1">SUMIFS(Покупка!AS$25:AS$87,Покупка!$F$25:$F$87,$F121,Покупка!$AC$25:$AC$87,$G121)</f>
        <v>0</v>
      </c>
      <c r="AL121" s="170">
        <f t="shared" ca="1" si="8"/>
        <v>0</v>
      </c>
      <c r="AM121" s="195"/>
      <c r="AN121" s="599" t="str">
        <f ca="1">IF(IFERROR(INDEX(Покупка!$K$26:$L$87,MATCH($F121&amp;"7komm",Покупка!$K$26:$K$87,0),2),"")=0,"",IFERROR(INDEX(Покупка!$K$26:$L$87,MATCH($F121&amp;"7komm",Покупка!$K$26:$K$87,0),2),""))</f>
        <v/>
      </c>
      <c r="AO121" s="195"/>
      <c r="AR121" s="692" t="s">
        <v>1117</v>
      </c>
    </row>
    <row r="122" spans="1:48" ht="14.25" customHeight="1">
      <c r="E122" s="502">
        <v>15</v>
      </c>
      <c r="F122" s="3" t="str" cm="1">
        <f t="array" aca="1" ref="F122" ca="1">OFFSET(E122,-1,1)</f>
        <v>1</v>
      </c>
      <c r="G122" s="277" t="s">
        <v>1120</v>
      </c>
      <c r="I122" s="38" t="s">
        <v>1544</v>
      </c>
      <c r="J122" s="38"/>
      <c r="K122" s="38"/>
      <c r="L122" s="38"/>
      <c r="M122" s="38"/>
      <c r="N122" s="38"/>
      <c r="O122" s="38"/>
      <c r="P122" s="38"/>
      <c r="Q122" s="38"/>
      <c r="R122" s="38"/>
      <c r="S122" s="38"/>
      <c r="T122" s="351" t="b" cm="1">
        <f t="array" ref="T122">T121</f>
        <v>1</v>
      </c>
      <c r="X122" s="1113"/>
      <c r="Z122" s="1114"/>
      <c r="AB122" s="133" t="s">
        <v>1754</v>
      </c>
      <c r="AC122" s="134" t="s">
        <v>1755</v>
      </c>
      <c r="AD122" s="9" t="s">
        <v>859</v>
      </c>
      <c r="AE122" s="170">
        <f ca="1">SUMIFS(Покупка!AE$25:AE$87,Покупка!$F$25:$F$87,$F122,Покупка!$AC$25:$AC$87,$G122)</f>
        <v>0</v>
      </c>
      <c r="AF122" s="170">
        <f ca="1">SUMIFS(Покупка!AF$25:AF$87,Покупка!$F$25:$F$87,$F122,Покупка!$AC$25:$AC$87,$G122)</f>
        <v>0</v>
      </c>
      <c r="AG122" s="170">
        <f ca="1">SUMIFS(Покупка!AG$25:AG$87,Покупка!$F$25:$F$87,$F122,Покупка!$AC$25:$AC$87,$G122)</f>
        <v>0</v>
      </c>
      <c r="AH122" s="170">
        <f t="shared" ca="1" si="7"/>
        <v>0</v>
      </c>
      <c r="AI122" s="170">
        <f ca="1">SUMIFS(Покупка!AH$25:AH$87,Покупка!$F$25:$F$87,$F122,Покупка!$AC$25:$AC$87,$G122)</f>
        <v>0</v>
      </c>
      <c r="AJ122" s="170">
        <f ca="1">SUMIFS(Покупка!AI$25:AI$87,Покупка!$F$25:$F$87,$F122,Покупка!$AC$25:$AC$87,$G122)</f>
        <v>1528.25</v>
      </c>
      <c r="AK122" s="170">
        <f ca="1">SUMIFS(Покупка!AS$25:AS$87,Покупка!$F$25:$F$87,$F122,Покупка!$AC$25:$AC$87,$G122)</f>
        <v>1046.03</v>
      </c>
      <c r="AL122" s="170">
        <f t="shared" ca="1" si="8"/>
        <v>0</v>
      </c>
      <c r="AM122" s="195"/>
      <c r="AN122" s="599" t="str">
        <f ca="1">IF(IFERROR(INDEX(Покупка!$K$26:$L$87,MATCH($F122&amp;"9komm",Покупка!$K$26:$K$87,0),2),"")=0,"",IFERROR(INDEX(Покупка!$K$26:$L$87,MATCH($F122&amp;"9komm",Покупка!$K$26:$K$87,0),2),""))</f>
        <v/>
      </c>
      <c r="AO122" s="195"/>
      <c r="AR122" s="692" t="s">
        <v>1121</v>
      </c>
    </row>
    <row r="123" spans="1:48" ht="14.25" customHeight="1">
      <c r="E123" s="502">
        <v>15</v>
      </c>
      <c r="F123" s="3" t="str" cm="1">
        <f t="array" aca="1" ref="F123" ca="1">OFFSET(E123,-1,1)</f>
        <v>1</v>
      </c>
      <c r="G123" s="277" t="s">
        <v>1082</v>
      </c>
      <c r="I123" s="38" t="s">
        <v>1548</v>
      </c>
      <c r="J123" s="38"/>
      <c r="K123" s="38"/>
      <c r="L123" s="38"/>
      <c r="M123" s="38"/>
      <c r="N123" s="38"/>
      <c r="O123" s="38"/>
      <c r="P123" s="38"/>
      <c r="Q123" s="38"/>
      <c r="R123" s="38"/>
      <c r="S123" s="38"/>
      <c r="T123" s="351" t="b" cm="1">
        <f t="array" ref="T123">T122</f>
        <v>1</v>
      </c>
      <c r="X123" s="1113"/>
      <c r="Z123" s="1114"/>
      <c r="AB123" s="133" t="s">
        <v>1756</v>
      </c>
      <c r="AC123" s="134" t="s">
        <v>1757</v>
      </c>
      <c r="AD123" s="9" t="s">
        <v>859</v>
      </c>
      <c r="AE123" s="170">
        <f ca="1">SUMIFS(Покупка!AE$25:AE$87,Покупка!$F$25:$F$87,$F123,Покупка!$AC$25:$AC$87,$G123)</f>
        <v>0</v>
      </c>
      <c r="AF123" s="170">
        <f ca="1">SUMIFS(Покупка!AF$25:AF$87,Покупка!$F$25:$F$87,$F123,Покупка!$AC$25:$AC$87,$G123)</f>
        <v>0</v>
      </c>
      <c r="AG123" s="170">
        <f ca="1">SUMIFS(Покупка!AG$25:AG$87,Покупка!$F$25:$F$87,$F123,Покупка!$AC$25:$AC$87,$G123)</f>
        <v>0</v>
      </c>
      <c r="AH123" s="170">
        <f t="shared" ca="1" si="7"/>
        <v>0</v>
      </c>
      <c r="AI123" s="170">
        <f ca="1">SUMIFS(Покупка!AH$25:AH$87,Покупка!$F$25:$F$87,$F123,Покупка!$AC$25:$AC$87,$G123)</f>
        <v>0</v>
      </c>
      <c r="AJ123" s="170">
        <f ca="1">SUMIFS(Покупка!AI$25:AI$87,Покупка!$F$25:$F$87,$F123,Покупка!$AC$25:$AC$87,$G123)</f>
        <v>0</v>
      </c>
      <c r="AK123" s="170">
        <f ca="1">SUMIFS(Покупка!AS$25:AS$87,Покупка!$F$25:$F$87,$F123,Покупка!$AC$25:$AC$87,$G123)</f>
        <v>0</v>
      </c>
      <c r="AL123" s="170">
        <f t="shared" ca="1" si="8"/>
        <v>0</v>
      </c>
      <c r="AM123" s="195"/>
      <c r="AN123" s="599" t="str">
        <f ca="1">IF(IFERROR(INDEX(Покупка!$K$26:$L$87,MATCH($F123&amp;"1komm",Покупка!$K$26:$K$87,0),2),"")=0,"",IFERROR(INDEX(Покупка!$K$26:$L$87,MATCH($F123&amp;"1komm",Покупка!$K$26:$K$87,0),2),""))</f>
        <v/>
      </c>
      <c r="AO123" s="195"/>
      <c r="AR123" s="692" t="s">
        <v>1758</v>
      </c>
    </row>
    <row r="124" spans="1:48" ht="14.25" customHeight="1">
      <c r="E124" s="502">
        <v>15</v>
      </c>
      <c r="F124" s="3" t="str" cm="1">
        <f t="array" aca="1" ref="F124" ca="1">OFFSET(E124,-1,1)</f>
        <v>1</v>
      </c>
      <c r="G124" s="277" t="s">
        <v>1091</v>
      </c>
      <c r="I124" s="38" t="s">
        <v>1553</v>
      </c>
      <c r="J124" s="38"/>
      <c r="K124" s="38"/>
      <c r="L124" s="38"/>
      <c r="M124" s="38"/>
      <c r="N124" s="38"/>
      <c r="O124" s="38"/>
      <c r="P124" s="38"/>
      <c r="Q124" s="38"/>
      <c r="R124" s="38"/>
      <c r="S124" s="38"/>
      <c r="T124" s="351" t="b" cm="1">
        <f t="array" ref="T124">T123</f>
        <v>1</v>
      </c>
      <c r="X124" s="1113"/>
      <c r="Z124" s="1114"/>
      <c r="AB124" s="133" t="s">
        <v>1759</v>
      </c>
      <c r="AC124" s="134" t="s">
        <v>1760</v>
      </c>
      <c r="AD124" s="9" t="s">
        <v>859</v>
      </c>
      <c r="AE124" s="170">
        <f ca="1">SUMIFS(Покупка!AE$25:AE$87,Покупка!$F$25:$F$87,$F124,Покупка!$AC$25:$AC$87,$G124)</f>
        <v>0</v>
      </c>
      <c r="AF124" s="170">
        <f ca="1">SUMIFS(Покупка!AF$25:AF$87,Покупка!$F$25:$F$87,$F124,Покупка!$AC$25:$AC$87,$G124)</f>
        <v>0</v>
      </c>
      <c r="AG124" s="170">
        <f ca="1">SUMIFS(Покупка!AG$25:AG$87,Покупка!$F$25:$F$87,$F124,Покупка!$AC$25:$AC$87,$G124)</f>
        <v>0</v>
      </c>
      <c r="AH124" s="170">
        <f t="shared" ca="1" si="7"/>
        <v>0</v>
      </c>
      <c r="AI124" s="170">
        <f ca="1">SUMIFS(Покупка!AH$25:AH$87,Покупка!$F$25:$F$87,$F124,Покупка!$AC$25:$AC$87,$G124)</f>
        <v>0</v>
      </c>
      <c r="AJ124" s="170">
        <f ca="1">SUMIFS(Покупка!AI$25:AI$87,Покупка!$F$25:$F$87,$F124,Покупка!$AC$25:$AC$87,$G124)</f>
        <v>0</v>
      </c>
      <c r="AK124" s="170">
        <f ca="1">SUMIFS(Покупка!AS$25:AS$87,Покупка!$F$25:$F$87,$F124,Покупка!$AC$25:$AC$87,$G124)</f>
        <v>0</v>
      </c>
      <c r="AL124" s="170">
        <f t="shared" ca="1" si="8"/>
        <v>0</v>
      </c>
      <c r="AM124" s="195"/>
      <c r="AN124" s="599" t="str">
        <f ca="1">IF(IFERROR(INDEX(Покупка!$K$26:$L$87,MATCH($F124&amp;"2komm",Покупка!$K$26:$K$87,0),2),"")=0,"",IFERROR(INDEX(Покупка!$K$26:$L$87,MATCH($F124&amp;"2komm",Покупка!$K$26:$K$87,0),2),""))</f>
        <v/>
      </c>
      <c r="AO124" s="195"/>
      <c r="AR124" s="692" t="s">
        <v>1761</v>
      </c>
    </row>
    <row r="125" spans="1:48" ht="14.25" customHeight="1">
      <c r="E125" s="502">
        <v>15</v>
      </c>
      <c r="F125" s="3" t="str" cm="1">
        <f t="array" aca="1" ref="F125" ca="1">OFFSET(E125,-1,1)</f>
        <v>1</v>
      </c>
      <c r="G125" s="277" t="s">
        <v>1096</v>
      </c>
      <c r="I125" s="38" t="s">
        <v>1562</v>
      </c>
      <c r="J125" s="38"/>
      <c r="K125" s="38"/>
      <c r="L125" s="38"/>
      <c r="M125" s="38"/>
      <c r="N125" s="38"/>
      <c r="O125" s="38"/>
      <c r="P125" s="38"/>
      <c r="Q125" s="38"/>
      <c r="R125" s="38"/>
      <c r="S125" s="38"/>
      <c r="T125" s="351" t="b" cm="1">
        <f t="array" ref="T125">T124</f>
        <v>1</v>
      </c>
      <c r="X125" s="1113"/>
      <c r="Z125" s="1114"/>
      <c r="AB125" s="133" t="s">
        <v>1762</v>
      </c>
      <c r="AC125" s="134" t="s">
        <v>1763</v>
      </c>
      <c r="AD125" s="9" t="s">
        <v>859</v>
      </c>
      <c r="AE125" s="170">
        <f ca="1">SUMIFS(Покупка!AE$25:AE$87,Покупка!$F$25:$F$87,$F125,Покупка!$AC$25:$AC$87,$G125)</f>
        <v>0</v>
      </c>
      <c r="AF125" s="170">
        <f ca="1">SUMIFS(Покупка!AF$25:AF$87,Покупка!$F$25:$F$87,$F125,Покупка!$AC$25:$AC$87,$G125)</f>
        <v>0</v>
      </c>
      <c r="AG125" s="170">
        <f ca="1">SUMIFS(Покупка!AG$25:AG$87,Покупка!$F$25:$F$87,$F125,Покупка!$AC$25:$AC$87,$G125)</f>
        <v>0</v>
      </c>
      <c r="AH125" s="170">
        <f t="shared" ca="1" si="7"/>
        <v>0</v>
      </c>
      <c r="AI125" s="170">
        <f ca="1">SUMIFS(Покупка!AH$25:AH$87,Покупка!$F$25:$F$87,$F125,Покупка!$AC$25:$AC$87,$G125)</f>
        <v>0</v>
      </c>
      <c r="AJ125" s="170">
        <f ca="1">SUMIFS(Покупка!AI$25:AI$87,Покупка!$F$25:$F$87,$F125,Покупка!$AC$25:$AC$87,$G125)</f>
        <v>0</v>
      </c>
      <c r="AK125" s="170">
        <f ca="1">SUMIFS(Покупка!AS$25:AS$87,Покупка!$F$25:$F$87,$F125,Покупка!$AC$25:$AC$87,$G125)</f>
        <v>0</v>
      </c>
      <c r="AL125" s="170">
        <f t="shared" ca="1" si="8"/>
        <v>0</v>
      </c>
      <c r="AM125" s="195"/>
      <c r="AN125" s="599" t="str">
        <f ca="1">IF(IFERROR(INDEX(Покупка!$K$26:$L$87,MATCH($F125&amp;"3komm",Покупка!$K$26:$K$87,0),2),"")=0,"",IFERROR(INDEX(Покупка!$K$26:$L$87,MATCH($F125&amp;"3komm",Покупка!$K$26:$K$87,0),2),""))</f>
        <v/>
      </c>
      <c r="AO125" s="195"/>
      <c r="AR125" s="692" t="s">
        <v>1764</v>
      </c>
    </row>
    <row r="126" spans="1:48" ht="14.25" customHeight="1">
      <c r="E126" s="502">
        <v>15</v>
      </c>
      <c r="F126" s="3" t="str" cm="1">
        <f t="array" aca="1" ref="F126" ca="1">OFFSET(E126,-1,1)</f>
        <v>1</v>
      </c>
      <c r="G126" s="277" t="s">
        <v>1102</v>
      </c>
      <c r="I126" s="38" t="s">
        <v>1567</v>
      </c>
      <c r="J126" s="38"/>
      <c r="K126" s="38"/>
      <c r="L126" s="38"/>
      <c r="M126" s="38"/>
      <c r="N126" s="38"/>
      <c r="O126" s="38"/>
      <c r="P126" s="38"/>
      <c r="Q126" s="38"/>
      <c r="R126" s="38"/>
      <c r="S126" s="38"/>
      <c r="T126" s="351" t="b" cm="1">
        <f t="array" ref="T126">T125</f>
        <v>1</v>
      </c>
      <c r="X126" s="1113"/>
      <c r="Z126" s="1114"/>
      <c r="AB126" s="133" t="s">
        <v>1765</v>
      </c>
      <c r="AC126" s="134" t="s">
        <v>1766</v>
      </c>
      <c r="AD126" s="9" t="s">
        <v>859</v>
      </c>
      <c r="AE126" s="170">
        <f ca="1">SUMIFS(Покупка!AE$25:AE$87,Покупка!$F$25:$F$87,$F126,Покупка!$AC$25:$AC$87,$G126)</f>
        <v>0</v>
      </c>
      <c r="AF126" s="170">
        <f ca="1">SUMIFS(Покупка!AF$25:AF$87,Покупка!$F$25:$F$87,$F126,Покупка!$AC$25:$AC$87,$G126)</f>
        <v>0</v>
      </c>
      <c r="AG126" s="170">
        <f ca="1">SUMIFS(Покупка!AG$25:AG$87,Покупка!$F$25:$F$87,$F126,Покупка!$AC$25:$AC$87,$G126)</f>
        <v>0</v>
      </c>
      <c r="AH126" s="170">
        <f t="shared" ca="1" si="7"/>
        <v>0</v>
      </c>
      <c r="AI126" s="170">
        <f ca="1">SUMIFS(Покупка!AH$25:AH$87,Покупка!$F$25:$F$87,$F126,Покупка!$AC$25:$AC$87,$G126)</f>
        <v>0</v>
      </c>
      <c r="AJ126" s="170">
        <f ca="1">SUMIFS(Покупка!AI$25:AI$87,Покупка!$F$25:$F$87,$F126,Покупка!$AC$25:$AC$87,$G126)</f>
        <v>0</v>
      </c>
      <c r="AK126" s="170">
        <f ca="1">SUMIFS(Покупка!AS$25:AS$87,Покупка!$F$25:$F$87,$F126,Покупка!$AC$25:$AC$87,$G126)</f>
        <v>0</v>
      </c>
      <c r="AL126" s="170">
        <f t="shared" ca="1" si="8"/>
        <v>0</v>
      </c>
      <c r="AM126" s="195"/>
      <c r="AN126" s="599" t="str">
        <f ca="1">IF(IFERROR(INDEX(Покупка!$K$26:$L$87,MATCH($F126&amp;"4komm",Покупка!$K$26:$K$87,0),2),"")=0,"",IFERROR(INDEX(Покупка!$K$26:$L$87,MATCH($F126&amp;"4komm",Покупка!$K$26:$K$87,0),2),""))</f>
        <v/>
      </c>
      <c r="AO126" s="195"/>
      <c r="AR126" s="692" t="s">
        <v>1767</v>
      </c>
    </row>
    <row r="127" spans="1:48" ht="14.25" customHeight="1">
      <c r="E127" s="502">
        <v>15</v>
      </c>
      <c r="F127" s="3" t="str" cm="1">
        <f t="array" aca="1" ref="F127" ca="1">OFFSET(E127,-1,1)</f>
        <v>1</v>
      </c>
      <c r="G127" s="277" t="s">
        <v>1108</v>
      </c>
      <c r="I127" s="38" t="s">
        <v>1577</v>
      </c>
      <c r="J127" s="38"/>
      <c r="K127" s="38"/>
      <c r="L127" s="38"/>
      <c r="M127" s="38"/>
      <c r="N127" s="38"/>
      <c r="O127" s="38"/>
      <c r="P127" s="38"/>
      <c r="Q127" s="38"/>
      <c r="R127" s="38"/>
      <c r="S127" s="38"/>
      <c r="T127" s="351" t="b" cm="1">
        <f t="array" ref="T127">T126</f>
        <v>1</v>
      </c>
      <c r="X127" s="1113"/>
      <c r="Z127" s="1114"/>
      <c r="AB127" s="133" t="s">
        <v>1768</v>
      </c>
      <c r="AC127" s="134" t="s">
        <v>1769</v>
      </c>
      <c r="AD127" s="9" t="s">
        <v>859</v>
      </c>
      <c r="AE127" s="170">
        <f ca="1">SUMIFS(Покупка!AE$25:AE$87,Покупка!$F$25:$F$87,$F127,Покупка!$AC$25:$AC$87,$G127)</f>
        <v>0</v>
      </c>
      <c r="AF127" s="170">
        <f ca="1">SUMIFS(Покупка!AF$25:AF$87,Покупка!$F$25:$F$87,$F127,Покупка!$AC$25:$AC$87,$G127)</f>
        <v>0</v>
      </c>
      <c r="AG127" s="170">
        <f ca="1">SUMIFS(Покупка!AG$25:AG$87,Покупка!$F$25:$F$87,$F127,Покупка!$AC$25:$AC$87,$G127)</f>
        <v>0</v>
      </c>
      <c r="AH127" s="170">
        <f t="shared" ca="1" si="7"/>
        <v>0</v>
      </c>
      <c r="AI127" s="170">
        <f ca="1">SUMIFS(Покупка!AH$25:AH$87,Покупка!$F$25:$F$87,$F127,Покупка!$AC$25:$AC$87,$G127)</f>
        <v>0</v>
      </c>
      <c r="AJ127" s="170">
        <f ca="1">SUMIFS(Покупка!AI$25:AI$87,Покупка!$F$25:$F$87,$F127,Покупка!$AC$25:$AC$87,$G127)</f>
        <v>0</v>
      </c>
      <c r="AK127" s="170">
        <f ca="1">SUMIFS(Покупка!AS$25:AS$87,Покупка!$F$25:$F$87,$F127,Покупка!$AC$25:$AC$87,$G127)</f>
        <v>0</v>
      </c>
      <c r="AL127" s="170">
        <f t="shared" ca="1" si="8"/>
        <v>0</v>
      </c>
      <c r="AM127" s="195"/>
      <c r="AN127" s="599" t="str">
        <f ca="1">IF(IFERROR(INDEX(Покупка!$K$26:$L$87,MATCH($F127&amp;"5komm",Покупка!$K$26:$K$87,0),2),"")=0,"",IFERROR(INDEX(Покупка!$K$26:$L$87,MATCH($F127&amp;"5komm",Покупка!$K$26:$K$87,0),2),""))</f>
        <v/>
      </c>
      <c r="AO127" s="195"/>
      <c r="AR127" s="692" t="s">
        <v>1770</v>
      </c>
    </row>
    <row r="128" spans="1:48" s="901" customFormat="1" ht="43.5" customHeight="1">
      <c r="A128" s="421"/>
      <c r="B128" s="421"/>
      <c r="C128" s="421"/>
      <c r="D128" s="421"/>
      <c r="E128" s="503">
        <v>45</v>
      </c>
      <c r="F128" s="3" t="str" cm="1">
        <f t="array" aca="1" ref="F128" ca="1">OFFSET(E128,-1,1)</f>
        <v>1</v>
      </c>
      <c r="G128" s="421"/>
      <c r="H128" s="421"/>
      <c r="I128" s="154" t="s">
        <v>514</v>
      </c>
      <c r="J128" s="154"/>
      <c r="K128" s="154"/>
      <c r="L128" s="154"/>
      <c r="M128" s="154"/>
      <c r="N128" s="154"/>
      <c r="O128" s="154"/>
      <c r="P128" s="154"/>
      <c r="Q128" s="154"/>
      <c r="R128" s="154"/>
      <c r="S128" s="154"/>
      <c r="T128" s="351" t="b" cm="1">
        <f t="array" ref="T128">T127</f>
        <v>1</v>
      </c>
      <c r="U128" s="421"/>
      <c r="V128" s="421"/>
      <c r="W128" s="421"/>
      <c r="X128" s="1113"/>
      <c r="Y128" s="421"/>
      <c r="Z128" s="1114"/>
      <c r="AA128" s="421"/>
      <c r="AB128" s="131" t="s">
        <v>942</v>
      </c>
      <c r="AC128" s="262" t="s">
        <v>1771</v>
      </c>
      <c r="AD128" s="147" t="s">
        <v>859</v>
      </c>
      <c r="AE128" s="138"/>
      <c r="AF128" s="138"/>
      <c r="AG128" s="138"/>
      <c r="AH128" s="126">
        <f t="shared" si="7"/>
        <v>0</v>
      </c>
      <c r="AI128" s="138"/>
      <c r="AJ128" s="138"/>
      <c r="AK128" s="138"/>
      <c r="AL128" s="126">
        <f t="shared" si="8"/>
        <v>0</v>
      </c>
      <c r="AM128" s="554"/>
      <c r="AN128" s="554"/>
      <c r="AO128" s="554"/>
      <c r="AP128" s="421"/>
      <c r="AQ128" s="421"/>
      <c r="AR128" s="693" t="s">
        <v>1772</v>
      </c>
      <c r="AS128" s="693"/>
      <c r="AT128" s="693"/>
      <c r="AU128" s="503"/>
      <c r="AV128" s="503"/>
    </row>
    <row r="129" spans="1:48" s="901" customFormat="1" ht="43.5" customHeight="1">
      <c r="A129" s="421"/>
      <c r="B129" s="421"/>
      <c r="C129" s="421"/>
      <c r="D129" s="421"/>
      <c r="E129" s="503">
        <v>45</v>
      </c>
      <c r="F129" s="3" t="str" cm="1">
        <f t="array" aca="1" ref="F129" ca="1">OFFSET(E129,-1,1)</f>
        <v>1</v>
      </c>
      <c r="G129" s="421"/>
      <c r="H129" s="421"/>
      <c r="I129" s="154" t="s">
        <v>518</v>
      </c>
      <c r="J129" s="154"/>
      <c r="K129" s="154"/>
      <c r="L129" s="154"/>
      <c r="M129" s="154"/>
      <c r="N129" s="154"/>
      <c r="O129" s="154"/>
      <c r="P129" s="154"/>
      <c r="Q129" s="154"/>
      <c r="R129" s="154"/>
      <c r="S129" s="154"/>
      <c r="T129" s="351" t="b" cm="1">
        <f t="array" ref="T129">T128</f>
        <v>1</v>
      </c>
      <c r="U129" s="421"/>
      <c r="V129" s="421"/>
      <c r="W129" s="421"/>
      <c r="X129" s="1113"/>
      <c r="Y129" s="421"/>
      <c r="Z129" s="1114"/>
      <c r="AA129" s="421"/>
      <c r="AB129" s="131" t="s">
        <v>945</v>
      </c>
      <c r="AC129" s="262" t="s">
        <v>1773</v>
      </c>
      <c r="AD129" s="147" t="s">
        <v>859</v>
      </c>
      <c r="AE129" s="126">
        <f ca="1">AE130+AE131</f>
        <v>3206.85</v>
      </c>
      <c r="AF129" s="126">
        <f ca="1">AF130+AF131</f>
        <v>4720.47</v>
      </c>
      <c r="AG129" s="126">
        <f ca="1">AG130+AG131</f>
        <v>4727.5229400000007</v>
      </c>
      <c r="AH129" s="126">
        <f t="shared" ca="1" si="7"/>
        <v>7.0529400000004898</v>
      </c>
      <c r="AI129" s="126">
        <f ca="1">AI130+AI131</f>
        <v>86291.634356928</v>
      </c>
      <c r="AJ129" s="126">
        <f ca="1">AJ130+AJ131</f>
        <v>84744.866606400014</v>
      </c>
      <c r="AK129" s="126">
        <f ca="1">AK130+AK131</f>
        <v>84744.866606400014</v>
      </c>
      <c r="AL129" s="126">
        <f t="shared" ca="1" si="8"/>
        <v>-1.7924886485868288</v>
      </c>
      <c r="AM129" s="554"/>
      <c r="AN129" s="554"/>
      <c r="AO129" s="554"/>
      <c r="AP129" s="421"/>
      <c r="AQ129" s="421"/>
      <c r="AR129" s="693" t="s">
        <v>1774</v>
      </c>
      <c r="AS129" s="693"/>
      <c r="AT129" s="693"/>
      <c r="AU129" s="503"/>
      <c r="AV129" s="503"/>
    </row>
    <row r="130" spans="1:48" ht="14.25" customHeight="1">
      <c r="E130" s="502">
        <v>15</v>
      </c>
      <c r="F130" s="3" t="str" cm="1">
        <f t="array" aca="1" ref="F130" ca="1">OFFSET(E130,-1,1)</f>
        <v>1</v>
      </c>
      <c r="G130" s="252" t="s">
        <v>1135</v>
      </c>
      <c r="I130" s="38" t="s">
        <v>1405</v>
      </c>
      <c r="J130" s="38"/>
      <c r="K130" s="38"/>
      <c r="L130" s="38"/>
      <c r="M130" s="38"/>
      <c r="N130" s="38"/>
      <c r="O130" s="38"/>
      <c r="P130" s="154"/>
      <c r="Q130" s="38"/>
      <c r="R130" s="38"/>
      <c r="S130" s="38"/>
      <c r="T130" s="351" t="b" cm="1">
        <f t="array" ref="T130">T129</f>
        <v>1</v>
      </c>
      <c r="X130" s="1113"/>
      <c r="Z130" s="1114"/>
      <c r="AB130" s="133" t="s">
        <v>1057</v>
      </c>
      <c r="AC130" s="134" t="s">
        <v>1775</v>
      </c>
      <c r="AD130" s="9" t="s">
        <v>859</v>
      </c>
      <c r="AE130" s="170">
        <f ca="1">SUMIFS(ФОТ!AE$25:AE$89,ФОТ!$F$25:$F$89,$F130,ФОТ!$G$25:$G$89,$G130)</f>
        <v>2463.02</v>
      </c>
      <c r="AF130" s="170">
        <f ca="1">SUMIFS(ФОТ!AF$25:AF$89,ФОТ!$F$25:$F$89,$F130,ФОТ!$G$25:$G$89,$G130)</f>
        <v>3630.9700000000003</v>
      </c>
      <c r="AG130" s="170">
        <f ca="1">SUMIFS(ФОТ!AG$25:AG$89,ФОТ!$F$25:$F$89,$F130,ФОТ!$G$25:$G$89,$G130)</f>
        <v>3630.9700000000003</v>
      </c>
      <c r="AH130" s="170">
        <f t="shared" ca="1" si="7"/>
        <v>0</v>
      </c>
      <c r="AI130" s="170">
        <f ca="1">SUMIFS(ФОТ!AH$25:AH$89,ФОТ!$F$25:$F$89,$F130,ФОТ!$G$25:$G$89,$G130)</f>
        <v>66276.216864000002</v>
      </c>
      <c r="AJ130" s="170">
        <f ca="1">SUMIFS(ФОТ!AI$25:AI$89,ФОТ!$F$25:$F$89,$F130,ФОТ!$G$25:$G$89,$G130)</f>
        <v>65088.223200000008</v>
      </c>
      <c r="AK130" s="170">
        <f ca="1">SUMIFS(ФОТ!AJ$25:AJ$89,ФОТ!$F$25:$F$89,$F130,ФОТ!$G$25:$G$89,$G130)</f>
        <v>65088.223200000008</v>
      </c>
      <c r="AL130" s="170">
        <f t="shared" ca="1" si="8"/>
        <v>-1.7924886485868357</v>
      </c>
      <c r="AM130" s="195"/>
      <c r="AN130" s="599" t="str">
        <f ca="1">IF(IFERROR(INDEX(ФОТ!$K$26:$L$89,MATCH($F130&amp;"1komm",ФОТ!$K$26:$K$89,0),2),"")=0,"",IFERROR(INDEX(ФОТ!$K$26:$L$89,MATCH($F130&amp;"1komm",ФОТ!$K$26:$K$89,0),2),""))</f>
        <v>П. 17 Методических указаний ФСТ России № 1746-э.</v>
      </c>
      <c r="AO130" s="195"/>
      <c r="AR130" s="692" t="s">
        <v>1776</v>
      </c>
    </row>
    <row r="131" spans="1:48" ht="21.75" customHeight="1">
      <c r="E131" s="502">
        <v>22.5</v>
      </c>
      <c r="F131" s="3" t="str" cm="1">
        <f t="array" aca="1" ref="F131" ca="1">OFFSET(E131,-1,1)</f>
        <v>1</v>
      </c>
      <c r="G131" s="252" t="s">
        <v>1147</v>
      </c>
      <c r="I131" s="38" t="s">
        <v>1406</v>
      </c>
      <c r="J131" s="38"/>
      <c r="K131" s="38"/>
      <c r="L131" s="38"/>
      <c r="M131" s="38"/>
      <c r="N131" s="38"/>
      <c r="O131" s="38"/>
      <c r="P131" s="154"/>
      <c r="Q131" s="38"/>
      <c r="R131" s="38"/>
      <c r="S131" s="38"/>
      <c r="T131" s="351" t="b" cm="1">
        <f t="array" ref="T131">T130</f>
        <v>1</v>
      </c>
      <c r="X131" s="1113"/>
      <c r="Z131" s="1114"/>
      <c r="AB131" s="133" t="s">
        <v>1060</v>
      </c>
      <c r="AC131" s="134" t="s">
        <v>1777</v>
      </c>
      <c r="AD131" s="9" t="s">
        <v>859</v>
      </c>
      <c r="AE131" s="170">
        <f ca="1">SUMIFS(ФОТ!AE$25:AE$89,ФОТ!$F$25:$F$89,$F131,ФОТ!$G$25:$G$89,$G131)</f>
        <v>743.83</v>
      </c>
      <c r="AF131" s="170">
        <f ca="1">SUMIFS(ФОТ!AF$25:AF$89,ФОТ!$F$25:$F$89,$F131,ФОТ!$G$25:$G$89,$G131)</f>
        <v>1089.5</v>
      </c>
      <c r="AG131" s="170">
        <f ca="1">SUMIFS(ФОТ!AG$25:AG$89,ФОТ!$F$25:$F$89,$F131,ФОТ!$G$25:$G$89,$G131)</f>
        <v>1096.55294</v>
      </c>
      <c r="AH131" s="170">
        <f t="shared" ca="1" si="7"/>
        <v>7.0529400000000351</v>
      </c>
      <c r="AI131" s="170">
        <f ca="1">SUMIFS(ФОТ!AH$25:AH$89,ФОТ!$F$25:$F$89,$F131,ФОТ!$G$25:$G$89,$G131)</f>
        <v>20015.417492928002</v>
      </c>
      <c r="AJ131" s="170">
        <f ca="1">SUMIFS(ФОТ!AI$25:AI$89,ФОТ!$F$25:$F$89,$F131,ФОТ!$G$25:$G$89,$G131)</f>
        <v>19656.643406400002</v>
      </c>
      <c r="AK131" s="170">
        <f ca="1">SUMIFS(ФОТ!AJ$25:AJ$89,ФОТ!$F$25:$F$89,$F131,ФОТ!$G$25:$G$89,$G131)</f>
        <v>19656.643406400002</v>
      </c>
      <c r="AL131" s="170">
        <f t="shared" ca="1" si="8"/>
        <v>-1.792488648586841</v>
      </c>
      <c r="AM131" s="195"/>
      <c r="AN131" s="599" t="str">
        <f ca="1">IF(IFERROR(INDEX(ФОТ!$K$26:$L$89,MATCH($F131&amp;"2komm",ФОТ!$K$26:$K$89,0),2),"")=0,"",IFERROR(INDEX(ФОТ!$K$26:$L$89,MATCH($F131&amp;"2komm",ФОТ!$K$26:$K$89,0),2),""))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AO131" s="195"/>
      <c r="AR131" s="692" t="s">
        <v>1778</v>
      </c>
    </row>
    <row r="132" spans="1:48" s="901" customFormat="1" ht="14.25" customHeight="1">
      <c r="A132" s="421"/>
      <c r="B132" s="421"/>
      <c r="C132" s="421"/>
      <c r="D132" s="421"/>
      <c r="E132" s="503">
        <v>15</v>
      </c>
      <c r="F132" s="3" t="str" cm="1">
        <f t="array" aca="1" ref="F132" ca="1">OFFSET(E132,-1,1)</f>
        <v>1</v>
      </c>
      <c r="G132" s="421"/>
      <c r="H132" s="421"/>
      <c r="I132" s="154" t="s">
        <v>948</v>
      </c>
      <c r="J132" s="154"/>
      <c r="K132" s="154"/>
      <c r="L132" s="154"/>
      <c r="M132" s="154"/>
      <c r="N132" s="154"/>
      <c r="O132" s="154"/>
      <c r="P132" s="154"/>
      <c r="Q132" s="154"/>
      <c r="R132" s="154"/>
      <c r="S132" s="154"/>
      <c r="T132" s="351" t="b" cm="1">
        <f t="array" ref="T132">T131</f>
        <v>1</v>
      </c>
      <c r="U132" s="421"/>
      <c r="V132" s="421"/>
      <c r="W132" s="421"/>
      <c r="X132" s="1113"/>
      <c r="Y132" s="421"/>
      <c r="Z132" s="1114"/>
      <c r="AA132" s="421"/>
      <c r="AB132" s="131" t="s">
        <v>949</v>
      </c>
      <c r="AC132" s="262" t="s">
        <v>1779</v>
      </c>
      <c r="AD132" s="147" t="s">
        <v>859</v>
      </c>
      <c r="AE132" s="138"/>
      <c r="AF132" s="138"/>
      <c r="AG132" s="138"/>
      <c r="AH132" s="126">
        <f t="shared" si="7"/>
        <v>0</v>
      </c>
      <c r="AI132" s="138"/>
      <c r="AJ132" s="138"/>
      <c r="AK132" s="138"/>
      <c r="AL132" s="126">
        <f t="shared" si="8"/>
        <v>0</v>
      </c>
      <c r="AM132" s="554"/>
      <c r="AN132" s="554"/>
      <c r="AO132" s="554"/>
      <c r="AP132" s="421"/>
      <c r="AQ132" s="421"/>
      <c r="AR132" s="693" t="s">
        <v>1384</v>
      </c>
      <c r="AS132" s="693"/>
      <c r="AT132" s="693"/>
      <c r="AU132" s="503"/>
      <c r="AV132" s="503"/>
    </row>
    <row r="133" spans="1:48" s="901" customFormat="1" ht="14.25" customHeight="1">
      <c r="A133" s="421"/>
      <c r="B133" s="421"/>
      <c r="C133" s="421"/>
      <c r="D133" s="421"/>
      <c r="E133" s="503">
        <v>15</v>
      </c>
      <c r="F133" s="3" t="str" cm="1">
        <f t="array" aca="1" ref="F133" ca="1">OFFSET(E133,-1,1)</f>
        <v>1</v>
      </c>
      <c r="G133" s="421"/>
      <c r="H133" s="421"/>
      <c r="I133" s="154" t="s">
        <v>1780</v>
      </c>
      <c r="J133" s="154"/>
      <c r="K133" s="154"/>
      <c r="L133" s="154"/>
      <c r="M133" s="154"/>
      <c r="N133" s="154"/>
      <c r="O133" s="154"/>
      <c r="P133" s="154"/>
      <c r="Q133" s="154"/>
      <c r="R133" s="154"/>
      <c r="S133" s="154"/>
      <c r="T133" s="351" t="b" cm="1">
        <f t="array" ref="T133">T132</f>
        <v>1</v>
      </c>
      <c r="U133" s="421"/>
      <c r="V133" s="421"/>
      <c r="W133" s="421"/>
      <c r="X133" s="1113"/>
      <c r="Y133" s="421"/>
      <c r="Z133" s="1114"/>
      <c r="AA133" s="421"/>
      <c r="AB133" s="131" t="s">
        <v>1781</v>
      </c>
      <c r="AC133" s="262" t="s">
        <v>1782</v>
      </c>
      <c r="AD133" s="147" t="s">
        <v>859</v>
      </c>
      <c r="AE133" s="138"/>
      <c r="AF133" s="138"/>
      <c r="AG133" s="138"/>
      <c r="AH133" s="126">
        <f t="shared" si="7"/>
        <v>0</v>
      </c>
      <c r="AI133" s="138"/>
      <c r="AJ133" s="138"/>
      <c r="AK133" s="138"/>
      <c r="AL133" s="126">
        <f t="shared" si="8"/>
        <v>0</v>
      </c>
      <c r="AM133" s="554"/>
      <c r="AN133" s="554"/>
      <c r="AO133" s="554"/>
      <c r="AP133" s="421"/>
      <c r="AQ133" s="421"/>
      <c r="AR133" s="693" t="s">
        <v>1783</v>
      </c>
      <c r="AS133" s="693"/>
      <c r="AT133" s="693"/>
      <c r="AU133" s="503"/>
      <c r="AV133" s="503"/>
    </row>
    <row r="134" spans="1:48" s="901" customFormat="1" ht="14.25" customHeight="1">
      <c r="A134" s="421"/>
      <c r="B134" s="421"/>
      <c r="C134" s="421"/>
      <c r="D134" s="421"/>
      <c r="E134" s="503">
        <v>15</v>
      </c>
      <c r="F134" s="3" t="str" cm="1">
        <f t="array" aca="1" ref="F134" ca="1">OFFSET(E134,-1,1)</f>
        <v>1</v>
      </c>
      <c r="G134" s="421"/>
      <c r="H134" s="421"/>
      <c r="I134" s="154" t="s">
        <v>1784</v>
      </c>
      <c r="J134" s="154"/>
      <c r="K134" s="154"/>
      <c r="L134" s="154"/>
      <c r="M134" s="154"/>
      <c r="N134" s="154"/>
      <c r="O134" s="154"/>
      <c r="P134" s="154"/>
      <c r="Q134" s="154"/>
      <c r="R134" s="154"/>
      <c r="S134" s="154"/>
      <c r="T134" s="351" t="b" cm="1">
        <f t="array" ref="T134">T133</f>
        <v>1</v>
      </c>
      <c r="U134" s="421"/>
      <c r="V134" s="421"/>
      <c r="W134" s="421"/>
      <c r="X134" s="1113"/>
      <c r="Y134" s="421"/>
      <c r="Z134" s="1114"/>
      <c r="AA134" s="421"/>
      <c r="AB134" s="131" t="s">
        <v>1785</v>
      </c>
      <c r="AC134" s="262" t="s">
        <v>1786</v>
      </c>
      <c r="AD134" s="147" t="s">
        <v>859</v>
      </c>
      <c r="AE134" s="126">
        <f>SUM(AE135:AE142)</f>
        <v>0</v>
      </c>
      <c r="AF134" s="126">
        <f>SUM(AF135:AF142)</f>
        <v>0</v>
      </c>
      <c r="AG134" s="126">
        <f>SUM(AG135:AG142)</f>
        <v>0</v>
      </c>
      <c r="AH134" s="126">
        <f t="shared" si="7"/>
        <v>0</v>
      </c>
      <c r="AI134" s="126">
        <f>SUM(AI135:AI142)</f>
        <v>7394.1255599999995</v>
      </c>
      <c r="AJ134" s="126">
        <f>SUM(AJ135:AJ142)</f>
        <v>0</v>
      </c>
      <c r="AK134" s="126">
        <f>SUM(AK135:AK142)</f>
        <v>0</v>
      </c>
      <c r="AL134" s="126">
        <f t="shared" si="8"/>
        <v>-100</v>
      </c>
      <c r="AM134" s="554"/>
      <c r="AN134" s="554"/>
      <c r="AO134" s="554"/>
      <c r="AP134" s="421"/>
      <c r="AQ134" s="421"/>
      <c r="AR134" s="693" t="s">
        <v>1787</v>
      </c>
      <c r="AS134" s="693"/>
      <c r="AT134" s="693"/>
      <c r="AU134" s="503"/>
      <c r="AV134" s="503"/>
    </row>
    <row r="135" spans="1:48" ht="14.25" customHeight="1">
      <c r="E135" s="502">
        <v>15</v>
      </c>
      <c r="F135" s="3" t="str" cm="1">
        <f t="array" aca="1" ref="F135" ca="1">OFFSET(E135,-1,1)</f>
        <v>1</v>
      </c>
      <c r="I135" s="38" t="s">
        <v>1784</v>
      </c>
      <c r="J135" s="277" t="s">
        <v>1788</v>
      </c>
      <c r="L135" s="38"/>
      <c r="M135" s="38"/>
      <c r="N135" s="38"/>
      <c r="O135" s="38"/>
      <c r="P135" s="38"/>
      <c r="Q135" s="38"/>
      <c r="R135" s="38"/>
      <c r="S135" s="38"/>
      <c r="T135" s="351" t="b" cm="1">
        <f t="array" ref="T135">T134</f>
        <v>1</v>
      </c>
      <c r="X135" s="1113"/>
      <c r="Z135" s="1114"/>
      <c r="AB135" s="133" t="s">
        <v>1789</v>
      </c>
      <c r="AC135" s="134" t="s">
        <v>1790</v>
      </c>
      <c r="AD135" s="9" t="s">
        <v>859</v>
      </c>
      <c r="AE135" s="128"/>
      <c r="AF135" s="128"/>
      <c r="AG135" s="128"/>
      <c r="AH135" s="170">
        <f t="shared" si="7"/>
        <v>0</v>
      </c>
      <c r="AI135" s="128"/>
      <c r="AJ135" s="128"/>
      <c r="AK135" s="128"/>
      <c r="AL135" s="170">
        <f t="shared" si="8"/>
        <v>0</v>
      </c>
      <c r="AM135" s="195"/>
      <c r="AN135" s="195"/>
      <c r="AO135" s="195"/>
      <c r="AR135" s="692" t="s">
        <v>1791</v>
      </c>
    </row>
    <row r="136" spans="1:48" ht="14.25" customHeight="1">
      <c r="E136" s="502">
        <v>15</v>
      </c>
      <c r="F136" s="3" t="str" cm="1">
        <f t="array" aca="1" ref="F136" ca="1">OFFSET(E136,-1,1)</f>
        <v>1</v>
      </c>
      <c r="I136" s="38" t="s">
        <v>1784</v>
      </c>
      <c r="J136" s="277" t="s">
        <v>1792</v>
      </c>
      <c r="L136" s="38"/>
      <c r="M136" s="38"/>
      <c r="N136" s="38"/>
      <c r="O136" s="38"/>
      <c r="P136" s="38"/>
      <c r="Q136" s="38"/>
      <c r="R136" s="38"/>
      <c r="S136" s="38"/>
      <c r="T136" s="351" t="b" cm="1">
        <f t="array" ref="T136">T135</f>
        <v>1</v>
      </c>
      <c r="X136" s="1113"/>
      <c r="Z136" s="1114"/>
      <c r="AB136" s="133" t="s">
        <v>1793</v>
      </c>
      <c r="AC136" s="134" t="s">
        <v>1794</v>
      </c>
      <c r="AD136" s="9" t="s">
        <v>859</v>
      </c>
      <c r="AE136" s="128"/>
      <c r="AF136" s="128"/>
      <c r="AG136" s="128"/>
      <c r="AH136" s="170">
        <f t="shared" si="7"/>
        <v>0</v>
      </c>
      <c r="AI136" s="128"/>
      <c r="AJ136" s="128"/>
      <c r="AK136" s="128"/>
      <c r="AL136" s="170">
        <f t="shared" si="8"/>
        <v>0</v>
      </c>
      <c r="AM136" s="195"/>
      <c r="AN136" s="195"/>
      <c r="AO136" s="195"/>
      <c r="AR136" s="692" t="s">
        <v>1795</v>
      </c>
    </row>
    <row r="137" spans="1:48" ht="14.65" customHeight="1">
      <c r="E137" s="502">
        <v>15</v>
      </c>
      <c r="F137" s="3" t="str" cm="1">
        <f t="array" aca="1" ref="F137" ca="1">OFFSET(E137,-1,1)</f>
        <v>1</v>
      </c>
      <c r="I137" s="38" t="s">
        <v>1784</v>
      </c>
      <c r="J137" s="277" t="s">
        <v>1796</v>
      </c>
      <c r="L137" s="38"/>
      <c r="M137" s="38"/>
      <c r="N137" s="38"/>
      <c r="O137" s="38"/>
      <c r="P137" s="38"/>
      <c r="Q137" s="38"/>
      <c r="R137" s="38"/>
      <c r="S137" s="38"/>
      <c r="T137" s="351" t="b" cm="1">
        <f t="array" ref="T137">T136</f>
        <v>1</v>
      </c>
      <c r="X137" s="1113"/>
      <c r="Z137" s="1114"/>
      <c r="AB137" s="133" t="s">
        <v>1797</v>
      </c>
      <c r="AC137" s="134" t="s">
        <v>1798</v>
      </c>
      <c r="AD137" s="9" t="s">
        <v>859</v>
      </c>
      <c r="AE137" s="128"/>
      <c r="AF137" s="128"/>
      <c r="AG137" s="128"/>
      <c r="AH137" s="170">
        <f t="shared" si="7"/>
        <v>0</v>
      </c>
      <c r="AI137" s="128">
        <v>648.05624</v>
      </c>
      <c r="AJ137" s="128"/>
      <c r="AK137" s="128"/>
      <c r="AL137" s="170">
        <f t="shared" si="8"/>
        <v>-100</v>
      </c>
      <c r="AM137" s="195"/>
      <c r="AN137" s="195"/>
      <c r="AO137" s="195"/>
      <c r="AR137" s="692" t="s">
        <v>1799</v>
      </c>
    </row>
    <row r="138" spans="1:48" ht="14.25" customHeight="1">
      <c r="E138" s="502">
        <v>15</v>
      </c>
      <c r="F138" s="3" t="str" cm="1">
        <f t="array" aca="1" ref="F138" ca="1">OFFSET(E138,-1,1)</f>
        <v>1</v>
      </c>
      <c r="I138" s="38" t="s">
        <v>1784</v>
      </c>
      <c r="J138" s="277" t="s">
        <v>1800</v>
      </c>
      <c r="L138" s="38"/>
      <c r="M138" s="38"/>
      <c r="N138" s="38"/>
      <c r="O138" s="38"/>
      <c r="P138" s="38"/>
      <c r="Q138" s="38"/>
      <c r="R138" s="38"/>
      <c r="S138" s="38"/>
      <c r="T138" s="351" t="b" cm="1">
        <f t="array" ref="T138">T137</f>
        <v>1</v>
      </c>
      <c r="X138" s="1113"/>
      <c r="Z138" s="1114"/>
      <c r="AB138" s="133" t="s">
        <v>1801</v>
      </c>
      <c r="AC138" s="134" t="s">
        <v>1802</v>
      </c>
      <c r="AD138" s="9" t="s">
        <v>859</v>
      </c>
      <c r="AE138" s="128"/>
      <c r="AF138" s="128"/>
      <c r="AG138" s="128"/>
      <c r="AH138" s="170">
        <f t="shared" si="7"/>
        <v>0</v>
      </c>
      <c r="AI138" s="128"/>
      <c r="AJ138" s="128"/>
      <c r="AK138" s="128"/>
      <c r="AL138" s="170">
        <f t="shared" si="8"/>
        <v>0</v>
      </c>
      <c r="AM138" s="195"/>
      <c r="AN138" s="195"/>
      <c r="AO138" s="195"/>
      <c r="AR138" s="692" t="s">
        <v>1803</v>
      </c>
    </row>
    <row r="139" spans="1:48" ht="14.25" hidden="1" customHeight="1">
      <c r="E139" s="502">
        <v>15</v>
      </c>
      <c r="F139" s="3" t="str" cm="1">
        <f t="array" aca="1" ref="F139" ca="1">OFFSET(E139,-1,1)</f>
        <v>1</v>
      </c>
      <c r="I139" s="38" t="s">
        <v>1784</v>
      </c>
      <c r="J139" s="277" cm="1">
        <f t="array" ref="J139">AC139</f>
        <v>0</v>
      </c>
      <c r="L139" s="38"/>
      <c r="M139" s="38"/>
      <c r="N139" s="38"/>
      <c r="O139" s="38"/>
      <c r="P139" s="38"/>
      <c r="Q139" s="38"/>
      <c r="R139" s="38"/>
      <c r="S139" s="38"/>
      <c r="T139" s="351" t="b">
        <f ca="1">AND(F139&gt;0,Y139&gt;4)</f>
        <v>0</v>
      </c>
      <c r="W139" s="515" t="s">
        <v>171</v>
      </c>
      <c r="X139" s="1113"/>
      <c r="Y139" s="277">
        <v>4</v>
      </c>
      <c r="Z139" s="1114"/>
      <c r="AA139" s="480" t="s">
        <v>172</v>
      </c>
      <c r="AB139" s="498" t="str">
        <f>"1.7."&amp;Y139</f>
        <v>1.7.4</v>
      </c>
      <c r="AC139" s="779"/>
      <c r="AD139" s="9" t="s">
        <v>859</v>
      </c>
      <c r="AE139" s="128"/>
      <c r="AF139" s="128"/>
      <c r="AG139" s="128"/>
      <c r="AH139" s="170">
        <f t="shared" si="7"/>
        <v>0</v>
      </c>
      <c r="AI139" s="128"/>
      <c r="AJ139" s="777"/>
      <c r="AK139" s="777"/>
      <c r="AL139" s="170">
        <f t="shared" si="8"/>
        <v>0</v>
      </c>
      <c r="AM139" s="774"/>
      <c r="AN139" s="774"/>
      <c r="AO139" s="774"/>
      <c r="AR139" s="692" t="s">
        <v>1804</v>
      </c>
      <c r="AS139" s="692" t="s">
        <v>1805</v>
      </c>
      <c r="AT139" s="692" cm="1">
        <f t="array" ref="AT139">AC139</f>
        <v>0</v>
      </c>
      <c r="AV139" s="502" t="b">
        <v>1</v>
      </c>
    </row>
    <row r="140" spans="1:48" ht="18.75" customHeight="1">
      <c r="E140" s="502">
        <v>15</v>
      </c>
      <c r="F140" s="3" t="str" cm="1">
        <f t="array" aca="1" ref="F140" ca="1">OFFSET(E140,-1,1)</f>
        <v>1</v>
      </c>
      <c r="I140" s="38" t="s">
        <v>1784</v>
      </c>
      <c r="J140" s="277" t="str" cm="1">
        <f t="array" ref="J140">AC140</f>
        <v>охрана труда</v>
      </c>
      <c r="L140" s="38"/>
      <c r="M140" s="38"/>
      <c r="N140" s="38"/>
      <c r="O140" s="38"/>
      <c r="P140" s="38"/>
      <c r="Q140" s="38"/>
      <c r="R140" s="38"/>
      <c r="S140" s="38"/>
      <c r="T140" s="351" t="b">
        <f ca="1">AND(F140&gt;0,Y140&gt;4)</f>
        <v>1</v>
      </c>
      <c r="W140" s="515"/>
      <c r="X140" s="1113"/>
      <c r="Y140" s="277" t="s">
        <v>440</v>
      </c>
      <c r="Z140" s="1114"/>
      <c r="AA140" s="480" t="s">
        <v>172</v>
      </c>
      <c r="AB140" s="498" t="str">
        <f>"1.7."&amp;Y140</f>
        <v>1.7.5</v>
      </c>
      <c r="AC140" s="346" t="s">
        <v>1936</v>
      </c>
      <c r="AD140" s="9" t="s">
        <v>859</v>
      </c>
      <c r="AE140" s="128"/>
      <c r="AF140" s="128"/>
      <c r="AG140" s="128"/>
      <c r="AH140" s="170">
        <f t="shared" si="7"/>
        <v>0</v>
      </c>
      <c r="AI140" s="128">
        <v>3373.0346599999998</v>
      </c>
      <c r="AJ140" s="128"/>
      <c r="AK140" s="128"/>
      <c r="AL140" s="170">
        <f t="shared" si="8"/>
        <v>-100</v>
      </c>
      <c r="AM140" s="195"/>
      <c r="AN140" s="195"/>
      <c r="AO140" s="195"/>
      <c r="AR140" s="692" t="s">
        <v>1804</v>
      </c>
      <c r="AS140" s="692" t="s">
        <v>1805</v>
      </c>
      <c r="AT140" s="692" t="str" cm="1">
        <f t="array" ref="AT140">AC140</f>
        <v>охрана труда</v>
      </c>
      <c r="AV140" s="502" t="b">
        <v>1</v>
      </c>
    </row>
    <row r="141" spans="1:48" ht="18.75" customHeight="1">
      <c r="E141" s="502">
        <v>15</v>
      </c>
      <c r="F141" s="3" t="str" cm="1">
        <f t="array" aca="1" ref="F141" ca="1">OFFSET(E141,-1,1)</f>
        <v>1</v>
      </c>
      <c r="I141" s="38" t="s">
        <v>1784</v>
      </c>
      <c r="J141" s="277" t="str" cm="1">
        <f t="array" ref="J141">AC141</f>
        <v>охрана труда</v>
      </c>
      <c r="L141" s="38"/>
      <c r="M141" s="38"/>
      <c r="N141" s="38"/>
      <c r="O141" s="38"/>
      <c r="P141" s="38"/>
      <c r="Q141" s="38"/>
      <c r="R141" s="38"/>
      <c r="S141" s="38"/>
      <c r="T141" s="351" t="b">
        <f ca="1">AND(F141&gt;0,Y141&gt;4)</f>
        <v>1</v>
      </c>
      <c r="W141" s="515"/>
      <c r="X141" s="1113"/>
      <c r="Y141" s="277" t="s">
        <v>442</v>
      </c>
      <c r="Z141" s="1114"/>
      <c r="AA141" s="480" t="s">
        <v>172</v>
      </c>
      <c r="AB141" s="498" t="str">
        <f>"1.7."&amp;Y141</f>
        <v>1.7.6</v>
      </c>
      <c r="AC141" s="346" t="s">
        <v>1936</v>
      </c>
      <c r="AD141" s="9" t="s">
        <v>859</v>
      </c>
      <c r="AE141" s="128"/>
      <c r="AF141" s="128"/>
      <c r="AG141" s="128"/>
      <c r="AH141" s="170">
        <f t="shared" si="7"/>
        <v>0</v>
      </c>
      <c r="AI141" s="128">
        <v>3373.0346599999998</v>
      </c>
      <c r="AJ141" s="128"/>
      <c r="AK141" s="128"/>
      <c r="AL141" s="170">
        <f t="shared" si="8"/>
        <v>-100</v>
      </c>
      <c r="AM141" s="195"/>
      <c r="AN141" s="195"/>
      <c r="AO141" s="195"/>
      <c r="AR141" s="692" t="s">
        <v>1804</v>
      </c>
      <c r="AS141" s="692" t="s">
        <v>1805</v>
      </c>
      <c r="AT141" s="692" t="str" cm="1">
        <f t="array" ref="AT141">AC141</f>
        <v>охрана труда</v>
      </c>
      <c r="AV141" s="502" t="b">
        <v>1</v>
      </c>
    </row>
    <row r="142" spans="1:48" ht="14.25" customHeight="1">
      <c r="E142" s="502">
        <v>15</v>
      </c>
      <c r="F142" s="3" t="str" cm="1">
        <f t="array" aca="1" ref="F142" ca="1">OFFSET(E142,-1,1)</f>
        <v>1</v>
      </c>
      <c r="I142" s="17"/>
      <c r="J142" s="17" t="s">
        <v>1806</v>
      </c>
      <c r="K142" s="17"/>
      <c r="L142" s="17"/>
      <c r="M142" s="17"/>
      <c r="N142" s="17"/>
      <c r="O142" s="17"/>
      <c r="P142" s="17"/>
      <c r="Q142" s="17"/>
      <c r="R142" s="17"/>
      <c r="S142" s="17"/>
      <c r="T142" s="351" t="b">
        <f ca="1">F142&gt;0</f>
        <v>1</v>
      </c>
      <c r="W142" s="504" t="s">
        <v>388</v>
      </c>
      <c r="X142" s="1113"/>
      <c r="Z142" s="1114"/>
      <c r="AB142" s="544"/>
      <c r="AC142" s="171" t="s">
        <v>175</v>
      </c>
      <c r="AD142" s="545"/>
      <c r="AE142" s="545"/>
      <c r="AF142" s="545"/>
      <c r="AG142" s="545"/>
      <c r="AH142" s="545"/>
      <c r="AI142" s="545"/>
      <c r="AJ142" s="545"/>
      <c r="AK142" s="545"/>
      <c r="AL142" s="545"/>
      <c r="AM142" s="545"/>
      <c r="AN142" s="545"/>
      <c r="AO142" s="546"/>
      <c r="AU142" s="502" t="s">
        <v>1805</v>
      </c>
    </row>
    <row r="143" spans="1:48" s="901" customFormat="1" ht="14.25" customHeight="1">
      <c r="A143" s="421"/>
      <c r="B143" s="421"/>
      <c r="C143" s="421"/>
      <c r="D143" s="421"/>
      <c r="E143" s="503">
        <v>15</v>
      </c>
      <c r="F143" s="3" t="str" cm="1">
        <f t="array" aca="1" ref="F143" ca="1">OFFSET(E143,-1,1)</f>
        <v>1</v>
      </c>
      <c r="G143" s="421"/>
      <c r="H143" s="421"/>
      <c r="I143" s="154" t="s">
        <v>322</v>
      </c>
      <c r="J143" s="154"/>
      <c r="K143" s="154"/>
      <c r="L143" s="154"/>
      <c r="M143" s="154"/>
      <c r="N143" s="154"/>
      <c r="O143" s="154"/>
      <c r="P143" s="154"/>
      <c r="Q143" s="154"/>
      <c r="R143" s="154"/>
      <c r="S143" s="154"/>
      <c r="T143" s="351" t="b" cm="1">
        <f t="array" aca="1" ref="T143" ca="1">T142</f>
        <v>1</v>
      </c>
      <c r="U143" s="421"/>
      <c r="V143" s="421"/>
      <c r="W143" s="421"/>
      <c r="X143" s="1113"/>
      <c r="Y143" s="421"/>
      <c r="Z143" s="1114"/>
      <c r="AA143" s="421"/>
      <c r="AB143" s="131" t="s">
        <v>435</v>
      </c>
      <c r="AC143" s="132" t="s">
        <v>1807</v>
      </c>
      <c r="AD143" s="124" t="s">
        <v>859</v>
      </c>
      <c r="AE143" s="126">
        <f ca="1">AE144+AE145</f>
        <v>1505.98</v>
      </c>
      <c r="AF143" s="126">
        <f ca="1">AF144+AF145</f>
        <v>2136.2434800000001</v>
      </c>
      <c r="AG143" s="126">
        <f ca="1">AG144+AG145</f>
        <v>2136.2434800000001</v>
      </c>
      <c r="AH143" s="126">
        <f t="shared" ref="AH143:AH168" ca="1" si="9">AG143-AF143</f>
        <v>0</v>
      </c>
      <c r="AI143" s="126">
        <f ca="1">AI144+AI145</f>
        <v>55834.355692480007</v>
      </c>
      <c r="AJ143" s="126">
        <f ca="1">AJ144+AJ145</f>
        <v>46774.764036</v>
      </c>
      <c r="AK143" s="126">
        <f ca="1">AK144+AK145</f>
        <v>46774.764036</v>
      </c>
      <c r="AL143" s="126">
        <f t="shared" ref="AL143:AL182" ca="1" si="10">IF(AI143=0,0,(AK143-AI143)/AI143*100)</f>
        <v>-16.225837200267339</v>
      </c>
      <c r="AM143" s="554"/>
      <c r="AN143" s="554"/>
      <c r="AO143" s="554"/>
      <c r="AP143" s="421"/>
      <c r="AQ143" s="421"/>
      <c r="AR143" s="693" t="s">
        <v>1808</v>
      </c>
      <c r="AS143" s="693"/>
      <c r="AT143" s="693"/>
      <c r="AU143" s="503"/>
      <c r="AV143" s="503"/>
    </row>
    <row r="144" spans="1:48" ht="32.85" customHeight="1">
      <c r="E144" s="502">
        <v>33.75</v>
      </c>
      <c r="F144" s="3" t="str" cm="1">
        <f t="array" aca="1" ref="F144" ca="1">OFFSET(E144,-1,1)</f>
        <v>1</v>
      </c>
      <c r="I144" s="38" t="s">
        <v>525</v>
      </c>
      <c r="J144" s="38"/>
      <c r="K144" s="38"/>
      <c r="L144" s="38"/>
      <c r="M144" s="38"/>
      <c r="N144" s="38"/>
      <c r="O144" s="38"/>
      <c r="P144" s="38"/>
      <c r="Q144" s="38"/>
      <c r="R144" s="38"/>
      <c r="S144" s="38"/>
      <c r="T144" s="351" t="b" cm="1">
        <f t="array" aca="1" ref="T144" ca="1">T143</f>
        <v>1</v>
      </c>
      <c r="X144" s="1113"/>
      <c r="Z144" s="1114"/>
      <c r="AB144" s="133" t="s">
        <v>588</v>
      </c>
      <c r="AC144" s="127" t="s">
        <v>1809</v>
      </c>
      <c r="AD144" s="7" t="s">
        <v>859</v>
      </c>
      <c r="AE144" s="128"/>
      <c r="AF144" s="128"/>
      <c r="AG144" s="128"/>
      <c r="AH144" s="170">
        <f t="shared" si="9"/>
        <v>0</v>
      </c>
      <c r="AI144" s="128">
        <v>15310.66</v>
      </c>
      <c r="AJ144" s="128"/>
      <c r="AK144" s="128"/>
      <c r="AL144" s="170">
        <f t="shared" si="10"/>
        <v>-100</v>
      </c>
      <c r="AM144" s="195"/>
      <c r="AN144" s="195"/>
      <c r="AO144" s="195"/>
      <c r="AR144" s="692" t="s">
        <v>1810</v>
      </c>
    </row>
    <row r="145" spans="1:48" ht="34.5" customHeight="1">
      <c r="E145" s="502">
        <v>36</v>
      </c>
      <c r="F145" s="3" t="str" cm="1">
        <f t="array" aca="1" ref="F145" ca="1">OFFSET(E145,-1,1)</f>
        <v>1</v>
      </c>
      <c r="I145" s="38" t="s">
        <v>528</v>
      </c>
      <c r="J145" s="38"/>
      <c r="K145" s="38"/>
      <c r="L145" s="38"/>
      <c r="M145" s="38"/>
      <c r="N145" s="38"/>
      <c r="O145" s="38"/>
      <c r="P145" s="38"/>
      <c r="Q145" s="38"/>
      <c r="R145" s="38"/>
      <c r="S145" s="38"/>
      <c r="T145" s="351" t="b" cm="1">
        <f t="array" aca="1" ref="T145" ca="1">T144</f>
        <v>1</v>
      </c>
      <c r="X145" s="1113"/>
      <c r="Z145" s="1114"/>
      <c r="AB145" s="133" t="s">
        <v>592</v>
      </c>
      <c r="AC145" s="127" t="s">
        <v>1811</v>
      </c>
      <c r="AD145" s="7" t="s">
        <v>859</v>
      </c>
      <c r="AE145" s="170">
        <f ca="1">AE146+AE147</f>
        <v>1505.98</v>
      </c>
      <c r="AF145" s="170">
        <f ca="1">AF146+AF147</f>
        <v>2136.2434800000001</v>
      </c>
      <c r="AG145" s="170">
        <f ca="1">AG146+AG147</f>
        <v>2136.2434800000001</v>
      </c>
      <c r="AH145" s="170">
        <f t="shared" ca="1" si="9"/>
        <v>0</v>
      </c>
      <c r="AI145" s="170">
        <f ca="1">AI146+AI147</f>
        <v>40523.695692480003</v>
      </c>
      <c r="AJ145" s="170">
        <f ca="1">AJ146+AJ147</f>
        <v>46774.764036</v>
      </c>
      <c r="AK145" s="170">
        <f ca="1">AK146+AK147</f>
        <v>46774.764036</v>
      </c>
      <c r="AL145" s="170">
        <f t="shared" ca="1" si="10"/>
        <v>15.425711393544026</v>
      </c>
      <c r="AM145" s="195"/>
      <c r="AN145" s="195"/>
      <c r="AO145" s="195"/>
      <c r="AR145" s="692" t="s">
        <v>1812</v>
      </c>
    </row>
    <row r="146" spans="1:48" ht="14.25" customHeight="1">
      <c r="E146" s="502">
        <v>15</v>
      </c>
      <c r="F146" s="3" t="str" cm="1">
        <f t="array" aca="1" ref="F146" ca="1">OFFSET(E146,-1,1)</f>
        <v>1</v>
      </c>
      <c r="G146" s="277" t="s">
        <v>1150</v>
      </c>
      <c r="I146" s="38" t="s">
        <v>1813</v>
      </c>
      <c r="J146" s="38"/>
      <c r="K146" s="38"/>
      <c r="L146" s="38"/>
      <c r="M146" s="38"/>
      <c r="N146" s="38"/>
      <c r="O146" s="38"/>
      <c r="P146" s="38"/>
      <c r="Q146" s="38"/>
      <c r="R146" s="38"/>
      <c r="S146" s="38"/>
      <c r="T146" s="351" t="b" cm="1">
        <f t="array" aca="1" ref="T146" ca="1">T145</f>
        <v>1</v>
      </c>
      <c r="X146" s="1113"/>
      <c r="Z146" s="1114"/>
      <c r="AB146" s="133" t="s">
        <v>539</v>
      </c>
      <c r="AC146" s="134" t="s">
        <v>1814</v>
      </c>
      <c r="AD146" s="7" t="s">
        <v>859</v>
      </c>
      <c r="AE146" s="170">
        <f ca="1">SUMIFS(ФОТ!AE$25:AE$89,ФОТ!$F$25:$F$89,$F146,ФОТ!$G$25:$G$89,$G146)</f>
        <v>1156.67</v>
      </c>
      <c r="AF146" s="170">
        <f ca="1">SUMIFS(ФОТ!AF$25:AF$89,ФОТ!$F$25:$F$89,$F146,ФОТ!$G$25:$G$89,$G146)</f>
        <v>1640.74</v>
      </c>
      <c r="AG146" s="170">
        <f ca="1">SUMIFS(ФОТ!AG$25:AG$89,ФОТ!$F$25:$F$89,$F146,ФОТ!$G$25:$G$89,$G146)</f>
        <v>1640.74</v>
      </c>
      <c r="AH146" s="170">
        <f t="shared" ca="1" si="9"/>
        <v>0</v>
      </c>
      <c r="AI146" s="170">
        <f ca="1">SUMIFS(ФОТ!AH$25:AH$89,ФОТ!$F$25:$F$89,$F146,ФОТ!$G$25:$G$89,$G146)</f>
        <v>31124.19024</v>
      </c>
      <c r="AJ146" s="170">
        <f ca="1">SUMIFS(ФОТ!AI$25:AI$89,ФОТ!$F$25:$F$89,$F146,ФОТ!$G$25:$G$89,$G146)</f>
        <v>35925.317999999999</v>
      </c>
      <c r="AK146" s="170">
        <f ca="1">SUMIFS(ФОТ!AJ$25:AJ$89,ФОТ!$F$25:$F$89,$F146,ФОТ!$G$25:$G$89,$G146)</f>
        <v>35925.317999999999</v>
      </c>
      <c r="AL146" s="170">
        <f t="shared" ca="1" si="10"/>
        <v>15.425711393544031</v>
      </c>
      <c r="AM146" s="195"/>
      <c r="AN146" s="599" t="str">
        <f ca="1">IF(IFERROR(INDEX(ФОТ!$K$26:$L$89,MATCH($F146&amp;"3komm",ФОТ!$K$26:$K$89,0),2),"")=0,"",IFERROR(INDEX(ФОТ!$K$26:$L$89,MATCH($F146&amp;"3komm",ФОТ!$K$26:$K$89,0),2),""))</f>
        <v/>
      </c>
      <c r="AO146" s="195"/>
      <c r="AR146" s="692" t="s">
        <v>1815</v>
      </c>
    </row>
    <row r="147" spans="1:48" ht="21.75" customHeight="1">
      <c r="E147" s="502">
        <v>22.5</v>
      </c>
      <c r="F147" s="3" t="str" cm="1">
        <f t="array" aca="1" ref="F147" ca="1">OFFSET(E147,-1,1)</f>
        <v>1</v>
      </c>
      <c r="G147" s="277" t="s">
        <v>1155</v>
      </c>
      <c r="I147" s="38" t="s">
        <v>1816</v>
      </c>
      <c r="J147" s="38"/>
      <c r="K147" s="38"/>
      <c r="L147" s="38"/>
      <c r="M147" s="38"/>
      <c r="N147" s="38"/>
      <c r="O147" s="38"/>
      <c r="P147" s="38"/>
      <c r="Q147" s="38"/>
      <c r="R147" s="38"/>
      <c r="S147" s="38"/>
      <c r="T147" s="351" t="b" cm="1">
        <f t="array" aca="1" ref="T147" ca="1">T146</f>
        <v>1</v>
      </c>
      <c r="X147" s="1113"/>
      <c r="Z147" s="1114"/>
      <c r="AB147" s="133" t="s">
        <v>1480</v>
      </c>
      <c r="AC147" s="134" t="s">
        <v>1817</v>
      </c>
      <c r="AD147" s="7" t="s">
        <v>859</v>
      </c>
      <c r="AE147" s="170">
        <f ca="1">SUMIFS(ФОТ!AE$25:AE$89,ФОТ!$F$25:$F$89,$F147,ФОТ!$G$25:$G$89,$G147)</f>
        <v>349.31</v>
      </c>
      <c r="AF147" s="170">
        <f ca="1">SUMIFS(ФОТ!AF$25:AF$89,ФОТ!$F$25:$F$89,$F147,ФОТ!$G$25:$G$89,$G147)</f>
        <v>495.50347999999997</v>
      </c>
      <c r="AG147" s="170">
        <f ca="1">SUMIFS(ФОТ!AG$25:AG$89,ФОТ!$F$25:$F$89,$F147,ФОТ!$G$25:$G$89,$G147)</f>
        <v>495.50347999999997</v>
      </c>
      <c r="AH147" s="170">
        <f t="shared" ca="1" si="9"/>
        <v>0</v>
      </c>
      <c r="AI147" s="170">
        <f ca="1">SUMIFS(ФОТ!AH$25:AH$89,ФОТ!$F$25:$F$89,$F147,ФОТ!$G$25:$G$89,$G147)</f>
        <v>9399.5054524799998</v>
      </c>
      <c r="AJ147" s="170">
        <f ca="1">SUMIFS(ФОТ!AI$25:AI$89,ФОТ!$F$25:$F$89,$F147,ФОТ!$G$25:$G$89,$G147)</f>
        <v>10849.446036000001</v>
      </c>
      <c r="AK147" s="170">
        <f ca="1">SUMIFS(ФОТ!AJ$25:AJ$89,ФОТ!$F$25:$F$89,$F147,ФОТ!$G$25:$G$89,$G147)</f>
        <v>10849.446036000001</v>
      </c>
      <c r="AL147" s="170">
        <f t="shared" ca="1" si="10"/>
        <v>15.425711393544047</v>
      </c>
      <c r="AM147" s="195"/>
      <c r="AN147" s="599" t="str">
        <f ca="1">IF(IFERROR(INDEX(ФОТ!$K$26:$L$89,MATCH($F147&amp;"4komm",ФОТ!$K$26:$K$89,0),2),"")=0,"",IFERROR(INDEX(ФОТ!$K$26:$L$89,MATCH($F147&amp;"4komm",ФОТ!$K$26:$K$89,0),2),""))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AO147" s="195"/>
      <c r="AR147" s="692" t="s">
        <v>1818</v>
      </c>
    </row>
    <row r="148" spans="1:48" s="901" customFormat="1" ht="14.25" customHeight="1">
      <c r="A148" s="421"/>
      <c r="B148" s="421"/>
      <c r="C148" s="421"/>
      <c r="D148" s="421"/>
      <c r="E148" s="503">
        <v>15</v>
      </c>
      <c r="F148" s="3" t="str" cm="1">
        <f t="array" aca="1" ref="F148" ca="1">OFFSET(E148,-1,1)</f>
        <v>1</v>
      </c>
      <c r="G148" s="421"/>
      <c r="H148" s="421"/>
      <c r="I148" s="154" t="s">
        <v>323</v>
      </c>
      <c r="J148" s="154"/>
      <c r="K148" s="154"/>
      <c r="L148" s="154"/>
      <c r="M148" s="154"/>
      <c r="N148" s="154"/>
      <c r="O148" s="154"/>
      <c r="P148" s="154"/>
      <c r="Q148" s="154"/>
      <c r="R148" s="154"/>
      <c r="S148" s="154"/>
      <c r="T148" s="351" t="b" cm="1">
        <f t="array" aca="1" ref="T148" ca="1">T147</f>
        <v>1</v>
      </c>
      <c r="U148" s="421"/>
      <c r="V148" s="421"/>
      <c r="W148" s="421"/>
      <c r="X148" s="1113"/>
      <c r="Y148" s="421"/>
      <c r="Z148" s="1114"/>
      <c r="AA148" s="421"/>
      <c r="AB148" s="131" t="s">
        <v>319</v>
      </c>
      <c r="AC148" s="132" t="s">
        <v>1819</v>
      </c>
      <c r="AD148" s="124" t="s">
        <v>859</v>
      </c>
      <c r="AE148" s="126">
        <f ca="1">AE149+AE150+AE153+AE154+AE155+AE156+AE157</f>
        <v>1011.4300000000002</v>
      </c>
      <c r="AF148" s="126">
        <f ca="1">AF149+AF150+AF153+AF154+AF155+AF156+AF157</f>
        <v>3297.9900000000002</v>
      </c>
      <c r="AG148" s="126">
        <f ca="1">AG149+AG150+AG153+AG154+AG155+AG156+AG157</f>
        <v>3297.9900000000002</v>
      </c>
      <c r="AH148" s="126">
        <f t="shared" ca="1" si="9"/>
        <v>0</v>
      </c>
      <c r="AI148" s="126">
        <f ca="1">AI149+AI150+AI153+AI154+AI155+AI156+AI157</f>
        <v>22249.383739263005</v>
      </c>
      <c r="AJ148" s="126">
        <f ca="1">AJ149+AJ150+AJ153+AJ154+AJ155+AJ156+AJ157</f>
        <v>27390.918297600001</v>
      </c>
      <c r="AK148" s="126">
        <f ca="1">AK149+AK150+AK153+AK154+AK155+AK156+AK157</f>
        <v>24400.432877920004</v>
      </c>
      <c r="AL148" s="126">
        <f t="shared" ca="1" si="10"/>
        <v>9.6679043512611518</v>
      </c>
      <c r="AM148" s="554"/>
      <c r="AN148" s="554"/>
      <c r="AO148" s="554"/>
      <c r="AP148" s="421"/>
      <c r="AQ148" s="421"/>
      <c r="AR148" s="693" t="s">
        <v>1820</v>
      </c>
      <c r="AS148" s="693"/>
      <c r="AT148" s="693"/>
      <c r="AU148" s="503"/>
      <c r="AV148" s="503"/>
    </row>
    <row r="149" spans="1:48" ht="21.75" customHeight="1">
      <c r="E149" s="502">
        <v>22.5</v>
      </c>
      <c r="F149" s="3" t="str" cm="1">
        <f t="array" aca="1" ref="F149" ca="1">OFFSET(E149,-1,1)</f>
        <v>1</v>
      </c>
      <c r="G149" s="277" t="s">
        <v>1198</v>
      </c>
      <c r="I149" s="38" t="s">
        <v>966</v>
      </c>
      <c r="J149" s="38"/>
      <c r="K149" s="38"/>
      <c r="L149" s="38"/>
      <c r="M149" s="38"/>
      <c r="N149" s="38"/>
      <c r="O149" s="38"/>
      <c r="P149" s="38"/>
      <c r="Q149" s="38"/>
      <c r="R149" s="38"/>
      <c r="S149" s="38"/>
      <c r="T149" s="351" t="b" cm="1">
        <f t="array" aca="1" ref="T149" ca="1">T148</f>
        <v>1</v>
      </c>
      <c r="X149" s="1113"/>
      <c r="Z149" s="1114"/>
      <c r="AB149" s="133" t="s">
        <v>602</v>
      </c>
      <c r="AC149" s="127" t="s">
        <v>1821</v>
      </c>
      <c r="AD149" s="7" t="s">
        <v>859</v>
      </c>
      <c r="AE149" s="170">
        <f ca="1">SUMIFS(Административные!AE$25:AE$65,Административные!$F$25:$F$65,$F149,Административные!$G$25:$G$65,$G149)</f>
        <v>340.67</v>
      </c>
      <c r="AF149" s="170">
        <f ca="1">SUMIFS(Административные!AF$25:AF$65,Административные!$F$25:$F$65,$F149,Административные!$G$25:$G$65,$G149)</f>
        <v>847.25</v>
      </c>
      <c r="AG149" s="170">
        <f ca="1">SUMIFS(Административные!AG$25:AG$65,Административные!$F$25:$F$65,$F149,Административные!$G$25:$G$65,$G149)</f>
        <v>847.25</v>
      </c>
      <c r="AH149" s="170">
        <f t="shared" ca="1" si="9"/>
        <v>0</v>
      </c>
      <c r="AI149" s="170">
        <f ca="1">SUMIFS(Административные!AH$25:AH$65,Административные!$F$25:$F$65,$F149,Административные!$G$25:$G$65,$G149)</f>
        <v>4853.2084289590002</v>
      </c>
      <c r="AJ149" s="170">
        <f ca="1">SUMIFS(Административные!AI$25:AI$65,Административные!$F$25:$F$65,$F149,Административные!$G$25:$G$65,$G149)</f>
        <v>3835.6200000000003</v>
      </c>
      <c r="AK149" s="170">
        <f ca="1">SUMIFS(Административные!AJ$25:AJ$65,Административные!$F$25:$F$65,$F149,Административные!$G$25:$G$65,$G149)</f>
        <v>4061.67</v>
      </c>
      <c r="AL149" s="170">
        <f t="shared" ca="1" si="10"/>
        <v>-16.309590666576483</v>
      </c>
      <c r="AM149" s="195"/>
      <c r="AN149" s="599" t="str">
        <f ca="1">IF(IFERROR(INDEX(Административные!$K$26:$L$65,MATCH($F149&amp;"17komm",Административные!$K$26:$K$65,0),2),"")=0,"",IFERROR(INDEX(Административные!$K$26:$L$65,MATCH($F149&amp;"17komm",Административные!$K$26:$K$65,0),2),""))</f>
        <v>П 25 (1) Методических указаний № 1746-э.</v>
      </c>
      <c r="AO149" s="195"/>
      <c r="AR149" s="692" t="s">
        <v>1200</v>
      </c>
    </row>
    <row r="150" spans="1:48" ht="32.25" customHeight="1">
      <c r="E150" s="502">
        <v>33.75</v>
      </c>
      <c r="F150" s="3" t="str" cm="1">
        <f t="array" aca="1" ref="F150" ca="1">OFFSET(E150,-1,1)</f>
        <v>1</v>
      </c>
      <c r="I150" s="38" t="s">
        <v>968</v>
      </c>
      <c r="J150" s="38"/>
      <c r="K150" s="38"/>
      <c r="L150" s="38"/>
      <c r="M150" s="38"/>
      <c r="N150" s="38"/>
      <c r="O150" s="38"/>
      <c r="P150" s="38"/>
      <c r="Q150" s="38"/>
      <c r="R150" s="38"/>
      <c r="S150" s="38"/>
      <c r="T150" s="351" t="b" cm="1">
        <f t="array" aca="1" ref="T150" ca="1">T149</f>
        <v>1</v>
      </c>
      <c r="X150" s="1113"/>
      <c r="Z150" s="1114"/>
      <c r="AB150" s="133" t="s">
        <v>606</v>
      </c>
      <c r="AC150" s="127" t="s">
        <v>1822</v>
      </c>
      <c r="AD150" s="7" t="s">
        <v>859</v>
      </c>
      <c r="AE150" s="170">
        <f ca="1">AE151+AE152</f>
        <v>526.72</v>
      </c>
      <c r="AF150" s="170">
        <f ca="1">AF151+AF152</f>
        <v>2169.4500000000003</v>
      </c>
      <c r="AG150" s="170">
        <f ca="1">AG151+AG152</f>
        <v>2169.4500000000003</v>
      </c>
      <c r="AH150" s="170">
        <f t="shared" ca="1" si="9"/>
        <v>0</v>
      </c>
      <c r="AI150" s="170">
        <f ca="1">AI151+AI152</f>
        <v>16211.301410304</v>
      </c>
      <c r="AJ150" s="170">
        <f ca="1">AJ151+AJ152</f>
        <v>19810.488297600001</v>
      </c>
      <c r="AK150" s="170">
        <f ca="1">AK151+AK152</f>
        <v>17169.102877920002</v>
      </c>
      <c r="AL150" s="170">
        <f t="shared" ca="1" si="10"/>
        <v>5.9082330491197803</v>
      </c>
      <c r="AM150" s="195"/>
      <c r="AN150" s="195"/>
      <c r="AO150" s="195"/>
      <c r="AR150" s="692" t="s">
        <v>1823</v>
      </c>
    </row>
    <row r="151" spans="1:48" ht="21.75" customHeight="1">
      <c r="E151" s="502">
        <v>22.5</v>
      </c>
      <c r="F151" s="3" t="str" cm="1">
        <f t="array" aca="1" ref="F151" ca="1">OFFSET(E151,-1,1)</f>
        <v>1</v>
      </c>
      <c r="G151" s="374" t="s">
        <v>1158</v>
      </c>
      <c r="I151" s="38" t="s">
        <v>543</v>
      </c>
      <c r="J151" s="38"/>
      <c r="K151" s="38"/>
      <c r="L151" s="38"/>
      <c r="M151" s="38"/>
      <c r="N151" s="38"/>
      <c r="O151" s="38"/>
      <c r="P151" s="38"/>
      <c r="Q151" s="38"/>
      <c r="R151" s="38"/>
      <c r="S151" s="38"/>
      <c r="T151" s="351" t="b" cm="1">
        <f t="array" aca="1" ref="T151" ca="1">T150</f>
        <v>1</v>
      </c>
      <c r="X151" s="1113"/>
      <c r="Z151" s="1114"/>
      <c r="AB151" s="133" t="s">
        <v>812</v>
      </c>
      <c r="AC151" s="134" t="s">
        <v>1824</v>
      </c>
      <c r="AD151" s="7" t="s">
        <v>859</v>
      </c>
      <c r="AE151" s="170">
        <f ca="1">SUMIFS(ФОТ!AE$25:AE$89,ФОТ!$F$25:$F$89,$F151,ФОТ!$G$25:$G$89,$G151)</f>
        <v>404.55</v>
      </c>
      <c r="AF151" s="170">
        <f ca="1">SUMIFS(ФОТ!AF$25:AF$89,ФОТ!$F$25:$F$89,$F151,ФОТ!$G$25:$G$89,$G151)</f>
        <v>1667.16</v>
      </c>
      <c r="AG151" s="170">
        <f ca="1">SUMIFS(ФОТ!AG$25:AG$89,ФОТ!$F$25:$F$89,$F151,ФОТ!$G$25:$G$89,$G151)</f>
        <v>1667.16</v>
      </c>
      <c r="AH151" s="170">
        <f t="shared" ca="1" si="9"/>
        <v>0</v>
      </c>
      <c r="AI151" s="170">
        <f ca="1">SUMIFS(ФОТ!AH$25:AH$89,ФОТ!$F$25:$F$89,$F151,ФОТ!$G$25:$G$89,$G151)</f>
        <v>12451.076352</v>
      </c>
      <c r="AJ151" s="170">
        <f ca="1">SUMIFS(ФОТ!AI$25:AI$89,ФОТ!$F$25:$F$89,$F151,ФОТ!$G$25:$G$89,$G151)</f>
        <v>15215.428800000002</v>
      </c>
      <c r="AK151" s="170">
        <f ca="1">SUMIFS(ФОТ!AJ$25:AJ$89,ФОТ!$F$25:$F$89,$F151,ФОТ!$G$25:$G$89,$G151)</f>
        <v>13186.714960000001</v>
      </c>
      <c r="AL151" s="170">
        <f t="shared" ca="1" si="10"/>
        <v>5.9082330491197776</v>
      </c>
      <c r="AM151" s="195"/>
      <c r="AN151" s="599" t="str">
        <f ca="1">IF(IFERROR(INDEX(ФОТ!$K$26:$L$89,MATCH($F151&amp;"5komm",ФОТ!$K$26:$K$89,0),2),"")=0,"",IFERROR(INDEX(ФОТ!$K$26:$L$89,MATCH($F151&amp;"5komm",ФОТ!$K$26:$K$89,0),2),""))</f>
        <v>П. 25 (2) Методических указаний ФСТ России № 1746-э.</v>
      </c>
      <c r="AO151" s="195"/>
      <c r="AR151" s="692" t="s">
        <v>1197</v>
      </c>
    </row>
    <row r="152" spans="1:48" ht="32.25" customHeight="1">
      <c r="E152" s="502">
        <v>33.75</v>
      </c>
      <c r="F152" s="3" t="str" cm="1">
        <f t="array" aca="1" ref="F152" ca="1">OFFSET(E152,-1,1)</f>
        <v>1</v>
      </c>
      <c r="G152" s="374" t="s">
        <v>1163</v>
      </c>
      <c r="I152" s="38" t="s">
        <v>548</v>
      </c>
      <c r="J152" s="38"/>
      <c r="K152" s="38"/>
      <c r="L152" s="38"/>
      <c r="M152" s="38"/>
      <c r="N152" s="38"/>
      <c r="O152" s="38"/>
      <c r="P152" s="38"/>
      <c r="Q152" s="38"/>
      <c r="R152" s="38"/>
      <c r="S152" s="38"/>
      <c r="T152" s="351" t="b" cm="1">
        <f t="array" aca="1" ref="T152" ca="1">T151</f>
        <v>1</v>
      </c>
      <c r="X152" s="1113"/>
      <c r="Z152" s="1114"/>
      <c r="AB152" s="133" t="s">
        <v>815</v>
      </c>
      <c r="AC152" s="134" t="s">
        <v>1825</v>
      </c>
      <c r="AD152" s="7" t="s">
        <v>859</v>
      </c>
      <c r="AE152" s="170">
        <f ca="1">SUMIFS(ФОТ!AE$25:AE$89,ФОТ!$F$25:$F$89,$F152,ФОТ!$G$25:$G$89,$G152)</f>
        <v>122.17</v>
      </c>
      <c r="AF152" s="170">
        <f ca="1">SUMIFS(ФОТ!AF$25:AF$89,ФОТ!$F$25:$F$89,$F152,ФОТ!$G$25:$G$89,$G152)</f>
        <v>502.29</v>
      </c>
      <c r="AG152" s="170">
        <f ca="1">SUMIFS(ФОТ!AG$25:AG$89,ФОТ!$F$25:$F$89,$F152,ФОТ!$G$25:$G$89,$G152)</f>
        <v>502.29</v>
      </c>
      <c r="AH152" s="170">
        <f t="shared" ca="1" si="9"/>
        <v>0</v>
      </c>
      <c r="AI152" s="170">
        <f ca="1">SUMIFS(ФОТ!AH$25:AH$89,ФОТ!$F$25:$F$89,$F152,ФОТ!$G$25:$G$89,$G152)</f>
        <v>3760.225058304</v>
      </c>
      <c r="AJ152" s="170">
        <f ca="1">SUMIFS(ФОТ!AI$25:AI$89,ФОТ!$F$25:$F$89,$F152,ФОТ!$G$25:$G$89,$G152)</f>
        <v>4595.0594976000002</v>
      </c>
      <c r="AK152" s="170">
        <f ca="1">SUMIFS(ФОТ!AJ$25:AJ$89,ФОТ!$F$25:$F$89,$F152,ФОТ!$G$25:$G$89,$G152)</f>
        <v>3982.3879179199998</v>
      </c>
      <c r="AL152" s="170">
        <f t="shared" ca="1" si="10"/>
        <v>5.9082330491197643</v>
      </c>
      <c r="AM152" s="195"/>
      <c r="AN152" s="599" t="str">
        <f ca="1">IF(IFERROR(INDEX(ФОТ!$K$26:$L$89,MATCH($F152&amp;"6komm",ФОТ!$K$26:$K$89,0),2),"")=0,"",IFERROR(INDEX(ФОТ!$K$26:$L$89,MATCH($F152&amp;"6komm",ФОТ!$K$26:$K$89,0),2),""))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AO152" s="195"/>
      <c r="AR152" s="692" t="s">
        <v>1826</v>
      </c>
    </row>
    <row r="153" spans="1:48" ht="32.25" customHeight="1">
      <c r="E153" s="502">
        <v>33.75</v>
      </c>
      <c r="F153" s="3" t="str" cm="1">
        <f t="array" aca="1" ref="F153" ca="1">OFFSET(E153,-1,1)</f>
        <v>1</v>
      </c>
      <c r="G153" s="277" t="s">
        <v>1226</v>
      </c>
      <c r="I153" s="38" t="s">
        <v>970</v>
      </c>
      <c r="J153" s="38"/>
      <c r="K153" s="38"/>
      <c r="L153" s="38"/>
      <c r="M153" s="38"/>
      <c r="N153" s="38"/>
      <c r="O153" s="38"/>
      <c r="P153" s="38"/>
      <c r="Q153" s="38"/>
      <c r="R153" s="38"/>
      <c r="S153" s="38"/>
      <c r="T153" s="351" t="b" cm="1">
        <f t="array" aca="1" ref="T153" ca="1">T152</f>
        <v>1</v>
      </c>
      <c r="X153" s="1113"/>
      <c r="Z153" s="1114"/>
      <c r="AB153" s="133" t="s">
        <v>818</v>
      </c>
      <c r="AC153" s="127" t="s">
        <v>1827</v>
      </c>
      <c r="AD153" s="7" t="s">
        <v>859</v>
      </c>
      <c r="AE153" s="170">
        <f ca="1">SUMIFS(Административные!AE$25:AE$65,Административные!$F$25:$F$65,$F153,Административные!$G$25:$G$65,$G153)</f>
        <v>18.59</v>
      </c>
      <c r="AF153" s="170">
        <f ca="1">SUMIFS(Административные!AF$25:AF$65,Административные!$F$25:$F$65,$F153,Административные!$G$25:$G$65,$G153)</f>
        <v>0</v>
      </c>
      <c r="AG153" s="170">
        <f ca="1">SUMIFS(Административные!AG$25:AG$65,Административные!$F$25:$F$65,$F153,Административные!$G$25:$G$65,$G153)</f>
        <v>0</v>
      </c>
      <c r="AH153" s="170">
        <f t="shared" ca="1" si="9"/>
        <v>0</v>
      </c>
      <c r="AI153" s="170">
        <f ca="1">SUMIFS(Административные!AH$25:AH$65,Административные!$F$25:$F$65,$F153,Административные!$G$25:$G$65,$G153)</f>
        <v>512.65390000000002</v>
      </c>
      <c r="AJ153" s="170">
        <f ca="1">SUMIFS(Административные!AI$25:AI$65,Административные!$F$25:$F$65,$F153,Административные!$G$25:$G$65,$G153)</f>
        <v>1471.1100000000001</v>
      </c>
      <c r="AK153" s="170">
        <f ca="1">SUMIFS(Административные!AJ$25:AJ$65,Административные!$F$25:$F$65,$F153,Административные!$G$25:$G$65,$G153)</f>
        <v>1471.1100000000001</v>
      </c>
      <c r="AL153" s="170">
        <f t="shared" ca="1" si="10"/>
        <v>186.95968176580732</v>
      </c>
      <c r="AM153" s="195"/>
      <c r="AN153" s="599" t="str">
        <f ca="1">IF(IFERROR(INDEX(Административные!$K$26:$L$65,MATCH($F153&amp;"2komm",Административные!$K$26:$K$65,0),2),"")=0,"",IFERROR(INDEX(Административные!$K$26:$L$65,MATCH($F153&amp;"2komm",Административные!$K$26:$K$65,0),2),""))</f>
        <v>1) П 25 (3), п. 28, п. 29 Методических указаний № 1746-э. 2) "Классификация основных средств, включаемых в амортизационные группы"  (утверждена постановлением Правительства Российской Федерации от 1 января 2002 г. N 1).</v>
      </c>
      <c r="AO153" s="195"/>
      <c r="AR153" s="692" t="s">
        <v>1228</v>
      </c>
    </row>
    <row r="154" spans="1:48" ht="14.25" customHeight="1">
      <c r="E154" s="502">
        <v>15</v>
      </c>
      <c r="F154" s="3" t="str" cm="1">
        <f t="array" aca="1" ref="F154" ca="1">OFFSET(E154,-1,1)</f>
        <v>1</v>
      </c>
      <c r="G154" s="277" t="s">
        <v>1229</v>
      </c>
      <c r="I154" s="38" t="s">
        <v>972</v>
      </c>
      <c r="J154" s="38"/>
      <c r="K154" s="38"/>
      <c r="L154" s="38"/>
      <c r="M154" s="38"/>
      <c r="N154" s="38"/>
      <c r="O154" s="38"/>
      <c r="P154" s="38"/>
      <c r="Q154" s="38"/>
      <c r="R154" s="38"/>
      <c r="S154" s="38"/>
      <c r="T154" s="351" t="b" cm="1">
        <f t="array" aca="1" ref="T154" ca="1">T153</f>
        <v>1</v>
      </c>
      <c r="X154" s="1113"/>
      <c r="Z154" s="1114"/>
      <c r="AB154" s="133" t="s">
        <v>973</v>
      </c>
      <c r="AC154" s="127" t="s">
        <v>1230</v>
      </c>
      <c r="AD154" s="7" t="s">
        <v>859</v>
      </c>
      <c r="AE154" s="170">
        <f ca="1">SUMIFS(Административные!AE$25:AE$65,Административные!$F$25:$F$65,$F154,Административные!$G$25:$G$65,$G154)</f>
        <v>0</v>
      </c>
      <c r="AF154" s="170">
        <f ca="1">SUMIFS(Административные!AF$25:AF$65,Административные!$F$25:$F$65,$F154,Административные!$G$25:$G$65,$G154)</f>
        <v>0</v>
      </c>
      <c r="AG154" s="170">
        <f ca="1">SUMIFS(Административные!AG$25:AG$65,Административные!$F$25:$F$65,$F154,Административные!$G$25:$G$65,$G154)</f>
        <v>0</v>
      </c>
      <c r="AH154" s="170">
        <f t="shared" ca="1" si="9"/>
        <v>0</v>
      </c>
      <c r="AI154" s="170">
        <f ca="1">SUMIFS(Административные!AH$25:AH$65,Административные!$F$25:$F$65,$F154,Административные!$G$25:$G$65,$G154)</f>
        <v>0</v>
      </c>
      <c r="AJ154" s="170">
        <f ca="1">SUMIFS(Административные!AI$25:AI$65,Административные!$F$25:$F$65,$F154,Административные!$G$25:$G$65,$G154)</f>
        <v>0</v>
      </c>
      <c r="AK154" s="170">
        <f ca="1">SUMIFS(Административные!AJ$25:AJ$65,Административные!$F$25:$F$65,$F154,Административные!$G$25:$G$65,$G154)</f>
        <v>0</v>
      </c>
      <c r="AL154" s="170">
        <f t="shared" ca="1" si="10"/>
        <v>0</v>
      </c>
      <c r="AM154" s="195"/>
      <c r="AN154" s="599" t="str">
        <f ca="1">IF(IFERROR(INDEX(Административные!$K$26:$L$65,MATCH($F154&amp;"3komm",Административные!$K$26:$K$65,0),2),"")=0,"",IFERROR(INDEX(Административные!$K$26:$L$65,MATCH($F154&amp;"3komm",Административные!$K$26:$K$65,0),2),""))</f>
        <v/>
      </c>
      <c r="AO154" s="195"/>
      <c r="AR154" s="692" t="s">
        <v>1231</v>
      </c>
    </row>
    <row r="155" spans="1:48" ht="14.25" customHeight="1">
      <c r="E155" s="502">
        <v>15</v>
      </c>
      <c r="F155" s="3" t="str" cm="1">
        <f t="array" aca="1" ref="F155" ca="1">OFFSET(E155,-1,1)</f>
        <v>1</v>
      </c>
      <c r="G155" s="277" t="s">
        <v>1232</v>
      </c>
      <c r="I155" s="38" t="s">
        <v>975</v>
      </c>
      <c r="J155" s="38"/>
      <c r="K155" s="38"/>
      <c r="L155" s="38"/>
      <c r="M155" s="38"/>
      <c r="N155" s="38"/>
      <c r="O155" s="38"/>
      <c r="P155" s="38"/>
      <c r="Q155" s="38"/>
      <c r="R155" s="38"/>
      <c r="S155" s="38"/>
      <c r="T155" s="351" t="b" cm="1">
        <f t="array" aca="1" ref="T155" ca="1">T154</f>
        <v>1</v>
      </c>
      <c r="X155" s="1113"/>
      <c r="Z155" s="1114"/>
      <c r="AB155" s="133" t="s">
        <v>976</v>
      </c>
      <c r="AC155" s="127" t="s">
        <v>1233</v>
      </c>
      <c r="AD155" s="7" t="s">
        <v>859</v>
      </c>
      <c r="AE155" s="170">
        <f ca="1">SUMIFS(Административные!AE$25:AE$65,Административные!$F$25:$F$65,$F155,Административные!$G$25:$G$65,$G155)</f>
        <v>0</v>
      </c>
      <c r="AF155" s="170">
        <f ca="1">SUMIFS(Административные!AF$25:AF$65,Административные!$F$25:$F$65,$F155,Административные!$G$25:$G$65,$G155)</f>
        <v>0</v>
      </c>
      <c r="AG155" s="170">
        <f ca="1">SUMIFS(Административные!AG$25:AG$65,Административные!$F$25:$F$65,$F155,Административные!$G$25:$G$65,$G155)</f>
        <v>0</v>
      </c>
      <c r="AH155" s="170">
        <f t="shared" ca="1" si="9"/>
        <v>0</v>
      </c>
      <c r="AI155" s="170">
        <f ca="1">SUMIFS(Административные!AH$25:AH$65,Административные!$F$25:$F$65,$F155,Административные!$G$25:$G$65,$G155)</f>
        <v>0</v>
      </c>
      <c r="AJ155" s="170">
        <f ca="1">SUMIFS(Административные!AI$25:AI$65,Административные!$F$25:$F$65,$F155,Административные!$G$25:$G$65,$G155)</f>
        <v>0</v>
      </c>
      <c r="AK155" s="170">
        <f ca="1">SUMIFS(Административные!AJ$25:AJ$65,Административные!$F$25:$F$65,$F155,Административные!$G$25:$G$65,$G155)</f>
        <v>0</v>
      </c>
      <c r="AL155" s="170">
        <f t="shared" ca="1" si="10"/>
        <v>0</v>
      </c>
      <c r="AM155" s="195"/>
      <c r="AN155" s="599" t="str">
        <f ca="1">IF(IFERROR(INDEX(Административные!$K$26:$L$65,MATCH($F155&amp;"4komm",Административные!$K$26:$K$65,0),2),"")=0,"",IFERROR(INDEX(Административные!$K$26:$L$65,MATCH($F155&amp;"4komm",Административные!$K$26:$K$65,0),2),""))</f>
        <v/>
      </c>
      <c r="AO155" s="195"/>
      <c r="AR155" s="692" t="s">
        <v>1234</v>
      </c>
    </row>
    <row r="156" spans="1:48" ht="14.25" customHeight="1">
      <c r="E156" s="502">
        <v>15</v>
      </c>
      <c r="F156" s="3" t="str" cm="1">
        <f t="array" aca="1" ref="F156" ca="1">OFFSET(E156,-1,1)</f>
        <v>1</v>
      </c>
      <c r="G156" s="277" t="s">
        <v>1235</v>
      </c>
      <c r="I156" s="38" t="s">
        <v>1217</v>
      </c>
      <c r="J156" s="38"/>
      <c r="K156" s="38"/>
      <c r="L156" s="38"/>
      <c r="M156" s="38"/>
      <c r="N156" s="38"/>
      <c r="O156" s="38"/>
      <c r="P156" s="38"/>
      <c r="Q156" s="38"/>
      <c r="R156" s="38"/>
      <c r="S156" s="38"/>
      <c r="T156" s="351" t="b" cm="1">
        <f t="array" aca="1" ref="T156" ca="1">T155</f>
        <v>1</v>
      </c>
      <c r="X156" s="1113"/>
      <c r="Z156" s="1114"/>
      <c r="AB156" s="133" t="s">
        <v>1218</v>
      </c>
      <c r="AC156" s="127" t="s">
        <v>1236</v>
      </c>
      <c r="AD156" s="7" t="s">
        <v>859</v>
      </c>
      <c r="AE156" s="170">
        <f ca="1">SUMIFS(Административные!AE$25:AE$65,Административные!$F$25:$F$65,$F156,Административные!$G$25:$G$65,$G156)</f>
        <v>0</v>
      </c>
      <c r="AF156" s="170">
        <f ca="1">SUMIFS(Административные!AF$25:AF$65,Административные!$F$25:$F$65,$F156,Административные!$G$25:$G$65,$G156)</f>
        <v>0</v>
      </c>
      <c r="AG156" s="170">
        <f ca="1">SUMIFS(Административные!AG$25:AG$65,Административные!$F$25:$F$65,$F156,Административные!$G$25:$G$65,$G156)</f>
        <v>0</v>
      </c>
      <c r="AH156" s="170">
        <f t="shared" ca="1" si="9"/>
        <v>0</v>
      </c>
      <c r="AI156" s="170">
        <f ca="1">SUMIFS(Административные!AH$25:AH$65,Административные!$F$25:$F$65,$F156,Административные!$G$25:$G$65,$G156)</f>
        <v>0</v>
      </c>
      <c r="AJ156" s="170">
        <f ca="1">SUMIFS(Административные!AI$25:AI$65,Административные!$F$25:$F$65,$F156,Административные!$G$25:$G$65,$G156)</f>
        <v>0</v>
      </c>
      <c r="AK156" s="170">
        <f ca="1">SUMIFS(Административные!AJ$25:AJ$65,Административные!$F$25:$F$65,$F156,Административные!$G$25:$G$65,$G156)</f>
        <v>0</v>
      </c>
      <c r="AL156" s="170">
        <f t="shared" ca="1" si="10"/>
        <v>0</v>
      </c>
      <c r="AM156" s="195"/>
      <c r="AN156" s="599" t="str">
        <f ca="1">IF(IFERROR(INDEX(Административные!$K$26:$L$65,MATCH($F152&amp;"5komm",Административные!$K$26:$K$65,0),2),"")=0,"",IFERROR(INDEX(Административные!$K$26:$L$65,MATCH($F152&amp;"5komm",Административные!$K$26:$K$65,0),2),""))</f>
        <v/>
      </c>
      <c r="AO156" s="195"/>
      <c r="AR156" s="692" t="s">
        <v>1828</v>
      </c>
    </row>
    <row r="157" spans="1:48" ht="14.25" customHeight="1">
      <c r="E157" s="502">
        <v>15</v>
      </c>
      <c r="F157" s="3" t="str" cm="1">
        <f t="array" aca="1" ref="F157" ca="1">OFFSET(E157,-1,1)</f>
        <v>1</v>
      </c>
      <c r="G157" s="277" t="s">
        <v>1238</v>
      </c>
      <c r="I157" s="38" t="s">
        <v>1222</v>
      </c>
      <c r="J157" s="38"/>
      <c r="K157" s="38"/>
      <c r="L157" s="38"/>
      <c r="M157" s="38"/>
      <c r="N157" s="38"/>
      <c r="O157" s="38"/>
      <c r="P157" s="38"/>
      <c r="Q157" s="38"/>
      <c r="R157" s="38"/>
      <c r="S157" s="38"/>
      <c r="T157" s="351" t="b" cm="1">
        <f t="array" aca="1" ref="T157" ca="1">T156</f>
        <v>1</v>
      </c>
      <c r="X157" s="1113"/>
      <c r="Z157" s="1114"/>
      <c r="AB157" s="133" t="s">
        <v>1223</v>
      </c>
      <c r="AC157" s="127" t="s">
        <v>1829</v>
      </c>
      <c r="AD157" s="7" t="s">
        <v>859</v>
      </c>
      <c r="AE157" s="170">
        <f ca="1">SUMIFS(Административные!AE$25:AE$65,Административные!$F$25:$F$65,$F157,Административные!$G$25:$G$65,$G157)</f>
        <v>125.45</v>
      </c>
      <c r="AF157" s="170">
        <f ca="1">SUMIFS(Административные!AF$25:AF$65,Административные!$F$25:$F$65,$F157,Административные!$G$25:$G$65,$G157)</f>
        <v>281.29000000000002</v>
      </c>
      <c r="AG157" s="170">
        <f ca="1">SUMIFS(Административные!AG$25:AG$65,Административные!$F$25:$F$65,$F157,Административные!$G$25:$G$65,$G157)</f>
        <v>281.29000000000002</v>
      </c>
      <c r="AH157" s="170">
        <f t="shared" ca="1" si="9"/>
        <v>0</v>
      </c>
      <c r="AI157" s="170">
        <f ca="1">SUMIFS(Административные!AH$25:AH$65,Административные!$F$25:$F$65,$F157,Административные!$G$25:$G$65,$G157)</f>
        <v>672.22</v>
      </c>
      <c r="AJ157" s="170">
        <f ca="1">SUMIFS(Административные!AI$25:AI$65,Административные!$F$25:$F$65,$F157,Административные!$G$25:$G$65,$G157)</f>
        <v>2273.7000000000003</v>
      </c>
      <c r="AK157" s="170">
        <f ca="1">SUMIFS(Административные!AJ$25:AJ$65,Административные!$F$25:$F$65,$F157,Административные!$G$25:$G$65,$G157)</f>
        <v>1698.55</v>
      </c>
      <c r="AL157" s="170">
        <f t="shared" ca="1" si="10"/>
        <v>152.67769480229686</v>
      </c>
      <c r="AM157" s="195"/>
      <c r="AN157" s="599" t="str">
        <f ca="1">IF(IFERROR(INDEX(Административные!$K$26:$L$65,MATCH($F157&amp;"6komm",Административные!$K$26:$K$65,0),2),"")=0,"",IFERROR(INDEX(Административные!$K$26:$L$65,MATCH($F152&amp;"6komm",Административные!$K$26:$K$65,0),2),""))</f>
        <v/>
      </c>
      <c r="AO157" s="195"/>
      <c r="AR157" s="692" t="s">
        <v>1830</v>
      </c>
    </row>
    <row r="158" spans="1:48" ht="14.25" customHeight="1">
      <c r="E158" s="502">
        <v>15</v>
      </c>
      <c r="F158" s="3" t="str" cm="1">
        <f t="array" aca="1" ref="F158" ca="1">OFFSET(E158,-1,1)</f>
        <v>1</v>
      </c>
      <c r="G158" s="277" t="s">
        <v>1240</v>
      </c>
      <c r="I158" s="38" t="s">
        <v>1831</v>
      </c>
      <c r="J158" s="38"/>
      <c r="K158" s="38"/>
      <c r="L158" s="38"/>
      <c r="M158" s="38"/>
      <c r="N158" s="38"/>
      <c r="O158" s="38"/>
      <c r="P158" s="38"/>
      <c r="Q158" s="38"/>
      <c r="R158" s="38"/>
      <c r="S158" s="38"/>
      <c r="T158" s="351" t="b" cm="1">
        <f t="array" aca="1" ref="T158" ca="1">T157</f>
        <v>1</v>
      </c>
      <c r="X158" s="1113"/>
      <c r="Z158" s="1114"/>
      <c r="AB158" s="133" t="s">
        <v>1832</v>
      </c>
      <c r="AC158" s="134" t="s">
        <v>1833</v>
      </c>
      <c r="AD158" s="7" t="s">
        <v>859</v>
      </c>
      <c r="AE158" s="170">
        <f ca="1">SUMIFS(Административные!AE$25:AE$65,Административные!$F$25:$F$65,$F158,Административные!$G$25:$G$65,$G158)</f>
        <v>0</v>
      </c>
      <c r="AF158" s="170">
        <f ca="1">SUMIFS(Административные!AF$25:AF$65,Административные!$F$25:$F$65,$F158,Административные!$G$25:$G$65,$G158)</f>
        <v>0</v>
      </c>
      <c r="AG158" s="170">
        <f ca="1">SUMIFS(Административные!AG$25:AG$65,Административные!$F$25:$F$65,$F158,Административные!$G$25:$G$65,$G158)</f>
        <v>0</v>
      </c>
      <c r="AH158" s="170">
        <f t="shared" ca="1" si="9"/>
        <v>0</v>
      </c>
      <c r="AI158" s="170">
        <f ca="1">SUMIFS(Административные!AH$25:AH$65,Административные!$F$25:$F$65,$F158,Административные!$G$25:$G$65,$G158)</f>
        <v>0</v>
      </c>
      <c r="AJ158" s="170">
        <f ca="1">SUMIFS(Административные!AI$25:AI$65,Административные!$F$25:$F$65,$F158,Административные!$G$25:$G$65,$G158)</f>
        <v>0</v>
      </c>
      <c r="AK158" s="170">
        <f ca="1">SUMIFS(Административные!AJ$25:AJ$65,Административные!$F$25:$F$65,$F158,Административные!$G$25:$G$65,$G158)</f>
        <v>0</v>
      </c>
      <c r="AL158" s="170">
        <f t="shared" ca="1" si="10"/>
        <v>0</v>
      </c>
      <c r="AM158" s="195"/>
      <c r="AN158" s="599" t="str">
        <f ca="1">IF(IFERROR(INDEX(Административные!$K$26:$L$65,MATCH($F158&amp;"7komm",Административные!$K$26:$K$65,0),2),"")=0,"",IFERROR(INDEX(Административные!$K$26:$L$65,MATCH($F153&amp;"7komm",Административные!$K$26:$K$65,0),2),""))</f>
        <v/>
      </c>
      <c r="AO158" s="195"/>
      <c r="AR158" s="692" t="s">
        <v>1834</v>
      </c>
    </row>
    <row r="159" spans="1:48" ht="43.5" customHeight="1">
      <c r="E159" s="502">
        <v>45</v>
      </c>
      <c r="F159" s="3" t="str" cm="1">
        <f t="array" aca="1" ref="F159" ca="1">OFFSET(E159,-1,1)</f>
        <v>1</v>
      </c>
      <c r="G159" s="277" t="s">
        <v>1243</v>
      </c>
      <c r="I159" s="38" t="s">
        <v>1835</v>
      </c>
      <c r="J159" s="38"/>
      <c r="K159" s="38"/>
      <c r="L159" s="38"/>
      <c r="M159" s="38"/>
      <c r="N159" s="38"/>
      <c r="O159" s="38"/>
      <c r="P159" s="38"/>
      <c r="Q159" s="38"/>
      <c r="R159" s="38"/>
      <c r="S159" s="38"/>
      <c r="T159" s="351" t="b" cm="1">
        <f t="array" aca="1" ref="T159" ca="1">T158</f>
        <v>1</v>
      </c>
      <c r="X159" s="1113"/>
      <c r="Z159" s="1114"/>
      <c r="AB159" s="133" t="s">
        <v>1836</v>
      </c>
      <c r="AC159" s="127" t="s">
        <v>1244</v>
      </c>
      <c r="AD159" s="7" t="s">
        <v>859</v>
      </c>
      <c r="AE159" s="170">
        <f ca="1">SUMIFS(Административные!AE$25:AE$65,Административные!$F$25:$F$65,$F159,Административные!$G$25:$G$65,$G159)</f>
        <v>0</v>
      </c>
      <c r="AF159" s="170">
        <f ca="1">SUMIFS(Административные!AF$25:AF$65,Административные!$F$25:$F$65,$F159,Административные!$G$25:$G$65,$G159)</f>
        <v>0</v>
      </c>
      <c r="AG159" s="170">
        <f ca="1">SUMIFS(Административные!AG$25:AG$65,Административные!$F$25:$F$65,$F159,Административные!$G$25:$G$65,$G159)</f>
        <v>0</v>
      </c>
      <c r="AH159" s="170">
        <f t="shared" ca="1" si="9"/>
        <v>0</v>
      </c>
      <c r="AI159" s="170">
        <f ca="1">SUMIFS(Административные!AH$25:AH$65,Административные!$F$25:$F$65,$F159,Административные!$G$25:$G$65,$G159)</f>
        <v>0</v>
      </c>
      <c r="AJ159" s="170">
        <f ca="1">SUMIFS(Административные!AI$25:AI$65,Административные!$F$25:$F$65,$F159,Административные!$G$25:$G$65,$G159)</f>
        <v>0</v>
      </c>
      <c r="AK159" s="170">
        <f ca="1">SUMIFS(Административные!AJ$25:AJ$65,Административные!$F$25:$F$65,$F159,Административные!$G$25:$G$65,$G159)</f>
        <v>0</v>
      </c>
      <c r="AL159" s="170">
        <f t="shared" ca="1" si="10"/>
        <v>0</v>
      </c>
      <c r="AM159" s="195"/>
      <c r="AN159" s="599" t="str">
        <f ca="1">IF(IFERROR(INDEX(Административные!$K$26:$L$65,MATCH($F159&amp;"8komm",Административные!$K$26:$K$65,0),2),"")=0,"",IFERROR(INDEX(Административные!$K$26:$L$65,MATCH($F154&amp;"8komm",Административные!$K$26:$K$65,0),2),""))</f>
        <v/>
      </c>
      <c r="AO159" s="195"/>
      <c r="AR159" s="692" t="s">
        <v>1837</v>
      </c>
    </row>
    <row r="160" spans="1:48" ht="14.25" customHeight="1">
      <c r="E160" s="502">
        <v>15</v>
      </c>
      <c r="F160" s="3" t="str" cm="1">
        <f t="array" aca="1" ref="F160" ca="1">OFFSET(E160,-1,1)</f>
        <v>1</v>
      </c>
      <c r="G160" s="277" t="s">
        <v>1246</v>
      </c>
      <c r="I160" s="38" t="s">
        <v>1838</v>
      </c>
      <c r="J160" s="38"/>
      <c r="K160" s="38"/>
      <c r="L160" s="38"/>
      <c r="M160" s="38"/>
      <c r="N160" s="38"/>
      <c r="O160" s="38"/>
      <c r="P160" s="38"/>
      <c r="Q160" s="38"/>
      <c r="R160" s="38"/>
      <c r="S160" s="38"/>
      <c r="T160" s="351" t="b" cm="1">
        <f t="array" aca="1" ref="T160" ca="1">T159</f>
        <v>1</v>
      </c>
      <c r="X160" s="1113"/>
      <c r="Z160" s="1114"/>
      <c r="AB160" s="133" t="s">
        <v>1839</v>
      </c>
      <c r="AC160" s="134" t="s">
        <v>1247</v>
      </c>
      <c r="AD160" s="7" t="s">
        <v>859</v>
      </c>
      <c r="AE160" s="170">
        <f ca="1">SUMIFS(Административные!AE$25:AE$65,Административные!$F$25:$F$65,$F160,Административные!$G$25:$G$65,$G160)</f>
        <v>125.45</v>
      </c>
      <c r="AF160" s="170">
        <f ca="1">SUMIFS(Административные!AF$25:AF$65,Административные!$F$25:$F$65,$F160,Административные!$G$25:$G$65,$G160)</f>
        <v>281.29000000000002</v>
      </c>
      <c r="AG160" s="170">
        <f ca="1">SUMIFS(Административные!AG$25:AG$65,Административные!$F$25:$F$65,$F160,Административные!$G$25:$G$65,$G160)</f>
        <v>281.29000000000002</v>
      </c>
      <c r="AH160" s="170">
        <f t="shared" ca="1" si="9"/>
        <v>0</v>
      </c>
      <c r="AI160" s="170">
        <f ca="1">SUMIFS(Административные!AH$25:AH$65,Административные!$F$25:$F$65,$F160,Административные!$G$25:$G$65,$G160)</f>
        <v>672.22</v>
      </c>
      <c r="AJ160" s="170">
        <f ca="1">SUMIFS(Административные!AI$25:AI$65,Административные!$F$25:$F$65,$F160,Административные!$G$25:$G$65,$G160)</f>
        <v>2273.7000000000003</v>
      </c>
      <c r="AK160" s="170">
        <f ca="1">SUMIFS(Административные!AJ$25:AJ$65,Административные!$F$25:$F$65,$F160,Административные!$G$25:$G$65,$G160)</f>
        <v>1698.55</v>
      </c>
      <c r="AL160" s="170">
        <f t="shared" ca="1" si="10"/>
        <v>152.67769480229686</v>
      </c>
      <c r="AM160" s="195"/>
      <c r="AN160" s="599" t="str">
        <f ca="1">IF(IFERROR(INDEX(Административные!$K$26:$L$65,MATCH($F160&amp;"9komm",Административные!$K$26:$K$65,0),2),"")=0,"",IFERROR(INDEX(Административные!$K$26:$L$65,MATCH($F155&amp;"9komm",Административные!$K$26:$K$65,0),2),""))</f>
        <v>П. 25 (1) , п. 25 (4) - 25 (7) Методических указаний  № 1746-э.</v>
      </c>
      <c r="AO160" s="195"/>
      <c r="AR160" s="692" t="s">
        <v>1840</v>
      </c>
    </row>
    <row r="161" spans="1:48" s="901" customFormat="1" ht="14.25" customHeight="1">
      <c r="A161" s="421"/>
      <c r="B161" s="421" t="b">
        <f>STATUS_GO="да"</f>
        <v>1</v>
      </c>
      <c r="C161" s="421"/>
      <c r="D161" s="421"/>
      <c r="E161" s="503">
        <v>15</v>
      </c>
      <c r="F161" s="3" t="str" cm="1">
        <f t="array" aca="1" ref="F161" ca="1">OFFSET(E161,-1,1)</f>
        <v>1</v>
      </c>
      <c r="G161" s="421"/>
      <c r="H161" s="421"/>
      <c r="I161" s="154" t="s">
        <v>325</v>
      </c>
      <c r="J161" s="154"/>
      <c r="K161" s="154"/>
      <c r="L161" s="154"/>
      <c r="M161" s="154"/>
      <c r="N161" s="154"/>
      <c r="O161" s="154"/>
      <c r="P161" s="154"/>
      <c r="Q161" s="154"/>
      <c r="R161" s="154"/>
      <c r="S161" s="154"/>
      <c r="T161" s="351" t="b" cm="1">
        <f t="array" aca="1" ref="T161" ca="1">T160</f>
        <v>1</v>
      </c>
      <c r="U161" s="421"/>
      <c r="V161" s="421"/>
      <c r="W161" s="421"/>
      <c r="X161" s="1113"/>
      <c r="Y161" s="421"/>
      <c r="Z161" s="1114"/>
      <c r="AA161" s="421"/>
      <c r="AB161" s="131" t="s">
        <v>438</v>
      </c>
      <c r="AC161" s="132" t="s">
        <v>1841</v>
      </c>
      <c r="AD161" s="124" t="s">
        <v>859</v>
      </c>
      <c r="AE161" s="126">
        <f ca="1">SUMIFS('Сбытовые расходы ГО'!AE$25:AE$51,'Сбытовые расходы ГО'!$F$25:$F$51,$F161,'Сбытовые расходы ГО'!$G$25:$G$51,"l0")</f>
        <v>0</v>
      </c>
      <c r="AF161" s="126">
        <f ca="1">SUMIFS('Сбытовые расходы ГО'!AF$25:AF$51,'Сбытовые расходы ГО'!$F$25:$F$51,$F161,'Сбытовые расходы ГО'!$G$25:$G$51,"l0")</f>
        <v>985.8</v>
      </c>
      <c r="AG161" s="126">
        <f ca="1">SUMIFS('Сбытовые расходы ГО'!AG$25:AG$51,'Сбытовые расходы ГО'!$F$25:$F$51,$F161,'Сбытовые расходы ГО'!$G$25:$G$51,"l0")</f>
        <v>985.8</v>
      </c>
      <c r="AH161" s="126">
        <f t="shared" ca="1" si="9"/>
        <v>0</v>
      </c>
      <c r="AI161" s="126">
        <f ca="1">SUMIFS('Сбытовые расходы ГО'!AH$25:AH$51,'Сбытовые расходы ГО'!$F$25:$F$51,$F161,'Сбытовые расходы ГО'!$G$25:$G$51,"l0")</f>
        <v>2685</v>
      </c>
      <c r="AJ161" s="126">
        <f ca="1">SUMIFS('Сбытовые расходы ГО'!AI$25:AI$51,'Сбытовые расходы ГО'!$F$25:$F$51,$F161,'Сбытовые расходы ГО'!$G$25:$G$51,"l0")</f>
        <v>2418.2399999999998</v>
      </c>
      <c r="AK161" s="126">
        <f ca="1">SUMIFS('Сбытовые расходы ГО'!AJ$25:AJ$51,'Сбытовые расходы ГО'!$F$25:$F$51,$F161,'Сбытовые расходы ГО'!$G$25:$G$51,"l0")</f>
        <v>2418.2399999999998</v>
      </c>
      <c r="AL161" s="126">
        <f t="shared" ca="1" si="10"/>
        <v>-9.9351955307262649</v>
      </c>
      <c r="AM161" s="554"/>
      <c r="AN161" s="599"/>
      <c r="AO161" s="554"/>
      <c r="AP161" s="421"/>
      <c r="AQ161" s="421"/>
      <c r="AR161" s="693" t="s">
        <v>1842</v>
      </c>
      <c r="AS161" s="693"/>
      <c r="AT161" s="693"/>
      <c r="AU161" s="503"/>
      <c r="AV161" s="503"/>
    </row>
    <row r="162" spans="1:48" s="901" customFormat="1" ht="14.25" customHeight="1">
      <c r="A162" s="421"/>
      <c r="B162" s="421"/>
      <c r="C162" s="421"/>
      <c r="D162" s="421"/>
      <c r="E162" s="503">
        <v>15</v>
      </c>
      <c r="F162" s="3" t="str" cm="1">
        <f t="array" aca="1" ref="F162" ca="1">OFFSET(E162,-1,1)</f>
        <v>1</v>
      </c>
      <c r="G162" s="421"/>
      <c r="H162" s="421"/>
      <c r="I162" s="154" t="s">
        <v>324</v>
      </c>
      <c r="J162" s="154"/>
      <c r="K162" s="154"/>
      <c r="L162" s="154"/>
      <c r="M162" s="154"/>
      <c r="N162" s="154"/>
      <c r="O162" s="154"/>
      <c r="P162" s="154"/>
      <c r="Q162" s="154"/>
      <c r="R162" s="154"/>
      <c r="S162" s="154"/>
      <c r="T162" s="351" t="b" cm="1">
        <f t="array" aca="1" ref="T162" ca="1">T161</f>
        <v>1</v>
      </c>
      <c r="U162" s="421"/>
      <c r="V162" s="421"/>
      <c r="W162" s="421"/>
      <c r="X162" s="1113"/>
      <c r="Y162" s="421"/>
      <c r="Z162" s="1114"/>
      <c r="AA162" s="421"/>
      <c r="AB162" s="131" t="s">
        <v>440</v>
      </c>
      <c r="AC162" s="125" t="s">
        <v>1843</v>
      </c>
      <c r="AD162" s="124" t="s">
        <v>859</v>
      </c>
      <c r="AE162" s="126">
        <f ca="1">SUMIFS(Амортизация!AE$25:AE$125,Амортизация!$F$25:$F$125,$F162,Амортизация!$AC$25:$AC$125,"Сумма амортизационных отчислений")</f>
        <v>0</v>
      </c>
      <c r="AF162" s="126">
        <f ca="1">SUMIFS(Амортизация!AF$25:AF$125,Амортизация!$F$25:$F$125,$F162,Амортизация!$AC$25:$AC$125,"Сумма амортизационных отчислений")</f>
        <v>0</v>
      </c>
      <c r="AG162" s="126">
        <f ca="1">SUMIFS(Амортизация!AG$25:AG$125,Амортизация!$F$25:$F$125,$F162,Амортизация!$AC$25:$AC$125,"Сумма амортизационных отчислений")</f>
        <v>0</v>
      </c>
      <c r="AH162" s="126">
        <f t="shared" ca="1" si="9"/>
        <v>0</v>
      </c>
      <c r="AI162" s="126">
        <f ca="1">SUMIFS(Амортизация!AH$25:AH$125,Амортизация!$F$25:$F$125,$F162,Амортизация!$AC$25:$AC$125,"Сумма амортизационных отчислений")</f>
        <v>0</v>
      </c>
      <c r="AJ162" s="126">
        <f ca="1">SUMIFS(Амортизация!AI$25:AI$125,Амортизация!$F$25:$F$125,$F162,Амортизация!$AC$25:$AC$125,"Сумма амортизационных отчислений")</f>
        <v>0</v>
      </c>
      <c r="AK162" s="126">
        <f ca="1">SUMIFS(Амортизация!AS$25:AS$125,Амортизация!$F$25:$F$125,$F162,Амортизация!$AC$25:$AC$125,"Сумма амортизационных отчислений")</f>
        <v>0</v>
      </c>
      <c r="AL162" s="126">
        <f t="shared" ca="1" si="10"/>
        <v>0</v>
      </c>
      <c r="AM162" s="554"/>
      <c r="AN162" s="599" t="str">
        <f ca="1">IF(IFERROR(INDEX(Амортизация!$K$26:$L$125,MATCH($F162&amp;"komm",Амортизация!$K$26:$K$525,0),2),"")=0,"",IFERROR(INDEX(Амортизация!$K$26:$L$125,MATCH($F162&amp;"komm",Амортизация!$K$26:$K$525,0),2),""))</f>
        <v/>
      </c>
      <c r="AO162" s="554"/>
      <c r="AP162" s="421"/>
      <c r="AQ162" s="421"/>
      <c r="AR162" s="693" t="s">
        <v>1242</v>
      </c>
      <c r="AS162" s="693"/>
      <c r="AT162" s="693"/>
      <c r="AU162" s="503"/>
      <c r="AV162" s="503"/>
    </row>
    <row r="163" spans="1:48" ht="14.25" customHeight="1">
      <c r="E163" s="502">
        <v>15</v>
      </c>
      <c r="F163" s="3" t="str" cm="1">
        <f t="array" aca="1" ref="F163" ca="1">OFFSET(E163,-1,1)</f>
        <v>1</v>
      </c>
      <c r="I163" s="38" t="s">
        <v>601</v>
      </c>
      <c r="J163" s="38"/>
      <c r="K163" s="38"/>
      <c r="L163" s="38"/>
      <c r="M163" s="38"/>
      <c r="N163" s="38"/>
      <c r="O163" s="38"/>
      <c r="P163" s="38"/>
      <c r="Q163" s="38"/>
      <c r="R163" s="38"/>
      <c r="S163" s="38"/>
      <c r="T163" s="351" t="b" cm="1">
        <f t="array" aca="1" ref="T163" ca="1">T162</f>
        <v>1</v>
      </c>
      <c r="X163" s="1113"/>
      <c r="Z163" s="1114"/>
      <c r="AB163" s="133" t="s">
        <v>729</v>
      </c>
      <c r="AC163" s="127" t="s">
        <v>1844</v>
      </c>
      <c r="AD163" s="7" t="s">
        <v>859</v>
      </c>
      <c r="AE163" s="128">
        <f ca="1">SUMIFS('ИП + источники'!AF$27:AF$87,'ИП + источники'!$F$27:$F$87,$F163,'ИП + источники'!$AC$27:$AC$87,"Амортизационные отчисления")+SUMIFS('ИП + источники'!AF$27:AF$87,'ИП + источники'!$F$27:$F$87,$F163,'ИП + источники'!$AC$27:$AC$87,"погашение займов и кредитов из амортизации")</f>
        <v>0</v>
      </c>
      <c r="AF163" s="128">
        <f ca="1">SUMIFS('ИП + источники'!AG$27:AG$87,'ИП + источники'!$F$27:$F$87,$F163,'ИП + источники'!$AC$27:$AC$87,"Амортизационные отчисления")+SUMIFS('ИП + источники'!AG$27:AG$87,'ИП + источники'!$F$27:$F$87,$F163,'ИП + источники'!$AC$27:$AC$87,"погашение займов и кредитов из амортизации")</f>
        <v>0</v>
      </c>
      <c r="AG163" s="128">
        <f ca="1">SUMIFS('ИП + источники'!AH$27:AH$87,'ИП + источники'!$F$27:$F$87,$F163,'ИП + источники'!$AC$27:$AC$87,"Амортизационные отчисления")+SUMIFS('ИП + источники'!AH$27:AH$87,'ИП + источники'!$F$27:$F$87,$F163,'ИП + источники'!$AC$27:$AC$87,"погашение займов и кредитов из амортизации")</f>
        <v>0</v>
      </c>
      <c r="AH163" s="170">
        <f t="shared" ca="1" si="9"/>
        <v>0</v>
      </c>
      <c r="AI163" s="128">
        <f ca="1">SUMIFS('ИП + источники'!AH$27:AH$87,'ИП + источники'!$F$27:$F$87,$F163,'ИП + источники'!$AC$27:$AC$87,"Амортизационные отчисления")+SUMIFS('ИП + источники'!AH$27:AH$87,'ИП + источники'!$F$27:$F$87,$F163,'ИП + источники'!$AC$27:$AC$87,"погашение займов и кредитов из амортизации")</f>
        <v>0</v>
      </c>
      <c r="AJ163" s="128">
        <f ca="1">SUMIFS('ИП + источники'!AI$27:AI$87,'ИП + источники'!$F$27:$F$87,$F163,'ИП + источники'!$AC$27:$AC$87,"Амортизационные отчисления")+SUMIFS('ИП + источники'!AI$27:AI$87,'ИП + источники'!$F$27:$F$87,$F163,'ИП + источники'!$AC$27:$AC$87,"погашение займов и кредитов из амортизации")</f>
        <v>0</v>
      </c>
      <c r="AK163" s="128">
        <f ca="1">SUMIFS('ИП + источники'!AJ$27:AJ$87,'ИП + источники'!$F$27:$F$87,$F163,'ИП + источники'!$AC$27:$AC$87,"Амортизационные отчисления")+SUMIFS('ИП + источники'!AJ$27:AJ$87,'ИП + источники'!$F$27:$F$87,$F163,'ИП + источники'!$AC$27:$AC$87,"погашение займов и кредитов из амортизации")</f>
        <v>0</v>
      </c>
      <c r="AL163" s="170">
        <f t="shared" ca="1" si="10"/>
        <v>0</v>
      </c>
      <c r="AM163" s="195"/>
      <c r="AN163" s="195"/>
      <c r="AO163" s="195"/>
      <c r="AR163" s="692" t="s">
        <v>1845</v>
      </c>
    </row>
    <row r="164" spans="1:48" s="901" customFormat="1" ht="21.75" customHeight="1">
      <c r="A164" s="421"/>
      <c r="B164" s="421"/>
      <c r="C164" s="421"/>
      <c r="D164" s="421"/>
      <c r="E164" s="503">
        <v>22.5</v>
      </c>
      <c r="F164" s="3" t="str" cm="1">
        <f t="array" aca="1" ref="F164" ca="1">OFFSET(E164,-1,1)</f>
        <v>1</v>
      </c>
      <c r="G164" s="421"/>
      <c r="H164" s="421"/>
      <c r="I164" s="154" t="s">
        <v>557</v>
      </c>
      <c r="J164" s="154"/>
      <c r="K164" s="154"/>
      <c r="L164" s="154"/>
      <c r="M164" s="154"/>
      <c r="N164" s="154"/>
      <c r="O164" s="154"/>
      <c r="P164" s="154"/>
      <c r="Q164" s="154"/>
      <c r="R164" s="154"/>
      <c r="S164" s="154"/>
      <c r="T164" s="351" t="b" cm="1">
        <f t="array" aca="1" ref="T164" ca="1">T163</f>
        <v>1</v>
      </c>
      <c r="U164" s="421"/>
      <c r="V164" s="421"/>
      <c r="W164" s="421"/>
      <c r="X164" s="1113"/>
      <c r="Y164" s="421"/>
      <c r="Z164" s="1114"/>
      <c r="AA164" s="421"/>
      <c r="AB164" s="131" t="s">
        <v>442</v>
      </c>
      <c r="AC164" s="125" t="s">
        <v>1846</v>
      </c>
      <c r="AD164" s="124" t="s">
        <v>859</v>
      </c>
      <c r="AE164" s="126">
        <f ca="1">SUMIFS(Аренда!AE$25:AE$47,Аренда!$F$25:$F$47,$F164,Аренда!$G$25:$G$47,"Арендная и концессионная плата, лизинговые платежи")</f>
        <v>0</v>
      </c>
      <c r="AF164" s="126">
        <f ca="1">SUMIFS(Аренда!AF$25:AF$47,Аренда!$F$25:$F$47,$F164,Аренда!$G$25:$G$47,"Арендная и концессионная плата, лизинговые платежи")</f>
        <v>0</v>
      </c>
      <c r="AG164" s="126">
        <f ca="1">SUMIFS(Аренда!AG$25:AG$47,Аренда!$F$25:$F$47,$F164,Аренда!$G$25:$G$47,"Арендная и концессионная плата, лизинговые платежи")</f>
        <v>0</v>
      </c>
      <c r="AH164" s="126">
        <f t="shared" ca="1" si="9"/>
        <v>0</v>
      </c>
      <c r="AI164" s="126">
        <f ca="1">SUMIFS(Аренда!AH$25:AH$47,Аренда!$F$25:$F$47,$F164,Аренда!$G$25:$G$47,"Арендная и концессионная плата, лизинговые платежи")</f>
        <v>0</v>
      </c>
      <c r="AJ164" s="126">
        <f ca="1">SUMIFS(Аренда!AI$25:AI$47,Аренда!$F$25:$F$47,$F164,Аренда!$G$25:$G$47,"Арендная и концессионная плата, лизинговые платежи")</f>
        <v>0</v>
      </c>
      <c r="AK164" s="126">
        <f ca="1">SUMIFS(Аренда!AS$25:AS$47,Аренда!$F$25:$F$47,$F164,Аренда!$G$25:$G$47,"Арендная и концессионная плата, лизинговые платежи")</f>
        <v>0</v>
      </c>
      <c r="AL164" s="126">
        <f t="shared" ca="1" si="10"/>
        <v>0</v>
      </c>
      <c r="AM164" s="554"/>
      <c r="AN164" s="599" t="str">
        <f ca="1">IF(IFERROR(INDEX(Аренда!$K$26:$L$47,MATCH($F164&amp;"komm",Аренда!$K$26:$K$47,0),2),"")=0,"",IFERROR(INDEX(Аренда!$K$26:$L$47,MATCH($F164&amp;"komm",Аренда!$K$26:$K$47,0),2),""))</f>
        <v/>
      </c>
      <c r="AO164" s="554"/>
      <c r="AP164" s="421"/>
      <c r="AQ164" s="421"/>
      <c r="AR164" s="693" t="s">
        <v>1847</v>
      </c>
      <c r="AS164" s="693"/>
      <c r="AT164" s="693"/>
      <c r="AU164" s="503"/>
      <c r="AV164" s="503"/>
    </row>
    <row r="165" spans="1:48" s="901" customFormat="1" ht="14.25" customHeight="1">
      <c r="A165" s="421"/>
      <c r="B165" s="421"/>
      <c r="C165" s="421"/>
      <c r="D165" s="421"/>
      <c r="E165" s="503">
        <v>15</v>
      </c>
      <c r="F165" s="3" t="str" cm="1">
        <f t="array" aca="1" ref="F165" ca="1">OFFSET(E165,-1,1)</f>
        <v>1</v>
      </c>
      <c r="G165" s="421"/>
      <c r="H165" s="421"/>
      <c r="I165" s="154" t="s">
        <v>560</v>
      </c>
      <c r="J165" s="154"/>
      <c r="K165" s="154"/>
      <c r="L165" s="154"/>
      <c r="M165" s="154"/>
      <c r="N165" s="154"/>
      <c r="O165" s="154"/>
      <c r="P165" s="154"/>
      <c r="Q165" s="154"/>
      <c r="R165" s="154"/>
      <c r="S165" s="154"/>
      <c r="T165" s="351" t="b" cm="1">
        <f t="array" aca="1" ref="T165" ca="1">T164</f>
        <v>1</v>
      </c>
      <c r="U165" s="421"/>
      <c r="V165" s="421"/>
      <c r="W165" s="421"/>
      <c r="X165" s="1113"/>
      <c r="Y165" s="421"/>
      <c r="Z165" s="1114"/>
      <c r="AA165" s="421"/>
      <c r="AB165" s="131" t="s">
        <v>444</v>
      </c>
      <c r="AC165" s="125" t="s">
        <v>1848</v>
      </c>
      <c r="AD165" s="124" t="s">
        <v>859</v>
      </c>
      <c r="AE165" s="126">
        <f ca="1">SUMIFS(Налоги!AE$25:AE$55,Налоги!$F$25:$F$55,$F165,Налоги!$AC$25:$AC$55,"Налоги и платежи, относимые на указанный вид деятельности")</f>
        <v>532.67000000000007</v>
      </c>
      <c r="AF165" s="126">
        <f ca="1">SUMIFS(Налоги!AF$25:AF$55,Налоги!$F$25:$F$55,$F165,Налоги!$AC$25:$AC$55,"Налоги и платежи, относимые на указанный вид деятельности")</f>
        <v>841.61</v>
      </c>
      <c r="AG165" s="126">
        <f ca="1">SUMIFS(Налоги!AG$25:AG$55,Налоги!$F$25:$F$55,$F165,Налоги!$AC$25:$AC$55,"Налоги и платежи, относимые на указанный вид деятельности")</f>
        <v>841.61</v>
      </c>
      <c r="AH165" s="126">
        <f t="shared" ca="1" si="9"/>
        <v>0</v>
      </c>
      <c r="AI165" s="126">
        <f ca="1">SUMIFS(Налоги!AH$25:AH$55,Налоги!$F$25:$F$55,$F165,Налоги!$AC$25:$AC$55,"Налоги и платежи, относимые на указанный вид деятельности")</f>
        <v>11842.76</v>
      </c>
      <c r="AJ165" s="126">
        <f ca="1">SUMIFS(Налоги!AI$25:AI$55,Налоги!$F$25:$F$55,$F165,Налоги!$AC$25:$AC$55,"Налоги и платежи, относимые на указанный вид деятельности")</f>
        <v>15826</v>
      </c>
      <c r="AK165" s="126">
        <f ca="1">SUMIFS(Налоги!AS$25:AS$55,Налоги!$F$25:$F$55,$F165,Налоги!$AC$25:$AC$55,"Налоги и платежи, относимые на указанный вид деятельности")</f>
        <v>14965.41</v>
      </c>
      <c r="AL165" s="126">
        <f t="shared" ca="1" si="10"/>
        <v>26.367586609878096</v>
      </c>
      <c r="AM165" s="554"/>
      <c r="AN165" s="599" t="str">
        <f ca="1">IF(IFERROR(INDEX(Налоги!$K$26:$L$55,MATCH($F165&amp;"komm",Налоги!$K$26:$K$55,0),2),"")=0,"",IFERROR(INDEX(Налоги!$K$26:$L$55,MATCH($F165&amp;"komm",Налоги!$K$26:$K$55,0),2),""))</f>
        <v xml:space="preserve">1) П. 49 (2) Методических указаний  ФСТ № 1746-э.  2)  "Налоговый кодекс Российской Федерации (часть вторая)" от 05.08.2000 N 117-ФЗ. </v>
      </c>
      <c r="AO165" s="554"/>
      <c r="AP165" s="421"/>
      <c r="AQ165" s="421"/>
      <c r="AR165" s="693" t="s">
        <v>1294</v>
      </c>
      <c r="AS165" s="693"/>
      <c r="AT165" s="693"/>
      <c r="AU165" s="503"/>
      <c r="AV165" s="503"/>
    </row>
    <row r="166" spans="1:48" s="901" customFormat="1" ht="14.25" customHeight="1">
      <c r="A166" s="421"/>
      <c r="B166" s="421"/>
      <c r="C166" s="421"/>
      <c r="D166" s="421"/>
      <c r="E166" s="503">
        <v>15</v>
      </c>
      <c r="F166" s="3" t="str" cm="1">
        <f t="array" aca="1" ref="F166" ca="1">OFFSET(E166,-1,1)</f>
        <v>1</v>
      </c>
      <c r="G166" s="421"/>
      <c r="H166" s="421"/>
      <c r="I166" s="154" t="s">
        <v>613</v>
      </c>
      <c r="J166" s="154"/>
      <c r="K166" s="154"/>
      <c r="L166" s="154"/>
      <c r="M166" s="154"/>
      <c r="N166" s="154"/>
      <c r="O166" s="154"/>
      <c r="P166" s="154"/>
      <c r="Q166" s="154"/>
      <c r="R166" s="154"/>
      <c r="S166" s="154"/>
      <c r="T166" s="351" t="b" cm="1">
        <f t="array" aca="1" ref="T166" ca="1">T165</f>
        <v>1</v>
      </c>
      <c r="U166" s="421"/>
      <c r="V166" s="421"/>
      <c r="W166" s="421"/>
      <c r="X166" s="1113"/>
      <c r="Y166" s="421"/>
      <c r="Z166" s="1114"/>
      <c r="AA166" s="421"/>
      <c r="AB166" s="131" t="s">
        <v>446</v>
      </c>
      <c r="AC166" s="125" t="s">
        <v>1849</v>
      </c>
      <c r="AD166" s="147" t="s">
        <v>859</v>
      </c>
      <c r="AE166" s="126">
        <f ca="1">AE167+AE168+AE169</f>
        <v>0</v>
      </c>
      <c r="AF166" s="126">
        <f ca="1">AF167+AF168+AF169</f>
        <v>0</v>
      </c>
      <c r="AG166" s="126">
        <f ca="1">AG167+AG168+AG169</f>
        <v>0</v>
      </c>
      <c r="AH166" s="126">
        <f t="shared" ca="1" si="9"/>
        <v>0</v>
      </c>
      <c r="AI166" s="126">
        <f ca="1">AI167+AI168+AI169</f>
        <v>295.72158000000002</v>
      </c>
      <c r="AJ166" s="126">
        <f ca="1">AJ167+AJ168+AJ169</f>
        <v>0</v>
      </c>
      <c r="AK166" s="126">
        <f ca="1">AK167+AK168+AK169</f>
        <v>0</v>
      </c>
      <c r="AL166" s="126">
        <f t="shared" ca="1" si="10"/>
        <v>-100</v>
      </c>
      <c r="AM166" s="554"/>
      <c r="AN166" s="599"/>
      <c r="AO166" s="554"/>
      <c r="AP166" s="421"/>
      <c r="AQ166" s="421"/>
      <c r="AR166" s="693" t="s">
        <v>1551</v>
      </c>
      <c r="AS166" s="693"/>
      <c r="AT166" s="693"/>
      <c r="AU166" s="503"/>
      <c r="AV166" s="503"/>
    </row>
    <row r="167" spans="1:48" ht="14.25" customHeight="1">
      <c r="E167" s="502">
        <v>15</v>
      </c>
      <c r="F167" s="3" t="str" cm="1">
        <f t="array" aca="1" ref="F167" ca="1">OFFSET(E167,-1,1)</f>
        <v>1</v>
      </c>
      <c r="I167" s="38" t="s">
        <v>616</v>
      </c>
      <c r="J167" s="38"/>
      <c r="K167" s="38"/>
      <c r="L167" s="38"/>
      <c r="M167" s="38"/>
      <c r="N167" s="38"/>
      <c r="O167" s="38"/>
      <c r="P167" s="38"/>
      <c r="Q167" s="38"/>
      <c r="R167" s="38"/>
      <c r="S167" s="38"/>
      <c r="T167" s="351" t="b" cm="1">
        <f t="array" aca="1" ref="T167" ca="1">T166</f>
        <v>1</v>
      </c>
      <c r="X167" s="1113"/>
      <c r="Z167" s="1114"/>
      <c r="AB167" s="133" t="s">
        <v>639</v>
      </c>
      <c r="AC167" s="127" t="s">
        <v>1850</v>
      </c>
      <c r="AD167" s="7" t="s">
        <v>859</v>
      </c>
      <c r="AE167" s="128">
        <f ca="1">SUMIFS('ИП + источники'!AF$26:AF$87,'ИП + источники'!$F$26:$F$87,$F167,'ИП + источники'!$AC$26:$AC$87,"погашение займов и кредитов из нормативной прибыли")+SUMIFS('ИП + источники'!AF$26:AF$87,'ИП + источники'!$F$26:$F$87,$F167,'ИП + источники'!$AC$26:$AC$87,"уплата процентов по кредитам из нормативной прибыли")</f>
        <v>0</v>
      </c>
      <c r="AF167" s="128">
        <f ca="1">SUMIFS('ИП + источники'!AG$26:AG$87,'ИП + источники'!$F$26:$F$87,$F167,'ИП + источники'!$AC$26:$AC$87,"погашение займов и кредитов из нормативной прибыли")+SUMIFS('ИП + источники'!AG$26:AG$87,'ИП + источники'!$F$26:$F$87,$F167,'ИП + источники'!$AC$26:$AC$87,"уплата процентов по кредитам из нормативной прибыли")</f>
        <v>0</v>
      </c>
      <c r="AG167" s="128">
        <f ca="1">SUMIFS('ИП + источники'!AH$26:AH$87,'ИП + источники'!$F$26:$F$87,$F167,'ИП + источники'!$AC$26:$AC$87,"погашение займов и кредитов из нормативной прибыли")+SUMIFS('ИП + источники'!AH$26:AH$87,'ИП + источники'!$F$26:$F$87,$F167,'ИП + источники'!$AC$26:$AC$87,"уплата процентов по кредитам из нормативной прибыли")</f>
        <v>0</v>
      </c>
      <c r="AH167" s="170">
        <f t="shared" ca="1" si="9"/>
        <v>0</v>
      </c>
      <c r="AI167" s="128">
        <f ca="1">SUMIFS('ИП + источники'!AJ$26:AJ$87,'ИП + источники'!$F$26:$F$87,$F167,'ИП + источники'!$AC$26:$AC$87,"погашение займов и кредитов из нормативной прибыли")+SUMIFS('ИП + источники'!AJ$26:AJ$87,'ИП + источники'!$F$26:$F$87,$F167,'ИП + источники'!$AC$26:$AC$87,"уплата процентов по кредитам из нормативной прибыли")</f>
        <v>0</v>
      </c>
      <c r="AJ167" s="128">
        <f ca="1">SUMIFS('ИП + источники'!AK$26:AK$87,'ИП + источники'!$F$26:$F$87,$F167,'ИП + источники'!$AC$26:$AC$87,"погашение займов и кредитов из нормативной прибыли")+SUMIFS('ИП + источники'!AK$26:AK$87,'ИП + источники'!$F$26:$F$87,$F167,'ИП + источники'!$AC$26:$AC$87,"уплата процентов по кредитам из нормативной прибыли")</f>
        <v>0</v>
      </c>
      <c r="AK167" s="128">
        <f ca="1">SUMIFS('ИП + источники'!AU$26:AU$87,'ИП + источники'!$F$26:$F$87,$F167,'ИП + источники'!$AC$26:$AC$87,"погашение займов и кредитов из нормативной прибыли")+SUMIFS('ИП + источники'!AU$26:AU$87,'ИП + источники'!$F$26:$F$87,$F167,'ИП + источники'!$AC$26:$AC$87,"уплата процентов по кредитам из нормативной прибыли")</f>
        <v>0</v>
      </c>
      <c r="AL167" s="170">
        <f t="shared" ca="1" si="10"/>
        <v>0</v>
      </c>
      <c r="AM167" s="195"/>
      <c r="AN167" s="599" t="str">
        <f ca="1">IF(IFERROR(INDEX('ИП + источники'!$K$28:$L$87,MATCH($F167&amp;"1komm",'ИП + источники'!$K$28:$K$87,0),2),"")=0,"",IFERROR(INDEX('ИП + источники'!$K$28:$L$87,MATCH($F167&amp;"1komm",'ИП + источники'!$K$28:$K$87,0),2),""))</f>
        <v/>
      </c>
      <c r="AO167" s="195"/>
      <c r="AR167" s="692" t="s">
        <v>1282</v>
      </c>
    </row>
    <row r="168" spans="1:48" ht="14.25" customHeight="1">
      <c r="E168" s="502">
        <v>15</v>
      </c>
      <c r="F168" s="3" t="str" cm="1">
        <f t="array" aca="1" ref="F168" ca="1">OFFSET(E168,-1,1)</f>
        <v>1</v>
      </c>
      <c r="I168" s="38" t="s">
        <v>620</v>
      </c>
      <c r="J168" s="38"/>
      <c r="K168" s="38"/>
      <c r="L168" s="38"/>
      <c r="M168" s="38"/>
      <c r="N168" s="38"/>
      <c r="O168" s="38"/>
      <c r="P168" s="38"/>
      <c r="Q168" s="38"/>
      <c r="R168" s="38"/>
      <c r="S168" s="38"/>
      <c r="T168" s="351" t="b" cm="1">
        <f t="array" aca="1" ref="T168" ca="1">T167</f>
        <v>1</v>
      </c>
      <c r="X168" s="1113"/>
      <c r="Z168" s="1114"/>
      <c r="AB168" s="133" t="s">
        <v>656</v>
      </c>
      <c r="AC168" s="127" t="s">
        <v>1851</v>
      </c>
      <c r="AD168" s="7" t="s">
        <v>859</v>
      </c>
      <c r="AE168" s="128">
        <f ca="1">SUMIFS('ИП + источники'!AF$27:AF$87,'ИП + источники'!$F$27:$F$87,$F168,'ИП + источники'!$AC$27:$AC$87,"Прибыль на капвложения")</f>
        <v>0</v>
      </c>
      <c r="AF168" s="128">
        <f ca="1">SUMIFS('ИП + источники'!AG$27:AG$87,'ИП + источники'!$F$27:$F$87,$F168,'ИП + источники'!$AC$27:$AC$87,"Прибыль на капвложения")</f>
        <v>0</v>
      </c>
      <c r="AG168" s="128">
        <f ca="1">SUMIFS('ИП + источники'!AH$27:AH$87,'ИП + источники'!$F$27:$F$87,$F168,'ИП + источники'!$AC$27:$AC$87,"Прибыль на капвложения")</f>
        <v>0</v>
      </c>
      <c r="AH168" s="170">
        <f t="shared" ca="1" si="9"/>
        <v>0</v>
      </c>
      <c r="AI168" s="128">
        <f ca="1">SUMIFS('ИП + источники'!AJ$27:AJ$87,'ИП + источники'!$F$27:$F$87,$F168,'ИП + источники'!$AC$27:$AC$87,"Прибыль на капвложения")</f>
        <v>0</v>
      </c>
      <c r="AJ168" s="128">
        <f ca="1">SUMIFS('ИП + источники'!AK$27:AK$87,'ИП + источники'!$F$27:$F$87,$F168,'ИП + источники'!$AC$27:$AC$87,"Прибыль на капвложения")</f>
        <v>0</v>
      </c>
      <c r="AK168" s="128">
        <f ca="1">SUMIFS('ИП + источники'!AU$27:AU$87,'ИП + источники'!$F$27:$F$87,$F168,'ИП + источники'!$AC$27:$AC$87,"Прибыль на капвложения")</f>
        <v>0</v>
      </c>
      <c r="AL168" s="170">
        <f t="shared" ca="1" si="10"/>
        <v>0</v>
      </c>
      <c r="AM168" s="195"/>
      <c r="AN168" s="599" t="str">
        <f ca="1">IF(IFERROR(INDEX('ИП + источники'!$K$28:$L$87,MATCH($F168&amp;"2komm",'ИП + источники'!$K$28:$K$87,0),2),"")=0,"",IFERROR(INDEX('ИП + источники'!$K$28:$L$87,MATCH($F168&amp;"2komm",'ИП + источники'!$K$28:$K$87,0),2),""))</f>
        <v/>
      </c>
      <c r="AO168" s="195"/>
      <c r="AR168" s="692" t="s">
        <v>1852</v>
      </c>
    </row>
    <row r="169" spans="1:48" ht="21.95" customHeight="1">
      <c r="E169" s="502">
        <v>22.5</v>
      </c>
      <c r="F169" s="3" t="str" cm="1">
        <f t="array" aca="1" ref="F169" ca="1">OFFSET(E169,-1,1)</f>
        <v>1</v>
      </c>
      <c r="I169" s="38" t="s">
        <v>624</v>
      </c>
      <c r="J169" s="38"/>
      <c r="K169" s="38"/>
      <c r="L169" s="38"/>
      <c r="M169" s="38"/>
      <c r="N169" s="38"/>
      <c r="O169" s="38"/>
      <c r="P169" s="38"/>
      <c r="Q169" s="38"/>
      <c r="R169" s="38"/>
      <c r="S169" s="38"/>
      <c r="T169" s="351" t="b" cm="1">
        <f t="array" aca="1" ref="T169" ca="1">T168</f>
        <v>1</v>
      </c>
      <c r="X169" s="1113"/>
      <c r="Z169" s="1114"/>
      <c r="AB169" s="133" t="s">
        <v>668</v>
      </c>
      <c r="AC169" s="127" t="s">
        <v>1853</v>
      </c>
      <c r="AD169" s="7" t="s">
        <v>859</v>
      </c>
      <c r="AE169" s="128"/>
      <c r="AF169" s="128"/>
      <c r="AG169" s="128"/>
      <c r="AH169" s="170"/>
      <c r="AI169" s="128">
        <v>295.72158000000002</v>
      </c>
      <c r="AJ169" s="128"/>
      <c r="AK169" s="128"/>
      <c r="AL169" s="170">
        <f t="shared" si="10"/>
        <v>-100</v>
      </c>
      <c r="AM169" s="195"/>
      <c r="AN169" s="195"/>
      <c r="AO169" s="195"/>
      <c r="AR169" s="692" t="s">
        <v>1854</v>
      </c>
    </row>
    <row r="170" spans="1:48" s="901" customFormat="1" ht="21.75" customHeight="1">
      <c r="A170" s="421"/>
      <c r="B170" s="421" t="b">
        <f>STATUS_GO="да"</f>
        <v>1</v>
      </c>
      <c r="C170" s="421"/>
      <c r="D170" s="421"/>
      <c r="E170" s="503">
        <v>22.5</v>
      </c>
      <c r="F170" s="3" t="str" cm="1">
        <f t="array" aca="1" ref="F170" ca="1">OFFSET(E170,-1,1)</f>
        <v>1</v>
      </c>
      <c r="G170" s="421"/>
      <c r="H170" s="421"/>
      <c r="I170" s="154" t="s">
        <v>628</v>
      </c>
      <c r="J170" s="154"/>
      <c r="K170" s="154"/>
      <c r="L170" s="154"/>
      <c r="M170" s="154"/>
      <c r="N170" s="154"/>
      <c r="O170" s="154"/>
      <c r="P170" s="154"/>
      <c r="Q170" s="154"/>
      <c r="R170" s="154"/>
      <c r="S170" s="154"/>
      <c r="T170" s="351" t="b" cm="1">
        <f t="array" aca="1" ref="T170" ca="1">T169</f>
        <v>1</v>
      </c>
      <c r="U170" s="421"/>
      <c r="V170" s="421"/>
      <c r="W170" s="421"/>
      <c r="X170" s="1113"/>
      <c r="Y170" s="421"/>
      <c r="Z170" s="1114"/>
      <c r="AA170" s="421"/>
      <c r="AB170" s="131" t="s">
        <v>448</v>
      </c>
      <c r="AC170" s="132" t="s">
        <v>1855</v>
      </c>
      <c r="AD170" s="124" t="s">
        <v>859</v>
      </c>
      <c r="AE170" s="138"/>
      <c r="AF170" s="138"/>
      <c r="AG170" s="138"/>
      <c r="AH170" s="126">
        <f>AG170-AF170</f>
        <v>0</v>
      </c>
      <c r="AI170" s="138"/>
      <c r="AJ170" s="138"/>
      <c r="AK170" s="138"/>
      <c r="AL170" s="126">
        <f t="shared" si="10"/>
        <v>0</v>
      </c>
      <c r="AM170" s="554"/>
      <c r="AN170" s="554"/>
      <c r="AO170" s="554"/>
      <c r="AP170" s="421"/>
      <c r="AQ170" s="421"/>
      <c r="AR170" s="693" t="s">
        <v>1856</v>
      </c>
      <c r="AS170" s="693"/>
      <c r="AT170" s="693"/>
      <c r="AU170" s="503"/>
      <c r="AV170" s="503"/>
    </row>
    <row r="171" spans="1:48" ht="14.25" customHeight="1">
      <c r="E171" s="502">
        <v>15</v>
      </c>
      <c r="F171" s="3" t="str" cm="1">
        <f t="array" aca="1" ref="F171" ca="1">OFFSET(E171,-1,1)</f>
        <v>1</v>
      </c>
      <c r="I171" s="38" t="s">
        <v>635</v>
      </c>
      <c r="J171" s="38"/>
      <c r="K171" s="38"/>
      <c r="L171" s="38"/>
      <c r="M171" s="38"/>
      <c r="N171" s="38"/>
      <c r="O171" s="38"/>
      <c r="P171" s="38"/>
      <c r="Q171" s="38"/>
      <c r="R171" s="38"/>
      <c r="S171" s="38"/>
      <c r="T171" s="351" t="b" cm="1">
        <f t="array" aca="1" ref="T171" ca="1">T170</f>
        <v>1</v>
      </c>
      <c r="X171" s="1113"/>
      <c r="Z171" s="1114"/>
      <c r="AB171" s="133" t="s">
        <v>450</v>
      </c>
      <c r="AC171" s="345" t="s">
        <v>1506</v>
      </c>
      <c r="AD171" s="7" t="s">
        <v>859</v>
      </c>
      <c r="AE171" s="128"/>
      <c r="AF171" s="128"/>
      <c r="AG171" s="128"/>
      <c r="AH171" s="170"/>
      <c r="AI171" s="129"/>
      <c r="AJ171" s="129"/>
      <c r="AK171" s="129"/>
      <c r="AL171" s="170">
        <f t="shared" si="10"/>
        <v>0</v>
      </c>
      <c r="AM171" s="195"/>
      <c r="AN171" s="195"/>
      <c r="AO171" s="195"/>
      <c r="AR171" s="692" t="s">
        <v>1857</v>
      </c>
    </row>
    <row r="172" spans="1:48" ht="101.25" hidden="1" customHeight="1">
      <c r="E172" s="502">
        <v>0</v>
      </c>
      <c r="F172" s="3" t="str" cm="1">
        <f t="array" aca="1" ref="F172" ca="1">OFFSET(E172,-1,1)</f>
        <v>1</v>
      </c>
      <c r="H172" s="38" t="b">
        <f>ISERR(SEARCH("Водоснабжение",AB112))</f>
        <v>0</v>
      </c>
      <c r="I172" s="38" t="s">
        <v>792</v>
      </c>
      <c r="J172" s="38"/>
      <c r="K172" s="38"/>
      <c r="L172" s="38"/>
      <c r="M172" s="38"/>
      <c r="N172" s="38"/>
      <c r="O172" s="38"/>
      <c r="P172" s="38"/>
      <c r="Q172" s="38"/>
      <c r="R172" s="38"/>
      <c r="S172" s="38"/>
      <c r="T172" s="351" t="b" cm="1">
        <f t="array" aca="1" ref="T172" ca="1">T171</f>
        <v>1</v>
      </c>
      <c r="X172" s="1113"/>
      <c r="Z172" s="1114"/>
      <c r="AB172" s="133" t="s">
        <v>452</v>
      </c>
      <c r="AC172" s="345" t="s">
        <v>1858</v>
      </c>
      <c r="AD172" s="9" t="s">
        <v>859</v>
      </c>
      <c r="AE172" s="128"/>
      <c r="AF172" s="128"/>
      <c r="AG172" s="128"/>
      <c r="AH172" s="170">
        <f t="shared" ref="AH172:AH187" si="11">AG172-AF172</f>
        <v>0</v>
      </c>
      <c r="AI172" s="128"/>
      <c r="AJ172" s="777"/>
      <c r="AK172" s="777">
        <f ca="1">IFERROR(SUMIFS('Плата за негативное возд'!$AL$25:$AL$32,'Плата за негативное возд'!$F$25:$F$32,F172,'Плата за негативное возд'!$G$25:$G$32,"1"),0)</f>
        <v>0</v>
      </c>
      <c r="AL172" s="170">
        <f t="shared" si="10"/>
        <v>0</v>
      </c>
      <c r="AM172" s="774"/>
      <c r="AN172" s="774"/>
      <c r="AO172" s="774"/>
      <c r="AR172" s="692" t="s">
        <v>1408</v>
      </c>
    </row>
    <row r="173" spans="1:48" ht="67.5" hidden="1" customHeight="1">
      <c r="E173" s="502">
        <v>0</v>
      </c>
      <c r="F173" s="3" t="str" cm="1">
        <f t="array" aca="1" ref="F173" ca="1">OFFSET(E173,-1,1)</f>
        <v>1</v>
      </c>
      <c r="H173" s="38" t="b">
        <f>ISERR(SEARCH("Водоснабжение",AB112))</f>
        <v>0</v>
      </c>
      <c r="I173" s="38" t="s">
        <v>794</v>
      </c>
      <c r="J173" s="38"/>
      <c r="K173" s="38"/>
      <c r="L173" s="38"/>
      <c r="M173" s="38"/>
      <c r="N173" s="38"/>
      <c r="O173" s="38"/>
      <c r="P173" s="38"/>
      <c r="Q173" s="38"/>
      <c r="R173" s="38"/>
      <c r="S173" s="38"/>
      <c r="T173" s="351" t="b" cm="1">
        <f t="array" aca="1" ref="T173" ca="1">T172</f>
        <v>1</v>
      </c>
      <c r="X173" s="1113"/>
      <c r="Z173" s="1114"/>
      <c r="AB173" s="133" t="s">
        <v>454</v>
      </c>
      <c r="AC173" s="345" t="s">
        <v>1859</v>
      </c>
      <c r="AD173" s="9" t="s">
        <v>859</v>
      </c>
      <c r="AE173" s="128"/>
      <c r="AF173" s="128"/>
      <c r="AG173" s="128"/>
      <c r="AH173" s="170">
        <f t="shared" si="11"/>
        <v>0</v>
      </c>
      <c r="AI173" s="128"/>
      <c r="AJ173" s="777"/>
      <c r="AK173" s="777">
        <f ca="1">IFERROR(SUMIFS('Плата за негативное возд'!$AL$25:$AL$32,'Плата за негативное возд'!$F$25:$F$32,F173,'Плата за негативное возд'!$G$25:$G$32,"2"),0)</f>
        <v>0</v>
      </c>
      <c r="AL173" s="170">
        <f t="shared" si="10"/>
        <v>0</v>
      </c>
      <c r="AM173" s="774"/>
      <c r="AN173" s="774"/>
      <c r="AO173" s="774"/>
      <c r="AR173" s="692" t="s">
        <v>1412</v>
      </c>
    </row>
    <row r="174" spans="1:48" ht="14.25" customHeight="1">
      <c r="E174" s="502">
        <v>15</v>
      </c>
      <c r="F174" s="3" t="str" cm="1">
        <f t="array" aca="1" ref="F174" ca="1">OFFSET(E174,-1,1)</f>
        <v>1</v>
      </c>
      <c r="I174" s="38" t="s">
        <v>837</v>
      </c>
      <c r="J174" s="38"/>
      <c r="K174" s="38"/>
      <c r="L174" s="38"/>
      <c r="M174" s="38"/>
      <c r="N174" s="38"/>
      <c r="O174" s="38"/>
      <c r="P174" s="38"/>
      <c r="Q174" s="38"/>
      <c r="R174" s="38"/>
      <c r="S174" s="38"/>
      <c r="T174" s="351" t="b" cm="1">
        <f t="array" aca="1" ref="T174" ca="1">T173</f>
        <v>1</v>
      </c>
      <c r="X174" s="1113"/>
      <c r="Z174" s="1114"/>
      <c r="AB174" s="133" t="s">
        <v>456</v>
      </c>
      <c r="AC174" s="245" t="s">
        <v>1860</v>
      </c>
      <c r="AD174" s="7" t="s">
        <v>859</v>
      </c>
      <c r="AE174" s="128"/>
      <c r="AF174" s="128"/>
      <c r="AG174" s="128"/>
      <c r="AH174" s="170">
        <f t="shared" si="11"/>
        <v>0</v>
      </c>
      <c r="AI174" s="128"/>
      <c r="AJ174" s="128"/>
      <c r="AK174" s="128"/>
      <c r="AL174" s="170">
        <f t="shared" si="10"/>
        <v>0</v>
      </c>
      <c r="AM174" s="195"/>
      <c r="AN174" s="195"/>
      <c r="AO174" s="195"/>
      <c r="AR174" s="692" t="s">
        <v>1248</v>
      </c>
    </row>
    <row r="175" spans="1:48" s="901" customFormat="1" ht="21.75" customHeight="1">
      <c r="A175" s="421"/>
      <c r="B175" s="421"/>
      <c r="C175" s="421"/>
      <c r="D175" s="421"/>
      <c r="E175" s="503">
        <v>22.5</v>
      </c>
      <c r="F175" s="3" t="str" cm="1">
        <f t="array" aca="1" ref="F175" ca="1">OFFSET(E175,-1,1)</f>
        <v>1</v>
      </c>
      <c r="G175" s="421"/>
      <c r="H175" s="421"/>
      <c r="I175" s="154" t="s">
        <v>838</v>
      </c>
      <c r="J175" s="154"/>
      <c r="K175" s="154"/>
      <c r="L175" s="154"/>
      <c r="M175" s="154"/>
      <c r="N175" s="154"/>
      <c r="O175" s="154"/>
      <c r="P175" s="154"/>
      <c r="Q175" s="154"/>
      <c r="R175" s="154"/>
      <c r="S175" s="154"/>
      <c r="T175" s="351" t="b" cm="1">
        <f t="array" aca="1" ref="T175" ca="1">T174</f>
        <v>1</v>
      </c>
      <c r="U175" s="421"/>
      <c r="V175" s="421"/>
      <c r="W175" s="421"/>
      <c r="X175" s="1113"/>
      <c r="Y175" s="421"/>
      <c r="Z175" s="1114"/>
      <c r="AA175" s="421"/>
      <c r="AB175" s="131" t="s">
        <v>460</v>
      </c>
      <c r="AC175" s="125" t="s">
        <v>1861</v>
      </c>
      <c r="AD175" s="124" t="s">
        <v>859</v>
      </c>
      <c r="AE175" s="126">
        <f>AE176+AE177</f>
        <v>0</v>
      </c>
      <c r="AF175" s="126">
        <f>AF176+AF177</f>
        <v>0</v>
      </c>
      <c r="AG175" s="126">
        <f>AG176+AG177</f>
        <v>0</v>
      </c>
      <c r="AH175" s="126">
        <f t="shared" si="11"/>
        <v>0</v>
      </c>
      <c r="AI175" s="126">
        <f>AI176+AI177</f>
        <v>0</v>
      </c>
      <c r="AJ175" s="126">
        <f>AJ176+AJ177</f>
        <v>0</v>
      </c>
      <c r="AK175" s="126">
        <f>AK176+AK177</f>
        <v>0</v>
      </c>
      <c r="AL175" s="126">
        <f t="shared" si="10"/>
        <v>0</v>
      </c>
      <c r="AM175" s="554"/>
      <c r="AN175" s="554"/>
      <c r="AO175" s="554"/>
      <c r="AP175" s="421"/>
      <c r="AQ175" s="421"/>
      <c r="AR175" s="693" t="s">
        <v>1589</v>
      </c>
      <c r="AS175" s="693"/>
      <c r="AT175" s="693"/>
      <c r="AU175" s="503"/>
      <c r="AV175" s="503"/>
    </row>
    <row r="176" spans="1:48" ht="21.75" customHeight="1">
      <c r="E176" s="502">
        <v>22.5</v>
      </c>
      <c r="F176" s="3" t="str" cm="1">
        <f t="array" aca="1" ref="F176" ca="1">OFFSET(E176,-1,1)</f>
        <v>1</v>
      </c>
      <c r="I176" s="38" t="s">
        <v>1862</v>
      </c>
      <c r="J176" s="38"/>
      <c r="K176" s="38"/>
      <c r="L176" s="38"/>
      <c r="M176" s="38"/>
      <c r="N176" s="38"/>
      <c r="O176" s="38"/>
      <c r="P176" s="38"/>
      <c r="Q176" s="38"/>
      <c r="R176" s="38"/>
      <c r="S176" s="38"/>
      <c r="T176" s="351" t="b" cm="1">
        <f t="array" aca="1" ref="T176" ca="1">T175</f>
        <v>1</v>
      </c>
      <c r="X176" s="1113"/>
      <c r="Z176" s="1114"/>
      <c r="AB176" s="133" t="s">
        <v>1863</v>
      </c>
      <c r="AC176" s="548" t="s">
        <v>1590</v>
      </c>
      <c r="AD176" s="7" t="s">
        <v>859</v>
      </c>
      <c r="AE176" s="128"/>
      <c r="AF176" s="128"/>
      <c r="AG176" s="128"/>
      <c r="AH176" s="170">
        <f t="shared" si="11"/>
        <v>0</v>
      </c>
      <c r="AI176" s="128"/>
      <c r="AJ176" s="128"/>
      <c r="AK176" s="128"/>
      <c r="AL176" s="170">
        <f t="shared" si="10"/>
        <v>0</v>
      </c>
      <c r="AM176" s="195"/>
      <c r="AN176" s="195"/>
      <c r="AO176" s="195"/>
      <c r="AR176" s="692" t="s">
        <v>1628</v>
      </c>
    </row>
    <row r="177" spans="1:48" ht="21.75" customHeight="1">
      <c r="E177" s="502">
        <v>22.5</v>
      </c>
      <c r="F177" s="3" t="str" cm="1">
        <f t="array" aca="1" ref="F177" ca="1">OFFSET(E177,-1,1)</f>
        <v>1</v>
      </c>
      <c r="I177" s="38" t="s">
        <v>1864</v>
      </c>
      <c r="J177" s="38"/>
      <c r="K177" s="38"/>
      <c r="L177" s="38"/>
      <c r="M177" s="38"/>
      <c r="N177" s="38"/>
      <c r="O177" s="38"/>
      <c r="P177" s="38"/>
      <c r="Q177" s="38"/>
      <c r="R177" s="38"/>
      <c r="S177" s="38"/>
      <c r="T177" s="351" t="b" cm="1">
        <f t="array" aca="1" ref="T177" ca="1">T176</f>
        <v>1</v>
      </c>
      <c r="X177" s="1113"/>
      <c r="Z177" s="1114"/>
      <c r="AB177" s="133" t="s">
        <v>1865</v>
      </c>
      <c r="AC177" s="548" t="s">
        <v>1592</v>
      </c>
      <c r="AD177" s="7" t="s">
        <v>859</v>
      </c>
      <c r="AE177" s="128"/>
      <c r="AF177" s="128"/>
      <c r="AG177" s="128"/>
      <c r="AH177" s="170">
        <f t="shared" si="11"/>
        <v>0</v>
      </c>
      <c r="AI177" s="128"/>
      <c r="AJ177" s="128"/>
      <c r="AK177" s="128"/>
      <c r="AL177" s="170">
        <f t="shared" si="10"/>
        <v>0</v>
      </c>
      <c r="AM177" s="195"/>
      <c r="AN177" s="195"/>
      <c r="AO177" s="195"/>
      <c r="AR177" s="692" t="s">
        <v>1866</v>
      </c>
    </row>
    <row r="178" spans="1:48" ht="14.25" customHeight="1">
      <c r="E178" s="502">
        <v>15</v>
      </c>
      <c r="F178" s="3" t="str" cm="1">
        <f t="array" aca="1" ref="F178" ca="1">OFFSET(E178,-1,1)</f>
        <v>1</v>
      </c>
      <c r="I178" s="38" t="s">
        <v>1867</v>
      </c>
      <c r="J178" s="38"/>
      <c r="K178" s="38"/>
      <c r="L178" s="38"/>
      <c r="M178" s="38"/>
      <c r="N178" s="38"/>
      <c r="O178" s="38"/>
      <c r="P178" s="38"/>
      <c r="Q178" s="38"/>
      <c r="R178" s="38"/>
      <c r="S178" s="38"/>
      <c r="T178" s="351" t="b" cm="1">
        <f t="array" aca="1" ref="T178" ca="1">T177</f>
        <v>1</v>
      </c>
      <c r="X178" s="1113"/>
      <c r="Z178" s="1114"/>
      <c r="AB178" s="549" t="s">
        <v>330</v>
      </c>
      <c r="AC178" s="555" t="s">
        <v>1594</v>
      </c>
      <c r="AD178" s="7" t="s">
        <v>859</v>
      </c>
      <c r="AE178" s="128"/>
      <c r="AF178" s="128"/>
      <c r="AG178" s="128"/>
      <c r="AH178" s="170">
        <f t="shared" si="11"/>
        <v>0</v>
      </c>
      <c r="AI178" s="128"/>
      <c r="AJ178" s="128"/>
      <c r="AK178" s="128"/>
      <c r="AL178" s="170">
        <f t="shared" si="10"/>
        <v>0</v>
      </c>
      <c r="AM178" s="195"/>
      <c r="AN178" s="195"/>
      <c r="AO178" s="195"/>
      <c r="AR178" s="692" t="s">
        <v>1595</v>
      </c>
    </row>
    <row r="179" spans="1:48" ht="14.25" customHeight="1">
      <c r="E179" s="502">
        <v>15</v>
      </c>
      <c r="F179" s="3" t="str" cm="1">
        <f t="array" aca="1" ref="F179" ca="1">OFFSET(E179,-1,1)</f>
        <v>1</v>
      </c>
      <c r="I179" s="38" t="s">
        <v>1868</v>
      </c>
      <c r="J179" s="38"/>
      <c r="K179" s="38"/>
      <c r="L179" s="38"/>
      <c r="M179" s="38"/>
      <c r="N179" s="38"/>
      <c r="O179" s="38"/>
      <c r="P179" s="38"/>
      <c r="Q179" s="38"/>
      <c r="R179" s="38"/>
      <c r="S179" s="38"/>
      <c r="T179" s="351" t="b" cm="1">
        <f t="array" aca="1" ref="T179" ca="1">T178</f>
        <v>1</v>
      </c>
      <c r="X179" s="1113"/>
      <c r="Z179" s="1114"/>
      <c r="AB179" s="549" t="s">
        <v>465</v>
      </c>
      <c r="AC179" s="555" t="s">
        <v>1596</v>
      </c>
      <c r="AD179" s="7" t="s">
        <v>859</v>
      </c>
      <c r="AE179" s="128"/>
      <c r="AF179" s="128"/>
      <c r="AG179" s="128"/>
      <c r="AH179" s="170">
        <f t="shared" si="11"/>
        <v>0</v>
      </c>
      <c r="AI179" s="128"/>
      <c r="AJ179" s="128"/>
      <c r="AK179" s="128"/>
      <c r="AL179" s="170">
        <f t="shared" si="10"/>
        <v>0</v>
      </c>
      <c r="AM179" s="195"/>
      <c r="AN179" s="195"/>
      <c r="AO179" s="195"/>
      <c r="AR179" s="692" t="s">
        <v>1597</v>
      </c>
    </row>
    <row r="180" spans="1:48" s="901" customFormat="1" ht="14.25" customHeight="1">
      <c r="A180" s="421"/>
      <c r="B180" s="421"/>
      <c r="C180" s="421"/>
      <c r="D180" s="421"/>
      <c r="E180" s="503">
        <v>15</v>
      </c>
      <c r="F180" s="3" t="str" cm="1">
        <f t="array" aca="1" ref="F180" ca="1">OFFSET(E180,-1,1)</f>
        <v>1</v>
      </c>
      <c r="G180" s="421"/>
      <c r="H180" s="421"/>
      <c r="I180" s="154" t="s">
        <v>1869</v>
      </c>
      <c r="J180" s="154"/>
      <c r="K180" s="154"/>
      <c r="L180" s="154"/>
      <c r="M180" s="154"/>
      <c r="N180" s="154"/>
      <c r="O180" s="154"/>
      <c r="P180" s="154"/>
      <c r="Q180" s="154"/>
      <c r="R180" s="154"/>
      <c r="S180" s="154"/>
      <c r="T180" s="351" t="b" cm="1">
        <f t="array" aca="1" ref="T180" ca="1">T179</f>
        <v>1</v>
      </c>
      <c r="U180" s="421"/>
      <c r="V180" s="421"/>
      <c r="W180" s="421"/>
      <c r="X180" s="1113"/>
      <c r="Y180" s="421"/>
      <c r="Z180" s="1114"/>
      <c r="AA180" s="421"/>
      <c r="AB180" s="131" t="s">
        <v>468</v>
      </c>
      <c r="AC180" s="125" t="s">
        <v>1870</v>
      </c>
      <c r="AD180" s="124" t="s">
        <v>859</v>
      </c>
      <c r="AE180" s="126">
        <f ca="1">AE113+AE143+AE148+AE161+AE162+AE164+AE165+AE166+AE170+AE171-AE172-AE173+AE174-AE175+AE178+AE179</f>
        <v>11121.009999999998</v>
      </c>
      <c r="AF180" s="126">
        <f ca="1">AF113+AF143+AF148+AF161+AF162+AF164+AF165+AF166+AF170+AF171-AF172-AF173+AF174-AF175+AF178+AF179</f>
        <v>23445.953480000004</v>
      </c>
      <c r="AG180" s="126">
        <f ca="1">AG113+AG143+AG148+AG161+AG162+AG164+AG165+AG166+AG170+AG171-AG172-AG173+AG174-AG175+AG178+AG179</f>
        <v>23453.006420000002</v>
      </c>
      <c r="AH180" s="126">
        <f t="shared" ca="1" si="11"/>
        <v>7.0529399999977613</v>
      </c>
      <c r="AI180" s="126">
        <f ca="1">AI113+AI143+AI148+AI161+AI162+AI164+AI165+AI166+AI170+AI171-AI172-AI173+AI174-AI175+AI178+AI179</f>
        <v>291470.61878867098</v>
      </c>
      <c r="AJ180" s="126">
        <f ca="1">AJ113+AJ143+AJ148+AJ161+AJ162+AJ164+AJ165+AJ166+AJ170+AJ171-AJ172-AJ173+AJ174-AJ175+AJ178+AJ179</f>
        <v>296192.26094000001</v>
      </c>
      <c r="AK180" s="126">
        <f ca="1">AK113+AK143+AK148+AK161+AK162+AK164+AK165+AK166+AK170+AK171-AK172-AK173+AK174-AK175+AK178+AK179</f>
        <v>291241.55352031998</v>
      </c>
      <c r="AL180" s="126">
        <f t="shared" ca="1" si="10"/>
        <v>-7.858948847159114E-2</v>
      </c>
      <c r="AM180" s="554"/>
      <c r="AN180" s="554"/>
      <c r="AO180" s="554"/>
      <c r="AP180" s="421"/>
      <c r="AQ180" s="421"/>
      <c r="AR180" s="693" t="s">
        <v>1871</v>
      </c>
      <c r="AS180" s="693"/>
      <c r="AT180" s="693"/>
      <c r="AU180" s="503"/>
      <c r="AV180" s="503"/>
    </row>
    <row r="181" spans="1:48" ht="15" hidden="1" customHeight="1">
      <c r="B181" s="277" t="b">
        <f>G112="двухставочный"</f>
        <v>0</v>
      </c>
      <c r="E181" s="502">
        <v>0</v>
      </c>
      <c r="F181" s="3" t="str" cm="1">
        <f t="array" aca="1" ref="F181" ca="1">OFFSET(E181,-1,1)</f>
        <v>1</v>
      </c>
      <c r="I181" s="38" t="s">
        <v>1872</v>
      </c>
      <c r="J181" s="38"/>
      <c r="K181" s="38"/>
      <c r="L181" s="38"/>
      <c r="M181" s="38"/>
      <c r="N181" s="38"/>
      <c r="O181" s="38"/>
      <c r="P181" s="38"/>
      <c r="Q181" s="38"/>
      <c r="R181" s="38"/>
      <c r="S181" s="38"/>
      <c r="T181" s="351" t="b" cm="1">
        <f t="array" aca="1" ref="T181" ca="1">T180</f>
        <v>1</v>
      </c>
      <c r="X181" s="1113"/>
      <c r="Z181" s="1114"/>
      <c r="AB181" s="133" t="s">
        <v>1873</v>
      </c>
      <c r="AC181" s="548" t="s">
        <v>1874</v>
      </c>
      <c r="AD181" s="7" t="s">
        <v>859</v>
      </c>
      <c r="AE181" s="128"/>
      <c r="AF181" s="128"/>
      <c r="AG181" s="128"/>
      <c r="AH181" s="170">
        <f t="shared" si="11"/>
        <v>0</v>
      </c>
      <c r="AI181" s="128"/>
      <c r="AJ181" s="777"/>
      <c r="AK181" s="777"/>
      <c r="AL181" s="170">
        <f t="shared" si="10"/>
        <v>0</v>
      </c>
      <c r="AM181" s="774"/>
      <c r="AN181" s="774"/>
      <c r="AO181" s="774"/>
      <c r="AR181" s="692" t="s">
        <v>1875</v>
      </c>
    </row>
    <row r="182" spans="1:48" ht="15" hidden="1" customHeight="1">
      <c r="B182" s="277" t="b">
        <f>G112="двухставочный"</f>
        <v>0</v>
      </c>
      <c r="E182" s="502">
        <v>0</v>
      </c>
      <c r="F182" s="3" t="str" cm="1">
        <f t="array" aca="1" ref="F182" ca="1">OFFSET(E182,-1,1)</f>
        <v>1</v>
      </c>
      <c r="I182" s="38" t="s">
        <v>1876</v>
      </c>
      <c r="J182" s="38"/>
      <c r="K182" s="38"/>
      <c r="L182" s="38"/>
      <c r="M182" s="38"/>
      <c r="N182" s="38"/>
      <c r="O182" s="38"/>
      <c r="P182" s="38"/>
      <c r="Q182" s="38"/>
      <c r="R182" s="38"/>
      <c r="S182" s="38"/>
      <c r="T182" s="351" t="b" cm="1">
        <f t="array" aca="1" ref="T182" ca="1">T181</f>
        <v>1</v>
      </c>
      <c r="X182" s="1113"/>
      <c r="Z182" s="1114"/>
      <c r="AB182" s="133" t="s">
        <v>1877</v>
      </c>
      <c r="AC182" s="548" t="s">
        <v>1878</v>
      </c>
      <c r="AD182" s="7" t="s">
        <v>859</v>
      </c>
      <c r="AE182" s="128"/>
      <c r="AF182" s="128"/>
      <c r="AG182" s="128"/>
      <c r="AH182" s="170">
        <f t="shared" si="11"/>
        <v>0</v>
      </c>
      <c r="AI182" s="128"/>
      <c r="AJ182" s="777"/>
      <c r="AK182" s="777"/>
      <c r="AL182" s="170">
        <f t="shared" si="10"/>
        <v>0</v>
      </c>
      <c r="AM182" s="774"/>
      <c r="AN182" s="774"/>
      <c r="AO182" s="774"/>
      <c r="AR182" s="692" t="s">
        <v>1879</v>
      </c>
    </row>
    <row r="183" spans="1:48" s="901" customFormat="1" ht="14.25" customHeight="1">
      <c r="A183" s="421"/>
      <c r="B183" s="421"/>
      <c r="C183" s="421"/>
      <c r="D183" s="421"/>
      <c r="E183" s="503">
        <v>15</v>
      </c>
      <c r="F183" s="3" t="str" cm="1">
        <f t="array" aca="1" ref="F183" ca="1">OFFSET(E183,-1,1)</f>
        <v>1</v>
      </c>
      <c r="G183" s="72" t="s">
        <v>1656</v>
      </c>
      <c r="H183" s="421"/>
      <c r="I183" s="154" t="s">
        <v>1880</v>
      </c>
      <c r="J183" s="154"/>
      <c r="K183" s="154"/>
      <c r="L183" s="154"/>
      <c r="M183" s="154"/>
      <c r="N183" s="154"/>
      <c r="O183" s="154"/>
      <c r="P183" s="154"/>
      <c r="Q183" s="154"/>
      <c r="R183" s="154"/>
      <c r="S183" s="154"/>
      <c r="T183" s="351" t="b" cm="1">
        <f t="array" aca="1" ref="T183" ca="1">T182</f>
        <v>1</v>
      </c>
      <c r="U183" s="421"/>
      <c r="V183" s="421"/>
      <c r="W183" s="421"/>
      <c r="X183" s="1113"/>
      <c r="Y183" s="421"/>
      <c r="Z183" s="1114"/>
      <c r="AA183" s="421"/>
      <c r="AB183" s="131" t="s">
        <v>470</v>
      </c>
      <c r="AC183" s="125" t="s">
        <v>1881</v>
      </c>
      <c r="AD183" s="124" t="s">
        <v>585</v>
      </c>
      <c r="AE183" s="550">
        <f ca="1">SUMIFS(Баланс!AE$26:AE$209,Баланс!$F$26:$F$209,$F183,Баланс!$G$26:$G$209,"ПО")</f>
        <v>195.71279000000001</v>
      </c>
      <c r="AF183" s="550">
        <f ca="1">SUMIFS(Баланс!AF$26:AF$209,Баланс!$F$26:$F$209,$F183,Баланс!$G$26:$G$209,"ПО")</f>
        <v>1200.8620000000001</v>
      </c>
      <c r="AG183" s="550">
        <f ca="1">SUMIFS(Баланс!AG$26:AG$209,Баланс!$F$26:$F$209,$F183,Баланс!$G$26:$G$209,"ПО")</f>
        <v>1200.8620000000001</v>
      </c>
      <c r="AH183" s="550">
        <f t="shared" ca="1" si="11"/>
        <v>0</v>
      </c>
      <c r="AI183" s="550">
        <f ca="1">SUMIFS(Баланс!AH$26:AH$209,Баланс!$F$26:$F$209,$F183,Баланс!$G$26:$G$209,"ПО")</f>
        <v>5046.9804537363998</v>
      </c>
      <c r="AJ183" s="550">
        <f ca="1">SUMIFS(Баланс!AI$26:AI$209,Баланс!$F$26:$F$209,$F183,Баланс!$G$26:$G$209,"ПО")</f>
        <v>4995.2669999999998</v>
      </c>
      <c r="AK183" s="550">
        <f ca="1">SUMIFS(Баланс!AS$26:AS$209,Баланс!$F$26:$F$209,$F183,Баланс!$G$26:$G$209,"ПО")</f>
        <v>4995.26667</v>
      </c>
      <c r="AL183" s="129"/>
      <c r="AM183" s="554"/>
      <c r="AN183" s="554"/>
      <c r="AO183" s="554"/>
      <c r="AP183" s="421"/>
      <c r="AQ183" s="421"/>
      <c r="AR183" s="693" t="s">
        <v>1882</v>
      </c>
      <c r="AS183" s="693"/>
      <c r="AT183" s="693"/>
      <c r="AU183" s="503"/>
      <c r="AV183" s="503"/>
    </row>
    <row r="184" spans="1:48" ht="14.65" customHeight="1">
      <c r="E184" s="502">
        <v>15</v>
      </c>
      <c r="F184" s="3" t="str" cm="1">
        <f t="array" aca="1" ref="F184" ca="1">OFFSET(E184,-1,1)</f>
        <v>1</v>
      </c>
      <c r="G184" s="72" t="s">
        <v>1683</v>
      </c>
      <c r="I184" s="38" t="s">
        <v>1883</v>
      </c>
      <c r="J184" s="38"/>
      <c r="K184" s="38"/>
      <c r="L184" s="38"/>
      <c r="M184" s="38"/>
      <c r="N184" s="38"/>
      <c r="O184" s="38"/>
      <c r="P184" s="38"/>
      <c r="Q184" s="38"/>
      <c r="R184" s="38"/>
      <c r="S184" s="38"/>
      <c r="T184" s="351" t="b" cm="1">
        <f t="array" aca="1" ref="T184" ca="1">T183</f>
        <v>1</v>
      </c>
      <c r="X184" s="1113"/>
      <c r="Z184" s="1114"/>
      <c r="AB184" s="133" t="s">
        <v>1884</v>
      </c>
      <c r="AC184" s="127" t="s">
        <v>1885</v>
      </c>
      <c r="AD184" s="7" t="s">
        <v>585</v>
      </c>
      <c r="AE184" s="442">
        <f ca="1">AE183/2</f>
        <v>97.856395000000006</v>
      </c>
      <c r="AF184" s="442">
        <f ca="1">AF183/2</f>
        <v>600.43100000000004</v>
      </c>
      <c r="AG184" s="442">
        <f ca="1">AG183/2</f>
        <v>600.43100000000004</v>
      </c>
      <c r="AH184" s="556">
        <f t="shared" ca="1" si="11"/>
        <v>0</v>
      </c>
      <c r="AI184" s="442">
        <v>2523.4902268681999</v>
      </c>
      <c r="AJ184" s="442">
        <f ca="1">IF(god=2026,AJ183/12*9,AJ183/2)</f>
        <v>3746.4502499999999</v>
      </c>
      <c r="AK184" s="442">
        <f ca="1">IF(god=2026,AK183/12*9,AK183/2)</f>
        <v>3746.4500024999998</v>
      </c>
      <c r="AL184" s="540"/>
      <c r="AM184" s="195"/>
      <c r="AN184" s="195"/>
      <c r="AO184" s="195"/>
      <c r="AR184" s="692" t="s">
        <v>1886</v>
      </c>
    </row>
    <row r="185" spans="1:48" ht="14.65" customHeight="1">
      <c r="E185" s="502">
        <v>15</v>
      </c>
      <c r="F185" s="3" t="str" cm="1">
        <f t="array" aca="1" ref="F185" ca="1">OFFSET(E185,-1,1)</f>
        <v>1</v>
      </c>
      <c r="G185" s="72" t="s">
        <v>1644</v>
      </c>
      <c r="I185" s="38" t="s">
        <v>1887</v>
      </c>
      <c r="J185" s="38"/>
      <c r="K185" s="38"/>
      <c r="L185" s="38"/>
      <c r="M185" s="38"/>
      <c r="N185" s="38"/>
      <c r="O185" s="38"/>
      <c r="P185" s="38"/>
      <c r="Q185" s="38"/>
      <c r="R185" s="38"/>
      <c r="S185" s="38"/>
      <c r="T185" s="351" t="b" cm="1">
        <f t="array" aca="1" ref="T185" ca="1">T184</f>
        <v>1</v>
      </c>
      <c r="X185" s="1113"/>
      <c r="Z185" s="1114"/>
      <c r="AB185" s="133" t="s">
        <v>1888</v>
      </c>
      <c r="AC185" s="127" t="s">
        <v>1889</v>
      </c>
      <c r="AD185" s="7" t="s">
        <v>1647</v>
      </c>
      <c r="AE185" s="128"/>
      <c r="AF185" s="128"/>
      <c r="AG185" s="128"/>
      <c r="AH185" s="170">
        <f t="shared" si="11"/>
        <v>0</v>
      </c>
      <c r="AI185" s="128">
        <v>55.82</v>
      </c>
      <c r="AJ185" s="128"/>
      <c r="AK185" s="128"/>
      <c r="AL185" s="540"/>
      <c r="AM185" s="195"/>
      <c r="AN185" s="195"/>
      <c r="AO185" s="195"/>
      <c r="AR185" s="692" t="s">
        <v>1890</v>
      </c>
    </row>
    <row r="186" spans="1:48" ht="14.25" customHeight="1">
      <c r="E186" s="502">
        <v>15</v>
      </c>
      <c r="F186" s="3" t="str" cm="1">
        <f t="array" aca="1" ref="F186" ca="1">OFFSET(E186,-1,1)</f>
        <v>1</v>
      </c>
      <c r="G186" s="72" t="s">
        <v>1696</v>
      </c>
      <c r="I186" s="38" t="s">
        <v>1891</v>
      </c>
      <c r="J186" s="38"/>
      <c r="K186" s="38"/>
      <c r="L186" s="38"/>
      <c r="M186" s="38"/>
      <c r="N186" s="38"/>
      <c r="O186" s="38"/>
      <c r="P186" s="38"/>
      <c r="Q186" s="38"/>
      <c r="R186" s="38"/>
      <c r="S186" s="38"/>
      <c r="T186" s="351" t="b" cm="1">
        <f t="array" aca="1" ref="T186" ca="1">T185</f>
        <v>1</v>
      </c>
      <c r="X186" s="1113"/>
      <c r="Z186" s="1114"/>
      <c r="AB186" s="133" t="s">
        <v>1892</v>
      </c>
      <c r="AC186" s="127" t="s">
        <v>1893</v>
      </c>
      <c r="AD186" s="7" t="s">
        <v>585</v>
      </c>
      <c r="AE186" s="556">
        <f ca="1">AE183-AE184</f>
        <v>97.856395000000006</v>
      </c>
      <c r="AF186" s="556">
        <f ca="1">AF183-AF184</f>
        <v>600.43100000000004</v>
      </c>
      <c r="AG186" s="556">
        <f ca="1">AG183-AG184</f>
        <v>600.43100000000004</v>
      </c>
      <c r="AH186" s="556">
        <f t="shared" ca="1" si="11"/>
        <v>0</v>
      </c>
      <c r="AI186" s="556">
        <f ca="1">AI183-AI184</f>
        <v>2523.4902268681999</v>
      </c>
      <c r="AJ186" s="556">
        <f ca="1">AJ183-AJ184</f>
        <v>1248.81675</v>
      </c>
      <c r="AK186" s="556">
        <f ca="1">AK183-AK184</f>
        <v>1248.8166675000002</v>
      </c>
      <c r="AL186" s="540"/>
      <c r="AM186" s="195"/>
      <c r="AN186" s="195"/>
      <c r="AO186" s="195"/>
      <c r="AR186" s="692" t="s">
        <v>1894</v>
      </c>
    </row>
    <row r="187" spans="1:48" ht="14.65" customHeight="1">
      <c r="E187" s="502">
        <v>15</v>
      </c>
      <c r="F187" s="3" t="str" cm="1">
        <f t="array" aca="1" ref="F187" ca="1">OFFSET(E187,-1,1)</f>
        <v>1</v>
      </c>
      <c r="G187" s="72" t="s">
        <v>1649</v>
      </c>
      <c r="I187" s="38" t="s">
        <v>1895</v>
      </c>
      <c r="J187" s="38"/>
      <c r="K187" s="38"/>
      <c r="L187" s="38"/>
      <c r="M187" s="38"/>
      <c r="N187" s="38"/>
      <c r="O187" s="38"/>
      <c r="P187" s="38"/>
      <c r="Q187" s="38"/>
      <c r="R187" s="38"/>
      <c r="S187" s="38"/>
      <c r="T187" s="351" t="b" cm="1">
        <f t="array" aca="1" ref="T187" ca="1">T186</f>
        <v>1</v>
      </c>
      <c r="X187" s="1113"/>
      <c r="Z187" s="1114"/>
      <c r="AB187" s="133" t="s">
        <v>1896</v>
      </c>
      <c r="AC187" s="127" t="s">
        <v>1897</v>
      </c>
      <c r="AD187" s="7" t="s">
        <v>1647</v>
      </c>
      <c r="AE187" s="128">
        <f ca="1">IF(AE186=0,0,(AE180-AE184*AE185)/AE186)</f>
        <v>113.64622618685266</v>
      </c>
      <c r="AF187" s="128">
        <f ca="1">IF(AF186=0,0,(AF180-AF184*AF185)/AF186)</f>
        <v>39.048539265960621</v>
      </c>
      <c r="AG187" s="128">
        <f ca="1">IF(AG186=0,0,(AG180-AG184*AG185)/AG186)</f>
        <v>39.060285728085326</v>
      </c>
      <c r="AH187" s="170">
        <f t="shared" ca="1" si="11"/>
        <v>1.1746462124705204E-2</v>
      </c>
      <c r="AI187" s="128">
        <v>62.519999546000001</v>
      </c>
      <c r="AJ187" s="128">
        <f ca="1">IF(AJ186=0,0,(AJ180-AJ184*AJ185)/AJ186)</f>
        <v>237.17832175136985</v>
      </c>
      <c r="AK187" s="128">
        <f ca="1">IF(AK186=0,0,(AK180-AK184*AK185)/AK186)</f>
        <v>233.21401859838642</v>
      </c>
      <c r="AL187" s="540"/>
      <c r="AM187" s="195"/>
      <c r="AN187" s="195"/>
      <c r="AO187" s="195"/>
      <c r="AR187" s="692" t="s">
        <v>1898</v>
      </c>
    </row>
    <row r="188" spans="1:48" ht="14.25" customHeight="1">
      <c r="E188" s="502">
        <v>15</v>
      </c>
      <c r="F188" s="3" t="str" cm="1">
        <f t="array" aca="1" ref="F188" ca="1">OFFSET(E188,-1,1)</f>
        <v>1</v>
      </c>
      <c r="G188" s="72"/>
      <c r="I188" s="38" t="s">
        <v>1899</v>
      </c>
      <c r="J188" s="38"/>
      <c r="K188" s="38"/>
      <c r="L188" s="38"/>
      <c r="M188" s="38"/>
      <c r="N188" s="38"/>
      <c r="O188" s="38"/>
      <c r="P188" s="38"/>
      <c r="Q188" s="38"/>
      <c r="R188" s="38"/>
      <c r="S188" s="38"/>
      <c r="T188" s="351" t="b" cm="1">
        <f t="array" aca="1" ref="T188" ca="1">T187</f>
        <v>1</v>
      </c>
      <c r="X188" s="1113"/>
      <c r="Z188" s="1114"/>
      <c r="AB188" s="133" t="s">
        <v>1900</v>
      </c>
      <c r="AC188" s="127" t="s">
        <v>1901</v>
      </c>
      <c r="AD188" s="7" t="s">
        <v>501</v>
      </c>
      <c r="AE188" s="170">
        <f>IF(AE185=0,0,AE187/AE185*100)</f>
        <v>0</v>
      </c>
      <c r="AF188" s="170">
        <f>IF(AF185=0,0,AF187/AF185*100)</f>
        <v>0</v>
      </c>
      <c r="AG188" s="170">
        <f>IF(AG185=0,0,AG187/AG185*100)</f>
        <v>0</v>
      </c>
      <c r="AH188" s="540"/>
      <c r="AI188" s="170">
        <f>IF(AI185=0,0,AI187/AI185*100)</f>
        <v>112.0028655428162</v>
      </c>
      <c r="AJ188" s="170">
        <f>IF(AJ185=0,0,AJ187/AJ185*100)</f>
        <v>0</v>
      </c>
      <c r="AK188" s="170">
        <f>IF(AK185=0,0,AK187/AK185*100)</f>
        <v>0</v>
      </c>
      <c r="AL188" s="540"/>
      <c r="AM188" s="195"/>
      <c r="AN188" s="195"/>
      <c r="AO188" s="195"/>
      <c r="AR188" s="692" t="s">
        <v>1902</v>
      </c>
    </row>
    <row r="189" spans="1:48" ht="14.65" customHeight="1">
      <c r="E189" s="502">
        <v>15</v>
      </c>
      <c r="F189" s="3" t="str" cm="1">
        <f t="array" aca="1" ref="F189" ca="1">OFFSET(E189,-1,1)</f>
        <v>1</v>
      </c>
      <c r="G189" s="72"/>
      <c r="I189" s="38" t="s">
        <v>1903</v>
      </c>
      <c r="J189" s="38"/>
      <c r="K189" s="38"/>
      <c r="L189" s="38"/>
      <c r="M189" s="38"/>
      <c r="N189" s="38"/>
      <c r="O189" s="38"/>
      <c r="P189" s="38"/>
      <c r="Q189" s="38"/>
      <c r="R189" s="38"/>
      <c r="S189" s="38"/>
      <c r="T189" s="351" t="b" cm="1">
        <f t="array" aca="1" ref="T189" ca="1">T188</f>
        <v>1</v>
      </c>
      <c r="X189" s="1113"/>
      <c r="Z189" s="1114"/>
      <c r="AB189" s="133" t="s">
        <v>1904</v>
      </c>
      <c r="AC189" s="127" t="s">
        <v>1905</v>
      </c>
      <c r="AD189" s="7" t="s">
        <v>1647</v>
      </c>
      <c r="AE189" s="128">
        <f ca="1">IF(AE183=0,0,AE180/AE183)</f>
        <v>56.823113093426329</v>
      </c>
      <c r="AF189" s="128">
        <f ca="1">IF(AF183=0,0,AF180/AF183)</f>
        <v>19.52426963298031</v>
      </c>
      <c r="AG189" s="128">
        <f ca="1">IF(AG183=0,0,AG180/AG183)</f>
        <v>19.530142864042663</v>
      </c>
      <c r="AH189" s="170">
        <f ca="1">AG189-AF189</f>
        <v>5.8732310623526018E-3</v>
      </c>
      <c r="AI189" s="128">
        <v>59.169999773000001</v>
      </c>
      <c r="AJ189" s="128">
        <f ca="1">IF(AJ183=0,0,AJ180/AJ183)</f>
        <v>59.294580437842463</v>
      </c>
      <c r="AK189" s="128">
        <f ca="1">IF(AK183=0,0,AK180/AK183)</f>
        <v>58.303504649596611</v>
      </c>
      <c r="AL189" s="540"/>
      <c r="AM189" s="195"/>
      <c r="AN189" s="195"/>
      <c r="AO189" s="195"/>
      <c r="AR189" s="692" t="s">
        <v>1906</v>
      </c>
    </row>
    <row r="190" spans="1:48" s="901" customFormat="1" ht="14.65" customHeight="1">
      <c r="A190" s="421"/>
      <c r="B190" s="421"/>
      <c r="C190" s="421"/>
      <c r="D190" s="421"/>
      <c r="E190" s="503">
        <v>15</v>
      </c>
      <c r="F190" s="3" t="str" cm="1">
        <f t="array" aca="1" ref="F190" ca="1">OFFSET(E190,-1,1)</f>
        <v>1</v>
      </c>
      <c r="G190" s="76"/>
      <c r="H190" s="421"/>
      <c r="I190" s="154" t="s">
        <v>1907</v>
      </c>
      <c r="J190" s="154"/>
      <c r="K190" s="154"/>
      <c r="L190" s="154"/>
      <c r="M190" s="154"/>
      <c r="N190" s="154"/>
      <c r="O190" s="154"/>
      <c r="P190" s="154"/>
      <c r="Q190" s="154"/>
      <c r="R190" s="154"/>
      <c r="S190" s="154"/>
      <c r="T190" s="351" t="b" cm="1">
        <f t="array" aca="1" ref="T190" ca="1">T189</f>
        <v>1</v>
      </c>
      <c r="U190" s="421"/>
      <c r="V190" s="421"/>
      <c r="W190" s="421"/>
      <c r="X190" s="1113"/>
      <c r="Y190" s="421"/>
      <c r="Z190" s="1114"/>
      <c r="AA190" s="421"/>
      <c r="AB190" s="131" t="s">
        <v>472</v>
      </c>
      <c r="AC190" s="125" t="s">
        <v>1908</v>
      </c>
      <c r="AD190" s="124" t="s">
        <v>859</v>
      </c>
      <c r="AE190" s="138">
        <f ca="1">IF(AE183=0,0,AE180/AE183*AE191)</f>
        <v>7416.1191606011016</v>
      </c>
      <c r="AF190" s="138">
        <f ca="1">IF(AF183=0,0,AF180/AF183*AF191)</f>
        <v>19064.355937505825</v>
      </c>
      <c r="AG190" s="138">
        <f ca="1">IF(AG183=0,0,AG180/AG183*AG191)</f>
        <v>19070.090818737273</v>
      </c>
      <c r="AH190" s="126">
        <f ca="1">AH192*AH193+AH194*AH195</f>
        <v>0</v>
      </c>
      <c r="AI190" s="138">
        <v>220181.87893614799</v>
      </c>
      <c r="AJ190" s="138">
        <f ca="1">IF(AJ183=0,0,AJ180/AJ183*AJ191)</f>
        <v>207477.96288295675</v>
      </c>
      <c r="AK190" s="138">
        <f ca="1">IF(AK183=0,0,AK180/AK183*AK191)</f>
        <v>204010.10387708328</v>
      </c>
      <c r="AL190" s="126">
        <f ca="1">IF(AI190=0,0,(AK190-AI190)/AI190*100)</f>
        <v>-7.3447347879861011</v>
      </c>
      <c r="AM190" s="554"/>
      <c r="AN190" s="554"/>
      <c r="AO190" s="554"/>
      <c r="AP190" s="421"/>
      <c r="AQ190" s="421"/>
      <c r="AR190" s="693" t="s">
        <v>1909</v>
      </c>
      <c r="AS190" s="693"/>
      <c r="AT190" s="693"/>
      <c r="AU190" s="503"/>
      <c r="AV190" s="503"/>
    </row>
    <row r="191" spans="1:48" s="901" customFormat="1" ht="14.25" customHeight="1">
      <c r="A191" s="421"/>
      <c r="B191" s="421"/>
      <c r="C191" s="421"/>
      <c r="D191" s="421"/>
      <c r="E191" s="503">
        <v>15</v>
      </c>
      <c r="F191" s="3" t="str" cm="1">
        <f t="array" aca="1" ref="F191" ca="1">OFFSET(E191,-1,1)</f>
        <v>1</v>
      </c>
      <c r="G191" s="72" t="s">
        <v>1669</v>
      </c>
      <c r="H191" s="421"/>
      <c r="I191" s="154" t="s">
        <v>1910</v>
      </c>
      <c r="J191" s="154"/>
      <c r="K191" s="154"/>
      <c r="L191" s="154"/>
      <c r="M191" s="154"/>
      <c r="N191" s="154"/>
      <c r="O191" s="154"/>
      <c r="P191" s="154"/>
      <c r="Q191" s="154"/>
      <c r="R191" s="154"/>
      <c r="S191" s="154"/>
      <c r="T191" s="351" t="b" cm="1">
        <f t="array" aca="1" ref="T191" ca="1">T190</f>
        <v>1</v>
      </c>
      <c r="U191" s="421"/>
      <c r="V191" s="421"/>
      <c r="W191" s="421"/>
      <c r="X191" s="1113"/>
      <c r="Y191" s="421"/>
      <c r="Z191" s="1114"/>
      <c r="AA191" s="421"/>
      <c r="AB191" s="131" t="s">
        <v>475</v>
      </c>
      <c r="AC191" s="125" t="s">
        <v>1911</v>
      </c>
      <c r="AD191" s="124" t="s">
        <v>585</v>
      </c>
      <c r="AE191" s="550">
        <f ca="1">SUMIFS(Баланс!AE$26:AE$209,Баланс!$F$26:$F$209,$F191,Баланс!$G$26:$G$209,"население")</f>
        <v>130.51237</v>
      </c>
      <c r="AF191" s="550">
        <f ca="1">SUMIFS(Баланс!AF$26:AF$209,Баланс!$F$26:$F$209,$F191,Баланс!$G$26:$G$209,"население")</f>
        <v>976.44399999999996</v>
      </c>
      <c r="AG191" s="550">
        <f ca="1">SUMIFS(Баланс!AG$26:AG$209,Баланс!$F$26:$F$209,$F191,Баланс!$G$26:$G$209,"население")</f>
        <v>976.44399999999996</v>
      </c>
      <c r="AH191" s="550">
        <f t="shared" ref="AH191:AH198" ca="1" si="12">AG191-AF191</f>
        <v>0</v>
      </c>
      <c r="AI191" s="550">
        <f ca="1">SUMIFS(Баланс!AH$26:AH$209,Баланс!$F$26:$F$209,$F191,Баланс!$G$26:$G$209,"население")</f>
        <v>3721.1742399999998</v>
      </c>
      <c r="AJ191" s="550">
        <f ca="1">SUMIFS(Баланс!AI$26:AI$209,Баланс!$F$26:$F$209,$F191,Баланс!$G$26:$G$209,"население")</f>
        <v>3499.105</v>
      </c>
      <c r="AK191" s="550">
        <f ca="1">SUMIFS(Баланс!AS$26:AS$209,Баланс!$F$26:$F$209,$F191,Баланс!$G$26:$G$209,"население")</f>
        <v>3499.1053299999999</v>
      </c>
      <c r="AL191" s="129"/>
      <c r="AM191" s="554"/>
      <c r="AN191" s="554"/>
      <c r="AO191" s="554"/>
      <c r="AP191" s="421"/>
      <c r="AQ191" s="421"/>
      <c r="AR191" s="693" t="s">
        <v>1912</v>
      </c>
      <c r="AS191" s="693"/>
      <c r="AT191" s="693"/>
      <c r="AU191" s="503"/>
      <c r="AV191" s="503"/>
    </row>
    <row r="192" spans="1:48" ht="14.65" customHeight="1">
      <c r="E192" s="502">
        <v>15</v>
      </c>
      <c r="F192" s="3" t="str" cm="1">
        <f t="array" aca="1" ref="F192" ca="1">OFFSET(E192,-1,1)</f>
        <v>1</v>
      </c>
      <c r="G192" s="72" t="s">
        <v>1703</v>
      </c>
      <c r="I192" s="38" t="s">
        <v>1913</v>
      </c>
      <c r="J192" s="38"/>
      <c r="K192" s="38"/>
      <c r="L192" s="38"/>
      <c r="M192" s="38"/>
      <c r="N192" s="38"/>
      <c r="O192" s="38"/>
      <c r="P192" s="38"/>
      <c r="Q192" s="38"/>
      <c r="R192" s="38"/>
      <c r="S192" s="38"/>
      <c r="T192" s="351" t="b" cm="1">
        <f t="array" aca="1" ref="T192" ca="1">T191</f>
        <v>1</v>
      </c>
      <c r="X192" s="1113"/>
      <c r="Z192" s="1114"/>
      <c r="AB192" s="133" t="s">
        <v>1914</v>
      </c>
      <c r="AC192" s="127" t="s">
        <v>1915</v>
      </c>
      <c r="AD192" s="7" t="s">
        <v>585</v>
      </c>
      <c r="AE192" s="442">
        <f ca="1">AE191/2</f>
        <v>65.256185000000002</v>
      </c>
      <c r="AF192" s="442">
        <f ca="1">AF191/2</f>
        <v>488.22199999999998</v>
      </c>
      <c r="AG192" s="442">
        <f ca="1">AG191/2</f>
        <v>488.22199999999998</v>
      </c>
      <c r="AH192" s="556">
        <f t="shared" ca="1" si="12"/>
        <v>0</v>
      </c>
      <c r="AI192" s="442">
        <v>1860.5871199999999</v>
      </c>
      <c r="AJ192" s="442">
        <f ca="1">IF(god=2026,AJ191/12*9,AJ191/2)</f>
        <v>2624.3287500000001</v>
      </c>
      <c r="AK192" s="442">
        <f ca="1">IF(god=2026,AK191/12*9,AK191/2)</f>
        <v>2624.3289974999998</v>
      </c>
      <c r="AL192" s="540"/>
      <c r="AM192" s="195"/>
      <c r="AN192" s="195"/>
      <c r="AO192" s="195"/>
      <c r="AR192" s="692" t="s">
        <v>1916</v>
      </c>
    </row>
    <row r="193" spans="5:44" ht="14.65" customHeight="1">
      <c r="E193" s="502">
        <v>15</v>
      </c>
      <c r="F193" s="3" t="str" cm="1">
        <f t="array" aca="1" ref="F193" ca="1">OFFSET(E193,-1,1)</f>
        <v>1</v>
      </c>
      <c r="G193" s="72" t="s">
        <v>1659</v>
      </c>
      <c r="I193" s="38" t="s">
        <v>1917</v>
      </c>
      <c r="J193" s="38"/>
      <c r="K193" s="38"/>
      <c r="L193" s="38"/>
      <c r="M193" s="38"/>
      <c r="N193" s="38"/>
      <c r="O193" s="38"/>
      <c r="P193" s="38"/>
      <c r="Q193" s="38"/>
      <c r="R193" s="38"/>
      <c r="S193" s="38"/>
      <c r="T193" s="351" t="b" cm="1">
        <f t="array" aca="1" ref="T193" ca="1">T192</f>
        <v>1</v>
      </c>
      <c r="X193" s="1113"/>
      <c r="Z193" s="1114"/>
      <c r="AB193" s="133" t="s">
        <v>1918</v>
      </c>
      <c r="AC193" s="127" t="s">
        <v>1919</v>
      </c>
      <c r="AD193" s="7" t="s">
        <v>1647</v>
      </c>
      <c r="AE193" s="128">
        <f ca="1">IF(AE191=0,0,AE185*(1+Сценарии!AE$26))</f>
        <v>0</v>
      </c>
      <c r="AF193" s="128">
        <f ca="1">IF(AF191=0,0,AF185*(1+Сценарии!AF$26))</f>
        <v>0</v>
      </c>
      <c r="AG193" s="128">
        <f ca="1">IF(AG191=0,0,AG185*(1+Сценарии!AG$26))</f>
        <v>0</v>
      </c>
      <c r="AH193" s="170">
        <f t="shared" ca="1" si="12"/>
        <v>0</v>
      </c>
      <c r="AI193" s="128">
        <v>66.983999999999995</v>
      </c>
      <c r="AJ193" s="128">
        <f ca="1">IF(AJ191=0,0,AJ185*(1+Сценарии!AJ$26))</f>
        <v>0</v>
      </c>
      <c r="AK193" s="128">
        <f ca="1">IF(AK191=0,0,AK185*(1+Сценарии!AK$26))</f>
        <v>0</v>
      </c>
      <c r="AL193" s="540"/>
      <c r="AM193" s="195"/>
      <c r="AN193" s="195"/>
      <c r="AO193" s="195"/>
      <c r="AR193" s="692" t="s">
        <v>1920</v>
      </c>
    </row>
    <row r="194" spans="5:44" ht="14.25" customHeight="1">
      <c r="E194" s="502">
        <v>15</v>
      </c>
      <c r="F194" s="3" t="str" cm="1">
        <f t="array" aca="1" ref="F194" ca="1">OFFSET(E194,-1,1)</f>
        <v>1</v>
      </c>
      <c r="G194" s="72" t="s">
        <v>1710</v>
      </c>
      <c r="I194" s="38" t="s">
        <v>1921</v>
      </c>
      <c r="J194" s="38"/>
      <c r="K194" s="38"/>
      <c r="L194" s="38"/>
      <c r="M194" s="38"/>
      <c r="N194" s="38"/>
      <c r="O194" s="38"/>
      <c r="P194" s="38"/>
      <c r="Q194" s="38"/>
      <c r="R194" s="38"/>
      <c r="S194" s="38"/>
      <c r="T194" s="351" t="b" cm="1">
        <f t="array" aca="1" ref="T194" ca="1">T193</f>
        <v>1</v>
      </c>
      <c r="X194" s="1113"/>
      <c r="Z194" s="1114"/>
      <c r="AB194" s="133" t="s">
        <v>1922</v>
      </c>
      <c r="AC194" s="127" t="s">
        <v>1893</v>
      </c>
      <c r="AD194" s="7" t="s">
        <v>585</v>
      </c>
      <c r="AE194" s="556">
        <f ca="1">AE191-AE192</f>
        <v>65.256185000000002</v>
      </c>
      <c r="AF194" s="556">
        <f ca="1">AF191-AF192</f>
        <v>488.22199999999998</v>
      </c>
      <c r="AG194" s="556">
        <f ca="1">AG191-AG192</f>
        <v>488.22199999999998</v>
      </c>
      <c r="AH194" s="556">
        <f t="shared" ca="1" si="12"/>
        <v>0</v>
      </c>
      <c r="AI194" s="556">
        <f ca="1">AI191-AI192</f>
        <v>1860.5871199999999</v>
      </c>
      <c r="AJ194" s="556">
        <f ca="1">AJ191-AJ192</f>
        <v>874.77624999999989</v>
      </c>
      <c r="AK194" s="556">
        <f ca="1">AK191-AK192</f>
        <v>874.77633250000008</v>
      </c>
      <c r="AL194" s="540"/>
      <c r="AM194" s="195"/>
      <c r="AN194" s="195"/>
      <c r="AO194" s="195"/>
      <c r="AR194" s="692" t="s">
        <v>1923</v>
      </c>
    </row>
    <row r="195" spans="5:44" ht="14.65" customHeight="1">
      <c r="E195" s="502">
        <v>15</v>
      </c>
      <c r="F195" s="3" t="str" cm="1">
        <f t="array" aca="1" ref="F195" ca="1">OFFSET(E195,-1,1)</f>
        <v>1</v>
      </c>
      <c r="G195" s="72" t="s">
        <v>1663</v>
      </c>
      <c r="I195" s="38" t="s">
        <v>1924</v>
      </c>
      <c r="J195" s="38"/>
      <c r="K195" s="38"/>
      <c r="L195" s="38"/>
      <c r="M195" s="38"/>
      <c r="N195" s="38"/>
      <c r="O195" s="38"/>
      <c r="P195" s="38"/>
      <c r="Q195" s="38"/>
      <c r="R195" s="38"/>
      <c r="S195" s="38"/>
      <c r="T195" s="351" t="b" cm="1">
        <f t="array" aca="1" ref="T195" ca="1">T194</f>
        <v>1</v>
      </c>
      <c r="X195" s="1113"/>
      <c r="Z195" s="1114"/>
      <c r="AB195" s="133" t="s">
        <v>1925</v>
      </c>
      <c r="AC195" s="127" t="s">
        <v>1926</v>
      </c>
      <c r="AD195" s="7" t="s">
        <v>1647</v>
      </c>
      <c r="AE195" s="128">
        <f ca="1">IF(AE191=0,0,AE187*(1+Сценарии!AE$26))</f>
        <v>136.37547142422318</v>
      </c>
      <c r="AF195" s="128">
        <f ca="1">IF(AF191=0,0,AF187*(1+Сценарии!AF$26))</f>
        <v>46.858247119152743</v>
      </c>
      <c r="AG195" s="128">
        <f ca="1">IF(AG191=0,0,AG187*(1+Сценарии!AG$26))</f>
        <v>46.872342873702387</v>
      </c>
      <c r="AH195" s="170">
        <f t="shared" ca="1" si="12"/>
        <v>1.4095754549643402E-2</v>
      </c>
      <c r="AI195" s="128">
        <v>75.023999455199998</v>
      </c>
      <c r="AJ195" s="128">
        <f ca="1">IF(AJ191=0,0,AJ187*(1+Сценарии!AJ$26))</f>
        <v>284.61398610164383</v>
      </c>
      <c r="AK195" s="128">
        <f ca="1">IF(AK191=0,0,AK187*(1+Сценарии!AK$26))</f>
        <v>284.5211026900314</v>
      </c>
      <c r="AL195" s="540"/>
      <c r="AM195" s="195"/>
      <c r="AN195" s="195"/>
      <c r="AO195" s="195"/>
      <c r="AR195" s="692" t="s">
        <v>1927</v>
      </c>
    </row>
    <row r="196" spans="5:44" ht="14.25" customHeight="1">
      <c r="E196" s="502">
        <v>15</v>
      </c>
      <c r="F196" s="3" t="str" cm="1">
        <f t="array" aca="1" ref="F196" ca="1">OFFSET(E196,-1,1)</f>
        <v>1</v>
      </c>
      <c r="G196" s="72"/>
      <c r="I196" s="38"/>
      <c r="J196" s="38"/>
      <c r="K196" s="38"/>
      <c r="L196" s="38"/>
      <c r="M196" s="38"/>
      <c r="N196" s="38"/>
      <c r="O196" s="38"/>
      <c r="P196" s="38"/>
      <c r="Q196" s="38"/>
      <c r="R196" s="38"/>
      <c r="S196" s="38"/>
      <c r="T196" s="351" t="b" cm="1">
        <f t="array" aca="1" ref="T196" ca="1">T195</f>
        <v>1</v>
      </c>
      <c r="X196" s="1113"/>
      <c r="Z196" s="1114"/>
      <c r="AB196" s="131" t="s">
        <v>478</v>
      </c>
      <c r="AC196" s="125" t="s">
        <v>1928</v>
      </c>
      <c r="AD196" s="124" t="s">
        <v>859</v>
      </c>
      <c r="AE196" s="128"/>
      <c r="AF196" s="128"/>
      <c r="AG196" s="128"/>
      <c r="AH196" s="170">
        <f t="shared" si="12"/>
        <v>0</v>
      </c>
      <c r="AI196" s="128"/>
      <c r="AJ196" s="128"/>
      <c r="AK196" s="128"/>
      <c r="AL196" s="540"/>
      <c r="AM196" s="195"/>
      <c r="AN196" s="195"/>
      <c r="AO196" s="195"/>
      <c r="AR196" s="692" t="s">
        <v>1929</v>
      </c>
    </row>
    <row r="197" spans="5:44" ht="21.75" customHeight="1">
      <c r="E197" s="502">
        <v>22.5</v>
      </c>
      <c r="F197" s="3" t="str" cm="1">
        <f t="array" aca="1" ref="F197" ca="1">OFFSET(E197,-1,1)</f>
        <v>1</v>
      </c>
      <c r="G197" s="72"/>
      <c r="I197" s="38"/>
      <c r="J197" s="38"/>
      <c r="K197" s="38"/>
      <c r="L197" s="38"/>
      <c r="M197" s="38"/>
      <c r="N197" s="38"/>
      <c r="O197" s="38"/>
      <c r="P197" s="38"/>
      <c r="Q197" s="38"/>
      <c r="R197" s="38"/>
      <c r="S197" s="38"/>
      <c r="T197" s="351" t="b" cm="1">
        <f t="array" aca="1" ref="T197" ca="1">T196</f>
        <v>1</v>
      </c>
      <c r="X197" s="1113"/>
      <c r="Z197" s="1114"/>
      <c r="AB197" s="133" t="s">
        <v>1930</v>
      </c>
      <c r="AC197" s="127" t="s">
        <v>1931</v>
      </c>
      <c r="AD197" s="7" t="s">
        <v>859</v>
      </c>
      <c r="AE197" s="128"/>
      <c r="AF197" s="128"/>
      <c r="AG197" s="128"/>
      <c r="AH197" s="170">
        <f t="shared" si="12"/>
        <v>0</v>
      </c>
      <c r="AI197" s="128"/>
      <c r="AJ197" s="128"/>
      <c r="AK197" s="128"/>
      <c r="AL197" s="540"/>
      <c r="AM197" s="195"/>
      <c r="AN197" s="195"/>
      <c r="AO197" s="195"/>
      <c r="AR197" s="692" t="s">
        <v>1932</v>
      </c>
    </row>
    <row r="198" spans="5:44" ht="69.75" customHeight="1">
      <c r="E198" s="502">
        <v>72</v>
      </c>
      <c r="F198" s="3" t="str" cm="1">
        <f t="array" aca="1" ref="F198" ca="1">OFFSET(E198,-1,1)</f>
        <v>1</v>
      </c>
      <c r="G198" s="72"/>
      <c r="I198" s="38"/>
      <c r="J198" s="38"/>
      <c r="K198" s="38"/>
      <c r="L198" s="38"/>
      <c r="M198" s="38"/>
      <c r="N198" s="38"/>
      <c r="O198" s="38"/>
      <c r="P198" s="38"/>
      <c r="Q198" s="38"/>
      <c r="R198" s="38"/>
      <c r="S198" s="38"/>
      <c r="T198" s="351" t="b" cm="1">
        <f t="array" aca="1" ref="T198" ca="1">T197</f>
        <v>1</v>
      </c>
      <c r="X198" s="1113"/>
      <c r="Z198" s="1114"/>
      <c r="AB198" s="133" t="s">
        <v>1933</v>
      </c>
      <c r="AC198" s="127" t="s">
        <v>1934</v>
      </c>
      <c r="AD198" s="7" t="s">
        <v>859</v>
      </c>
      <c r="AE198" s="128"/>
      <c r="AF198" s="128"/>
      <c r="AG198" s="128"/>
      <c r="AH198" s="170">
        <f t="shared" si="12"/>
        <v>0</v>
      </c>
      <c r="AI198" s="128"/>
      <c r="AJ198" s="128"/>
      <c r="AK198" s="128"/>
      <c r="AL198" s="540"/>
      <c r="AM198" s="195"/>
      <c r="AN198" s="195"/>
      <c r="AO198" s="195"/>
      <c r="AR198" s="692" t="s">
        <v>1935</v>
      </c>
    </row>
    <row r="199" spans="5:44" ht="10.7" customHeight="1">
      <c r="E199" s="502">
        <v>11</v>
      </c>
      <c r="U199" s="277" t="s">
        <v>175</v>
      </c>
      <c r="V199" s="511" t="s">
        <v>1937</v>
      </c>
      <c r="AB199" s="422"/>
      <c r="AC199" s="71"/>
      <c r="AD199" s="422"/>
      <c r="AE199" s="72"/>
      <c r="AF199" s="72"/>
      <c r="AG199" s="72"/>
      <c r="AH199" s="72"/>
      <c r="AI199" s="72"/>
      <c r="AJ199" s="72"/>
      <c r="AK199" s="72"/>
      <c r="AL199" s="72"/>
      <c r="AM199" s="72"/>
      <c r="AN199" s="72"/>
      <c r="AO199" s="72"/>
    </row>
    <row r="200" spans="5:44" ht="14.65" customHeight="1">
      <c r="E200" s="502">
        <v>15</v>
      </c>
      <c r="AB200" s="1028" t="s">
        <v>396</v>
      </c>
      <c r="AC200" s="1028"/>
      <c r="AD200" s="1028"/>
      <c r="AE200" s="1028"/>
      <c r="AF200" s="1028"/>
      <c r="AG200" s="1028"/>
      <c r="AH200" s="1028"/>
      <c r="AI200" s="1028"/>
      <c r="AJ200" s="1028"/>
      <c r="AK200" s="1028"/>
      <c r="AL200" s="1028"/>
      <c r="AM200" s="1028"/>
      <c r="AN200" s="1028"/>
      <c r="AO200" s="1028"/>
    </row>
    <row r="201" spans="5:44" ht="14.65" customHeight="1">
      <c r="E201" s="502">
        <v>15</v>
      </c>
      <c r="AA201" s="479"/>
      <c r="AB201" s="1095"/>
      <c r="AC201" s="1100"/>
      <c r="AD201" s="1100"/>
      <c r="AE201" s="1100"/>
      <c r="AF201" s="1100"/>
      <c r="AG201" s="1100"/>
      <c r="AH201" s="1100"/>
      <c r="AI201" s="1100"/>
      <c r="AJ201" s="1100"/>
      <c r="AK201" s="1100"/>
      <c r="AL201" s="1100"/>
      <c r="AM201" s="1100"/>
      <c r="AN201" s="1100"/>
      <c r="AO201" s="1100"/>
    </row>
    <row r="202" spans="5:44" ht="14.65" hidden="1" customHeight="1">
      <c r="E202" s="502">
        <v>15</v>
      </c>
      <c r="T202" s="351" t="b">
        <f>ROW(W202)&gt;ROW(W$202)</f>
        <v>0</v>
      </c>
      <c r="W202" s="515" t="s">
        <v>171</v>
      </c>
      <c r="X202" s="38"/>
      <c r="Y202" s="38"/>
      <c r="Z202" s="38"/>
      <c r="AA202" s="480" t="s">
        <v>172</v>
      </c>
      <c r="AB202" s="1065"/>
      <c r="AC202" s="1066"/>
      <c r="AD202" s="1066"/>
      <c r="AE202" s="1067"/>
      <c r="AF202" s="1067"/>
      <c r="AG202" s="1067"/>
      <c r="AH202" s="1067"/>
      <c r="AI202" s="1067"/>
      <c r="AJ202" s="1066"/>
      <c r="AK202" s="1066"/>
      <c r="AL202" s="1066"/>
      <c r="AM202" s="1066"/>
      <c r="AN202" s="1066"/>
      <c r="AO202" s="1068"/>
    </row>
    <row r="203" spans="5:44" ht="14.65" customHeight="1">
      <c r="E203" s="502">
        <v>15</v>
      </c>
      <c r="W203" s="504" t="s">
        <v>407</v>
      </c>
      <c r="X203" s="38"/>
      <c r="Y203" s="38"/>
      <c r="Z203" s="38"/>
      <c r="AA203" s="38"/>
      <c r="AB203" s="483"/>
      <c r="AC203" s="484" t="s">
        <v>408</v>
      </c>
      <c r="AD203" s="217"/>
      <c r="AE203" s="217"/>
      <c r="AF203" s="217"/>
      <c r="AG203" s="217"/>
      <c r="AH203" s="217"/>
      <c r="AI203" s="217"/>
      <c r="AJ203" s="217"/>
      <c r="AK203" s="217"/>
      <c r="AL203" s="217"/>
      <c r="AM203" s="217"/>
      <c r="AN203" s="217"/>
      <c r="AO203" s="186"/>
    </row>
    <row r="204" spans="5:44" ht="10.7" customHeight="1">
      <c r="E204" s="502">
        <v>11</v>
      </c>
    </row>
  </sheetData>
  <sheetProtection formatColumns="0" formatRows="0" insertRows="0" deleteColumns="0" deleteRows="0" sort="0" autoFilter="0"/>
  <mergeCells count="14">
    <mergeCell ref="X27:X111"/>
    <mergeCell ref="Z27:Z111"/>
    <mergeCell ref="AB202:AO202"/>
    <mergeCell ref="AO24:AO25"/>
    <mergeCell ref="AB200:AO200"/>
    <mergeCell ref="AB201:AO201"/>
    <mergeCell ref="AB24:AB25"/>
    <mergeCell ref="AC24:AC25"/>
    <mergeCell ref="AD24:AD25"/>
    <mergeCell ref="AL24:AL25"/>
    <mergeCell ref="AM24:AM25"/>
    <mergeCell ref="AN24:AN25"/>
    <mergeCell ref="X112:X198"/>
    <mergeCell ref="Z112:Z198"/>
  </mergeCells>
  <dataValidations count="2">
    <dataValidation type="textLength" operator="lessThanOrEqual" allowBlank="1" showInputMessage="1" showErrorMessage="1" errorTitle="Ошибка" error="Допускается ввод не более 900 символов!" sqref="AM54:AO54 AM139:AM141 AN139:AN141 AO139:AO141" xr:uid="{00000000-0002-0000-1B00-000000000000}">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5 AG150 AG169:AG179 AG181:AG182 AG184:AG189 AG192:AG198 AF105:AF111 AF116:AF118 AF128:AF129 AF145 AF150 AF169:AF179 AF181:AF182 AF184:AF189 AF192:AF198 AE105:AE111 AE116:AE118 AE128:AE129 AE145 AE150 AE169:AE179 AE181:AE182 AE184:AE189 AE192:AE198 AE31:AG33 AE63:AG63 AI97:AK102 AE97:AG102 AI31:AK33 AE94:AG95 AI94:AK95 AK105:AK111 AK116:AK118 AK128:AK129 AK145 AK150 AK169:AK179 AK181:AK182 AK184:AK189 AK192:AK198 AJ105:AJ111 AJ116:AJ118 AJ128:AJ129 AJ145 AJ150 AJ169:AJ179 AJ181:AJ182 AJ184:AJ189 AJ192:AJ198 AI105:AI111 AI116:AI118 AI128:AI129 AI145 AI150 AI169:AI179 AI181:AI182 AI184:AI189 AI192:AI198" xr:uid="{00000000-0002-0000-1B00-000001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16F8-D478-468C-8709-9AD31CDCD22D}">
  <sheetPr>
    <tabColor rgb="FF92D050"/>
    <outlinePr summaryBelow="0" summaryRight="0"/>
    <pageSetUpPr fitToPage="1"/>
  </sheetPr>
  <dimension ref="A1:BW330"/>
  <sheetViews>
    <sheetView showGridLines="0" tabSelected="1" zoomScale="80" zoomScaleNormal="80" workbookViewId="0">
      <pane xSplit="30" ySplit="25" topLeftCell="AF26" activePane="bottomRight" state="frozen"/>
      <selection pane="topRight" activeCell="AE1" sqref="AE1"/>
      <selection pane="bottomLeft" activeCell="A26" sqref="A26"/>
      <selection pane="bottomRight" activeCell="BP287" sqref="BP287"/>
    </sheetView>
  </sheetViews>
  <sheetFormatPr defaultColWidth="9.140625" defaultRowHeight="10.5" customHeight="1"/>
  <cols>
    <col min="1" max="1" width="9.5703125" style="72" hidden="1" customWidth="1"/>
    <col min="2" max="2" width="8.5703125" style="328" hidden="1" customWidth="1"/>
    <col min="3" max="4" width="3.5703125" style="72" hidden="1" customWidth="1"/>
    <col min="5" max="5" width="3.5703125" style="505"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2" customWidth="1"/>
    <col min="29" max="29" width="29.7109375" style="71" customWidth="1"/>
    <col min="30" max="30" width="10.85546875" style="422" customWidth="1"/>
    <col min="31" max="33" width="12.5703125" style="72" customWidth="1"/>
    <col min="34" max="34" width="3" style="72" customWidth="1"/>
    <col min="35" max="35" width="13" style="72" customWidth="1"/>
    <col min="36" max="36" width="12.7109375" style="72" customWidth="1"/>
    <col min="37" max="38" width="12.5703125" style="72" customWidth="1"/>
    <col min="39" max="45" width="12.5703125" style="72" hidden="1" customWidth="1"/>
    <col min="46" max="46" width="13.28515625" style="72" customWidth="1"/>
    <col min="47" max="48" width="12.5703125" style="72" customWidth="1"/>
    <col min="49" max="55" width="12.5703125" style="72" hidden="1" customWidth="1"/>
    <col min="56" max="56" width="4.28515625" style="72" customWidth="1"/>
    <col min="57" max="57" width="4" style="72" customWidth="1"/>
    <col min="58" max="58" width="4.42578125" style="72" customWidth="1"/>
    <col min="59" max="65" width="12.5703125" style="72" hidden="1" customWidth="1"/>
    <col min="66" max="66" width="46.5703125" style="72" hidden="1" customWidth="1"/>
    <col min="67" max="67" width="49.28515625" style="72" customWidth="1"/>
    <col min="68" max="68" width="61" style="72" customWidth="1"/>
    <col min="69" max="69" width="3" style="72" customWidth="1"/>
    <col min="70" max="70" width="9.140625" style="72" hidden="1"/>
    <col min="71" max="73" width="9.140625" style="694" hidden="1"/>
    <col min="74" max="75" width="9.140625" style="505" hidden="1"/>
  </cols>
  <sheetData>
    <row r="1" spans="1:75" ht="11.25" hidden="1" customHeight="1">
      <c r="E1" s="72"/>
      <c r="F1" s="72" t="s">
        <v>309</v>
      </c>
      <c r="I1" s="72" t="s">
        <v>1938</v>
      </c>
      <c r="J1" s="72" t="s">
        <v>346</v>
      </c>
      <c r="K1" s="72" t="s">
        <v>1939</v>
      </c>
      <c r="L1" s="72" t="s">
        <v>1940</v>
      </c>
      <c r="M1" s="72" t="s">
        <v>1941</v>
      </c>
      <c r="R1" s="4"/>
      <c r="T1" s="351" t="s">
        <v>92</v>
      </c>
      <c r="U1" s="351" t="s">
        <v>97</v>
      </c>
      <c r="V1" s="351" t="s">
        <v>93</v>
      </c>
      <c r="W1" s="351" t="s">
        <v>94</v>
      </c>
      <c r="X1" s="351" t="s">
        <v>95</v>
      </c>
      <c r="Y1" s="353" t="s">
        <v>311</v>
      </c>
      <c r="Z1" s="351" t="s">
        <v>99</v>
      </c>
      <c r="AA1" s="352" t="s">
        <v>96</v>
      </c>
      <c r="AB1" s="314"/>
      <c r="AC1" s="352" t="s">
        <v>98</v>
      </c>
      <c r="AJ1" s="4"/>
      <c r="BS1" s="694" t="s">
        <v>312</v>
      </c>
      <c r="BT1" s="694" t="s">
        <v>313</v>
      </c>
      <c r="BU1" s="694" t="s">
        <v>314</v>
      </c>
      <c r="BV1" s="505" t="s">
        <v>317</v>
      </c>
      <c r="BW1" s="505" t="s">
        <v>318</v>
      </c>
    </row>
    <row r="2" spans="1:75" s="328" customFormat="1" ht="11.25" hidden="1" customHeight="1">
      <c r="B2" s="340" t="s">
        <v>18</v>
      </c>
      <c r="AC2" s="329"/>
      <c r="AJ2" s="341" t="b">
        <f t="shared" ref="AJ2:BM2" si="0">AJ6&lt;=last_year_vis</f>
        <v>1</v>
      </c>
      <c r="AK2" s="341" t="b">
        <f t="shared" si="0"/>
        <v>1</v>
      </c>
      <c r="AL2" s="341" t="b">
        <f t="shared" si="0"/>
        <v>1</v>
      </c>
      <c r="AM2" s="341" t="b">
        <f t="shared" si="0"/>
        <v>0</v>
      </c>
      <c r="AN2" s="341" t="b">
        <f t="shared" si="0"/>
        <v>0</v>
      </c>
      <c r="AO2" s="341" t="b">
        <f t="shared" si="0"/>
        <v>0</v>
      </c>
      <c r="AP2" s="341" t="b">
        <f t="shared" si="0"/>
        <v>0</v>
      </c>
      <c r="AQ2" s="341" t="b">
        <f t="shared" si="0"/>
        <v>0</v>
      </c>
      <c r="AR2" s="341" t="b">
        <f t="shared" si="0"/>
        <v>0</v>
      </c>
      <c r="AS2" s="341" t="b">
        <f t="shared" si="0"/>
        <v>0</v>
      </c>
      <c r="AT2" s="341" t="b">
        <f t="shared" si="0"/>
        <v>1</v>
      </c>
      <c r="AU2" s="341" t="b">
        <f t="shared" si="0"/>
        <v>1</v>
      </c>
      <c r="AV2" s="341" t="b">
        <f t="shared" si="0"/>
        <v>1</v>
      </c>
      <c r="AW2" s="341" t="b">
        <f t="shared" si="0"/>
        <v>0</v>
      </c>
      <c r="AX2" s="341" t="b">
        <f t="shared" si="0"/>
        <v>0</v>
      </c>
      <c r="AY2" s="341" t="b">
        <f t="shared" si="0"/>
        <v>0</v>
      </c>
      <c r="AZ2" s="341" t="b">
        <f t="shared" si="0"/>
        <v>0</v>
      </c>
      <c r="BA2" s="341" t="b">
        <f t="shared" si="0"/>
        <v>0</v>
      </c>
      <c r="BB2" s="341" t="b">
        <f t="shared" si="0"/>
        <v>0</v>
      </c>
      <c r="BC2" s="341" t="b">
        <f t="shared" si="0"/>
        <v>0</v>
      </c>
      <c r="BD2" s="341" t="b">
        <f t="shared" si="0"/>
        <v>1</v>
      </c>
      <c r="BE2" s="341" t="b">
        <f t="shared" si="0"/>
        <v>1</v>
      </c>
      <c r="BF2" s="341" t="b">
        <f t="shared" si="0"/>
        <v>1</v>
      </c>
      <c r="BG2" s="341" t="b">
        <f t="shared" si="0"/>
        <v>0</v>
      </c>
      <c r="BH2" s="341" t="b">
        <f t="shared" si="0"/>
        <v>0</v>
      </c>
      <c r="BI2" s="341" t="b">
        <f t="shared" si="0"/>
        <v>0</v>
      </c>
      <c r="BJ2" s="341" t="b">
        <f t="shared" si="0"/>
        <v>0</v>
      </c>
      <c r="BK2" s="341" t="b">
        <f t="shared" si="0"/>
        <v>0</v>
      </c>
      <c r="BL2" s="341" t="b">
        <f t="shared" si="0"/>
        <v>0</v>
      </c>
      <c r="BM2" s="341" t="b">
        <f t="shared" si="0"/>
        <v>0</v>
      </c>
      <c r="BS2" s="695"/>
      <c r="BT2" s="695"/>
      <c r="BU2" s="695"/>
      <c r="BV2" s="450"/>
      <c r="BW2" s="450"/>
    </row>
    <row r="3" spans="1:75" ht="11.25" hidden="1" customHeight="1">
      <c r="E3" s="72"/>
    </row>
    <row r="4" spans="1:75" ht="11.25" hidden="1" customHeight="1">
      <c r="E4" s="72"/>
    </row>
    <row r="5" spans="1:75" s="505" customFormat="1" ht="11.25" hidden="1" customHeight="1">
      <c r="A5" s="72"/>
      <c r="B5" s="328"/>
      <c r="C5" s="72"/>
      <c r="D5" s="72"/>
      <c r="E5" s="505" t="s">
        <v>19</v>
      </c>
      <c r="AA5" s="505">
        <v>3</v>
      </c>
      <c r="AB5" s="510">
        <v>11</v>
      </c>
      <c r="AC5" s="506">
        <v>75</v>
      </c>
      <c r="AD5" s="510">
        <v>12</v>
      </c>
      <c r="AE5" s="505">
        <v>12.57</v>
      </c>
      <c r="AF5" s="505">
        <v>12.57</v>
      </c>
      <c r="AG5" s="505">
        <v>12.57</v>
      </c>
      <c r="AH5" s="505">
        <v>21</v>
      </c>
      <c r="AI5" s="505">
        <v>12.57</v>
      </c>
      <c r="AJ5" s="505">
        <v>12.57</v>
      </c>
      <c r="AK5" s="505">
        <v>12.57</v>
      </c>
      <c r="AL5" s="505">
        <v>12.57</v>
      </c>
      <c r="AM5" s="505">
        <v>12.57</v>
      </c>
      <c r="AN5" s="505">
        <v>12.57</v>
      </c>
      <c r="AO5" s="505">
        <v>12.57</v>
      </c>
      <c r="AP5" s="505">
        <v>12.57</v>
      </c>
      <c r="AQ5" s="505">
        <v>12.57</v>
      </c>
      <c r="AR5" s="505">
        <v>12.57</v>
      </c>
      <c r="AS5" s="505">
        <v>12.57</v>
      </c>
      <c r="AT5" s="505">
        <v>12.57</v>
      </c>
      <c r="AU5" s="505">
        <v>12.57</v>
      </c>
      <c r="AV5" s="505">
        <v>12.57</v>
      </c>
      <c r="AW5" s="505">
        <v>12.57</v>
      </c>
      <c r="AX5" s="505">
        <v>12.57</v>
      </c>
      <c r="AY5" s="505">
        <v>12.57</v>
      </c>
      <c r="AZ5" s="505">
        <v>12.57</v>
      </c>
      <c r="BA5" s="505">
        <v>12.57</v>
      </c>
      <c r="BB5" s="505">
        <v>12.57</v>
      </c>
      <c r="BC5" s="505">
        <v>12.57</v>
      </c>
      <c r="BD5" s="505">
        <v>12.57</v>
      </c>
      <c r="BE5" s="505">
        <v>12.57</v>
      </c>
      <c r="BF5" s="505">
        <v>12.57</v>
      </c>
      <c r="BG5" s="505">
        <v>12.57</v>
      </c>
      <c r="BH5" s="505">
        <v>12.57</v>
      </c>
      <c r="BI5" s="505">
        <v>12.57</v>
      </c>
      <c r="BJ5" s="505">
        <v>12.57</v>
      </c>
      <c r="BK5" s="505">
        <v>12.57</v>
      </c>
      <c r="BL5" s="505">
        <v>12.57</v>
      </c>
      <c r="BM5" s="505">
        <v>12.57</v>
      </c>
      <c r="BN5" s="505">
        <v>20</v>
      </c>
      <c r="BO5" s="505">
        <v>20</v>
      </c>
      <c r="BP5" s="505">
        <v>42</v>
      </c>
      <c r="BQ5" s="505">
        <v>3</v>
      </c>
      <c r="BS5" s="694"/>
      <c r="BT5" s="694"/>
      <c r="BU5" s="694"/>
    </row>
    <row r="6" spans="1:75" ht="11.25" hidden="1" customHeight="1">
      <c r="A6" s="72" t="s">
        <v>349</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4" customFormat="1" ht="11.25" hidden="1" customHeight="1">
      <c r="A9" s="654" t="s">
        <v>354</v>
      </c>
      <c r="B9" s="692"/>
      <c r="C9" s="692"/>
      <c r="D9" s="692"/>
      <c r="E9" s="692"/>
      <c r="F9" s="692"/>
      <c r="G9" s="692"/>
      <c r="H9" s="692"/>
      <c r="I9" s="692"/>
      <c r="J9" s="692"/>
      <c r="K9" s="692"/>
      <c r="L9" s="692"/>
      <c r="M9" s="692"/>
      <c r="N9" s="692"/>
      <c r="O9" s="692"/>
      <c r="P9" s="692"/>
      <c r="Q9" s="692"/>
      <c r="R9" s="692"/>
      <c r="S9" s="692"/>
      <c r="T9" s="692"/>
      <c r="U9" s="692"/>
      <c r="V9" s="692"/>
      <c r="W9" s="692"/>
      <c r="X9" s="692"/>
      <c r="Y9" s="692"/>
      <c r="Z9" s="692"/>
      <c r="AA9" s="692"/>
      <c r="AB9" s="692"/>
      <c r="AC9" s="692"/>
      <c r="AD9" s="692"/>
      <c r="AE9" s="669" cm="1">
        <f t="array" ref="AE9">AE6</f>
        <v>2024</v>
      </c>
      <c r="AF9" s="669" cm="1">
        <f t="array" ref="AF9">AF6</f>
        <v>2024</v>
      </c>
      <c r="AG9" s="669" cm="1">
        <f t="array" ref="AG9">AG6</f>
        <v>2024</v>
      </c>
      <c r="AH9" s="669" cm="1">
        <f t="array" ref="AH9">AH6</f>
        <v>2024</v>
      </c>
      <c r="AI9" s="669" cm="1">
        <f t="array" ref="AI9">AI6</f>
        <v>2025</v>
      </c>
      <c r="AJ9" s="669" cm="1">
        <f t="array" ref="AJ9">AJ6</f>
        <v>2026</v>
      </c>
      <c r="AK9" s="669" cm="1">
        <f t="array" ref="AK9">AK6</f>
        <v>2027</v>
      </c>
      <c r="AL9" s="669" cm="1">
        <f t="array" ref="AL9">AL6</f>
        <v>2028</v>
      </c>
      <c r="AM9" s="669" cm="1">
        <f t="array" ref="AM9">AM6</f>
        <v>2029</v>
      </c>
      <c r="AN9" s="669" cm="1">
        <f t="array" ref="AN9">AN6</f>
        <v>2030</v>
      </c>
      <c r="AO9" s="669" cm="1">
        <f t="array" ref="AO9">AO6</f>
        <v>2031</v>
      </c>
      <c r="AP9" s="669" cm="1">
        <f t="array" ref="AP9">AP6</f>
        <v>2032</v>
      </c>
      <c r="AQ9" s="669" cm="1">
        <f t="array" ref="AQ9">AQ6</f>
        <v>2033</v>
      </c>
      <c r="AR9" s="669" cm="1">
        <f t="array" ref="AR9">AR6</f>
        <v>2034</v>
      </c>
      <c r="AS9" s="669" cm="1">
        <f t="array" ref="AS9">AS6</f>
        <v>2035</v>
      </c>
      <c r="AT9" s="669" cm="1">
        <f t="array" ref="AT9">AT6</f>
        <v>2026</v>
      </c>
      <c r="AU9" s="669" cm="1">
        <f t="array" ref="AU9">AU6</f>
        <v>2027</v>
      </c>
      <c r="AV9" s="669" cm="1">
        <f t="array" ref="AV9">AV6</f>
        <v>2028</v>
      </c>
      <c r="AW9" s="669" cm="1">
        <f t="array" ref="AW9">AW6</f>
        <v>2029</v>
      </c>
      <c r="AX9" s="669" cm="1">
        <f t="array" ref="AX9">AX6</f>
        <v>2030</v>
      </c>
      <c r="AY9" s="669" cm="1">
        <f t="array" ref="AY9">AY6</f>
        <v>2031</v>
      </c>
      <c r="AZ9" s="669" cm="1">
        <f t="array" ref="AZ9">AZ6</f>
        <v>2032</v>
      </c>
      <c r="BA9" s="669" cm="1">
        <f t="array" ref="BA9">BA6</f>
        <v>2033</v>
      </c>
      <c r="BB9" s="669" cm="1">
        <f t="array" ref="BB9">BB6</f>
        <v>2034</v>
      </c>
      <c r="BC9" s="669" cm="1">
        <f t="array" ref="BC9">BC6</f>
        <v>2035</v>
      </c>
      <c r="BD9" s="669" cm="1">
        <f t="array" ref="BD9">BD6</f>
        <v>2026</v>
      </c>
      <c r="BE9" s="669" cm="1">
        <f t="array" ref="BE9">BE6</f>
        <v>2027</v>
      </c>
      <c r="BF9" s="669" cm="1">
        <f t="array" ref="BF9">BF6</f>
        <v>2028</v>
      </c>
      <c r="BG9" s="669" cm="1">
        <f t="array" ref="BG9">BG6</f>
        <v>2029</v>
      </c>
      <c r="BH9" s="669" cm="1">
        <f t="array" ref="BH9">BH6</f>
        <v>2030</v>
      </c>
      <c r="BI9" s="669" cm="1">
        <f t="array" ref="BI9">BI6</f>
        <v>2031</v>
      </c>
      <c r="BJ9" s="669" cm="1">
        <f t="array" ref="BJ9">BJ6</f>
        <v>2032</v>
      </c>
      <c r="BK9" s="669" cm="1">
        <f t="array" ref="BK9">BK6</f>
        <v>2033</v>
      </c>
      <c r="BL9" s="669" cm="1">
        <f t="array" ref="BL9">BL6</f>
        <v>2034</v>
      </c>
      <c r="BM9" s="669" cm="1">
        <f t="array" ref="BM9">BM6</f>
        <v>2035</v>
      </c>
      <c r="BV9" s="505"/>
      <c r="BW9" s="505"/>
    </row>
    <row r="10" spans="1:75" s="694" customFormat="1" ht="11.25" hidden="1" customHeight="1">
      <c r="A10" s="654" t="s">
        <v>355</v>
      </c>
      <c r="B10" s="692"/>
      <c r="C10" s="692"/>
      <c r="D10" s="692"/>
      <c r="E10" s="692"/>
      <c r="F10" s="692"/>
      <c r="G10" s="692"/>
      <c r="H10" s="692"/>
      <c r="I10" s="692"/>
      <c r="J10" s="692"/>
      <c r="K10" s="692"/>
      <c r="L10" s="692"/>
      <c r="M10" s="692"/>
      <c r="N10" s="692"/>
      <c r="O10" s="692"/>
      <c r="P10" s="692"/>
      <c r="Q10" s="692"/>
      <c r="R10" s="692"/>
      <c r="S10" s="692"/>
      <c r="T10" s="692"/>
      <c r="U10" s="692"/>
      <c r="V10" s="692"/>
      <c r="W10" s="692"/>
      <c r="X10" s="692"/>
      <c r="Y10" s="692"/>
      <c r="Z10" s="692"/>
      <c r="AA10" s="692"/>
      <c r="AB10" s="692"/>
      <c r="AC10" s="692"/>
      <c r="AD10" s="692"/>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отклонение факта по данным организации к факту принятому органом регулирования</v>
      </c>
      <c r="AI10" s="669" t="str" cm="1">
        <f t="array" ref="AI10">AI25</f>
        <v>Принято органом регулирования</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Предложение организации</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9" t="str" cm="1">
        <f t="array" ref="BC10">BC25</f>
        <v>Принято органом регулирования</v>
      </c>
      <c r="BD10" s="66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9" cm="1">
        <f t="array" ref="BE10">BE25</f>
        <v>0</v>
      </c>
      <c r="BF10" s="669" cm="1">
        <f t="array" ref="BF10">BF25</f>
        <v>0</v>
      </c>
      <c r="BG10" s="669" cm="1">
        <f t="array" ref="BG10">BG25</f>
        <v>0</v>
      </c>
      <c r="BH10" s="669" cm="1">
        <f t="array" ref="BH10">BH25</f>
        <v>0</v>
      </c>
      <c r="BI10" s="669" cm="1">
        <f t="array" ref="BI10">BI25</f>
        <v>0</v>
      </c>
      <c r="BJ10" s="669" cm="1">
        <f t="array" ref="BJ10">BJ25</f>
        <v>0</v>
      </c>
      <c r="BK10" s="669" cm="1">
        <f t="array" ref="BK10">BK25</f>
        <v>0</v>
      </c>
      <c r="BL10" s="669" cm="1">
        <f t="array" ref="BL10">BL25</f>
        <v>0</v>
      </c>
      <c r="BM10" s="669" cm="1">
        <f t="array" ref="BM10">BM25</f>
        <v>0</v>
      </c>
      <c r="BV10" s="505"/>
      <c r="BW10" s="505"/>
    </row>
    <row r="11" spans="1:75" s="694" customFormat="1" ht="11.25" hidden="1" customHeight="1">
      <c r="A11" s="654" t="s">
        <v>356</v>
      </c>
      <c r="B11" s="692"/>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2"/>
      <c r="AB11" s="692"/>
      <c r="AC11" s="692"/>
      <c r="AD11" s="692"/>
      <c r="AE11" s="669"/>
      <c r="BN11" s="694" t="str" cm="1">
        <f t="array" ref="BN11">BN24</f>
        <v>Указание на подтверждающие документы / URL-ссылка на копии подтверждающих документов</v>
      </c>
      <c r="BO11" s="694" t="str" cm="1">
        <f t="array" ref="BO11">BO24</f>
        <v>Ссылка на правовую норму (основание для принятия показателя в расчет тарифа)</v>
      </c>
      <c r="BP11" s="69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5"/>
      <c r="BW11" s="505"/>
    </row>
    <row r="12" spans="1:75" s="694" customFormat="1" ht="11.25" hidden="1" customHeight="1">
      <c r="A12" s="692" t="s">
        <v>327</v>
      </c>
      <c r="B12" s="692"/>
      <c r="C12" s="692"/>
      <c r="D12" s="692"/>
      <c r="E12" s="692"/>
      <c r="F12" s="692"/>
      <c r="G12" s="692"/>
      <c r="H12" s="692"/>
      <c r="I12" s="692"/>
      <c r="J12" s="692"/>
      <c r="K12" s="692"/>
      <c r="L12" s="692"/>
      <c r="M12" s="692"/>
      <c r="N12" s="692"/>
      <c r="O12" s="692"/>
      <c r="P12" s="692"/>
      <c r="Q12" s="692"/>
      <c r="R12" s="692"/>
      <c r="S12" s="692"/>
      <c r="T12" s="692"/>
      <c r="U12" s="692"/>
      <c r="V12" s="692"/>
      <c r="W12" s="692"/>
      <c r="X12" s="692"/>
      <c r="Y12" s="692"/>
      <c r="Z12" s="692"/>
      <c r="AA12" s="692"/>
      <c r="AB12" s="692"/>
      <c r="AC12" s="692" t="s">
        <v>314</v>
      </c>
      <c r="AD12" s="692"/>
      <c r="AE12" s="669"/>
      <c r="BV12" s="505"/>
      <c r="BW12" s="505"/>
    </row>
    <row r="13" spans="1:75" ht="11.25" hidden="1" customHeight="1">
      <c r="A13" s="72" t="s">
        <v>1733</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357</v>
      </c>
      <c r="AC18" s="71" t="s">
        <v>358</v>
      </c>
    </row>
    <row r="19" spans="1:75" ht="11.25" hidden="1" customHeight="1"/>
    <row r="20" spans="1:75" ht="11.25" hidden="1" customHeight="1"/>
    <row r="21" spans="1:75" ht="14.65" customHeight="1">
      <c r="E21" s="505">
        <v>15</v>
      </c>
      <c r="AA21" s="324"/>
      <c r="AB21" s="72"/>
      <c r="AC21" s="3" t="str" cm="1">
        <f t="array" ref="AC21">tpl_title</f>
        <v>Кемеровская область / 2026 / МУП "Водоканал" (ИНН:4202043124, КПП:420201001) / ДПР: 2026-2028</v>
      </c>
      <c r="AD21" s="72"/>
    </row>
    <row r="22" spans="1:75" s="25" customFormat="1" ht="19.5" customHeight="1">
      <c r="B22" s="328"/>
      <c r="E22" s="449">
        <v>20</v>
      </c>
      <c r="AB22" s="224" t="s">
        <v>79</v>
      </c>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S22" s="696"/>
      <c r="BT22" s="696"/>
      <c r="BU22" s="696"/>
      <c r="BV22" s="449"/>
      <c r="BW22" s="449"/>
    </row>
    <row r="23" spans="1:75" s="25" customFormat="1" ht="10.15" customHeight="1">
      <c r="B23" s="328"/>
      <c r="E23" s="449">
        <v>10.5</v>
      </c>
      <c r="AB23" s="64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6"/>
      <c r="BT23" s="696"/>
      <c r="BU23" s="696"/>
      <c r="BV23" s="449"/>
      <c r="BW23" s="449"/>
    </row>
    <row r="24" spans="1:75" s="71" customFormat="1" ht="24.2" customHeight="1">
      <c r="B24" s="329"/>
      <c r="E24" s="506">
        <v>24.75</v>
      </c>
      <c r="AB24" s="1031" t="s">
        <v>21</v>
      </c>
      <c r="AC24" s="1031" t="s">
        <v>358</v>
      </c>
      <c r="AD24" s="1031" t="s">
        <v>359</v>
      </c>
      <c r="AE24" s="10" t="str">
        <f>god-2&amp;" год"</f>
        <v>2024 год</v>
      </c>
      <c r="AF24" s="726" t="str">
        <f>god-2&amp;" год"</f>
        <v>2024 год</v>
      </c>
      <c r="AG24" s="10" t="str">
        <f>god-2&amp;" год"</f>
        <v>2024 год</v>
      </c>
      <c r="AH24" s="10" t="str">
        <f>god-2&amp;" год"</f>
        <v>2024 год</v>
      </c>
      <c r="AI24" s="10" t="str">
        <f>god-1&amp;" год"</f>
        <v>2025 год</v>
      </c>
      <c r="AJ24" s="724" t="str">
        <f>god&amp;" год"</f>
        <v>2026 год</v>
      </c>
      <c r="AK24" s="724" t="str">
        <f>god+1&amp;" год"</f>
        <v>2027 год</v>
      </c>
      <c r="AL24" s="724" t="str">
        <f>god+2&amp;" год"</f>
        <v>2028 год</v>
      </c>
      <c r="AM24" s="724" t="str">
        <f>god+3&amp;" год"</f>
        <v>2029 год</v>
      </c>
      <c r="AN24" s="724" t="str">
        <f>god+4&amp;" год"</f>
        <v>2030 год</v>
      </c>
      <c r="AO24" s="724" t="str">
        <f>god+5&amp;" год"</f>
        <v>2031 год</v>
      </c>
      <c r="AP24" s="724" t="str">
        <f>god+6&amp;" год"</f>
        <v>2032 год</v>
      </c>
      <c r="AQ24" s="724" t="str">
        <f>god+7&amp;" год"</f>
        <v>2033 год</v>
      </c>
      <c r="AR24" s="724" t="str">
        <f>god+8&amp;" год"</f>
        <v>2034 год</v>
      </c>
      <c r="AS24" s="724"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51" t="s">
        <v>1736</v>
      </c>
      <c r="BO24" s="1051" t="s">
        <v>580</v>
      </c>
      <c r="BP24" s="1051" t="s">
        <v>1737</v>
      </c>
      <c r="BS24" s="697"/>
      <c r="BT24" s="697"/>
      <c r="BU24" s="697"/>
      <c r="BV24" s="506"/>
      <c r="BW24" s="506"/>
    </row>
    <row r="25" spans="1:75" s="71" customFormat="1" ht="48.95" customHeight="1">
      <c r="B25" s="329"/>
      <c r="E25" s="506">
        <v>50.25</v>
      </c>
      <c r="AB25" s="1031"/>
      <c r="AC25" s="1031"/>
      <c r="AD25" s="1031"/>
      <c r="AE25" s="10" t="s">
        <v>351</v>
      </c>
      <c r="AF25" s="726" t="s">
        <v>495</v>
      </c>
      <c r="AG25" s="10" t="s">
        <v>496</v>
      </c>
      <c r="AH25" s="10" t="s">
        <v>1738</v>
      </c>
      <c r="AI25" s="10" t="s">
        <v>351</v>
      </c>
      <c r="AJ25" s="728" t="s">
        <v>352</v>
      </c>
      <c r="AK25" s="728" t="s">
        <v>352</v>
      </c>
      <c r="AL25" s="728" t="s">
        <v>352</v>
      </c>
      <c r="AM25" s="728" t="s">
        <v>352</v>
      </c>
      <c r="AN25" s="728" t="s">
        <v>352</v>
      </c>
      <c r="AO25" s="728" t="s">
        <v>352</v>
      </c>
      <c r="AP25" s="728" t="s">
        <v>352</v>
      </c>
      <c r="AQ25" s="728" t="s">
        <v>352</v>
      </c>
      <c r="AR25" s="728" t="s">
        <v>352</v>
      </c>
      <c r="AS25" s="728" t="s">
        <v>352</v>
      </c>
      <c r="AT25" s="261" t="s">
        <v>351</v>
      </c>
      <c r="AU25" s="261" t="s">
        <v>351</v>
      </c>
      <c r="AV25" s="261" t="s">
        <v>351</v>
      </c>
      <c r="AW25" s="261" t="s">
        <v>351</v>
      </c>
      <c r="AX25" s="261" t="s">
        <v>351</v>
      </c>
      <c r="AY25" s="261" t="s">
        <v>351</v>
      </c>
      <c r="AZ25" s="261" t="s">
        <v>351</v>
      </c>
      <c r="BA25" s="261" t="s">
        <v>351</v>
      </c>
      <c r="BB25" s="261" t="s">
        <v>351</v>
      </c>
      <c r="BC25" s="261" t="s">
        <v>351</v>
      </c>
      <c r="BD25" s="1051" t="s">
        <v>1735</v>
      </c>
      <c r="BE25" s="1051"/>
      <c r="BF25" s="1051"/>
      <c r="BG25" s="1051"/>
      <c r="BH25" s="1051"/>
      <c r="BI25" s="1051"/>
      <c r="BJ25" s="1051"/>
      <c r="BK25" s="1051"/>
      <c r="BL25" s="1051"/>
      <c r="BM25" s="1051"/>
      <c r="BN25" s="1051"/>
      <c r="BO25" s="1051"/>
      <c r="BP25" s="1051"/>
      <c r="BS25" s="697"/>
      <c r="BT25" s="697"/>
      <c r="BU25" s="697"/>
      <c r="BV25" s="506"/>
      <c r="BW25" s="506"/>
    </row>
    <row r="26" spans="1:75" ht="11.25" customHeight="1">
      <c r="A26"/>
      <c r="B26" s="326"/>
      <c r="C26"/>
      <c r="D26"/>
      <c r="E26" s="452" t="s">
        <v>362</v>
      </c>
      <c r="F26" s="86" t="s">
        <v>1942</v>
      </c>
      <c r="G26"/>
      <c r="H26"/>
      <c r="I26"/>
      <c r="J26"/>
      <c r="K26"/>
      <c r="L26"/>
      <c r="M26"/>
      <c r="N26"/>
      <c r="O26"/>
      <c r="P26"/>
      <c r="Q26"/>
      <c r="R26"/>
      <c r="S26"/>
      <c r="T26"/>
      <c r="U26"/>
      <c r="V26"/>
      <c r="W26"/>
      <c r="X26"/>
      <c r="Y26"/>
      <c r="Z26"/>
      <c r="AA26"/>
      <c r="AB26" s="314"/>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9"/>
      <c r="BT26" s="659"/>
      <c r="BU26" s="659"/>
      <c r="BV26" s="452"/>
      <c r="BW26" s="452"/>
    </row>
    <row r="27" spans="1:75" s="38" customFormat="1" ht="14.65" hidden="1" customHeight="1">
      <c r="B27" s="43"/>
      <c r="C27" s="22"/>
      <c r="D27" s="22"/>
      <c r="E27" s="447">
        <v>15</v>
      </c>
      <c r="F27" s="59" cm="1">
        <f t="array" ref="F27">X27</f>
        <v>0</v>
      </c>
      <c r="G27" s="59" cm="1">
        <f t="array" ref="G27">INDEX('Общие сведения'!$AK$179:$AK$208,MATCH($X27,'Общие сведения'!$Z$179:$Z$208,0))</f>
        <v>0</v>
      </c>
      <c r="H27" s="22"/>
      <c r="I27" s="59"/>
      <c r="J27" s="22"/>
      <c r="K27" s="22"/>
      <c r="L27" s="22"/>
      <c r="M27" s="22"/>
      <c r="N27" s="22"/>
      <c r="O27" s="22"/>
      <c r="P27" s="22"/>
      <c r="Q27" s="22"/>
      <c r="R27" s="22"/>
      <c r="S27" s="22" cm="1">
        <f t="array" ref="S27">INDEX('Общие сведения'!$AE$179:$AE$208,MATCH($X27,'Общие сведения'!$Z$179:$Z$208,0))</f>
        <v>0</v>
      </c>
      <c r="T27" s="351" t="b">
        <f>X27&gt;0</f>
        <v>0</v>
      </c>
      <c r="U27" s="22"/>
      <c r="V27" s="22" t="s">
        <v>266</v>
      </c>
      <c r="W27" s="22"/>
      <c r="X27" s="1046">
        <v>0</v>
      </c>
      <c r="Z27" s="1008"/>
      <c r="AB27" s="279" t="str" cm="1">
        <f t="array" ref="AB27">INDEX('Общие сведения'!$AG$179:$AG$208,MATCH($X27,'Общие сведения'!$Z$179:$Z$208,0))</f>
        <v xml:space="preserve">Тариф 0 () - </v>
      </c>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S27" s="654"/>
      <c r="BT27" s="654"/>
      <c r="BU27" s="654"/>
      <c r="BV27" s="446"/>
      <c r="BW27" s="446"/>
    </row>
    <row r="28" spans="1:75" s="75" customFormat="1" ht="20.45" hidden="1" customHeight="1">
      <c r="B28" s="330"/>
      <c r="C28" s="573"/>
      <c r="D28" s="573"/>
      <c r="E28" s="574">
        <v>21</v>
      </c>
      <c r="F28" s="3" cm="1">
        <f t="array" aca="1" ref="F28" ca="1">OFFSET(E28,-1,1)</f>
        <v>0</v>
      </c>
      <c r="G28" s="573"/>
      <c r="H28" s="30"/>
      <c r="I28" s="30" t="s">
        <v>321</v>
      </c>
      <c r="J28" s="573"/>
      <c r="K28" s="275" t="s">
        <v>321</v>
      </c>
      <c r="L28" s="573"/>
      <c r="M28" s="573"/>
      <c r="N28" s="573"/>
      <c r="O28" s="573"/>
      <c r="P28" s="573"/>
      <c r="Q28" s="573"/>
      <c r="R28" s="573"/>
      <c r="S28" s="573"/>
      <c r="T28" s="351" t="b" cm="1">
        <f t="array" ref="T28">T27</f>
        <v>0</v>
      </c>
      <c r="U28" s="573"/>
      <c r="V28" s="573"/>
      <c r="W28" s="573"/>
      <c r="X28" s="1046"/>
      <c r="Z28" s="1008"/>
      <c r="AB28" s="147" t="s">
        <v>277</v>
      </c>
      <c r="AC28" s="125" t="s">
        <v>1943</v>
      </c>
      <c r="AD28" s="147" t="s">
        <v>859</v>
      </c>
      <c r="AE28" s="126">
        <f ca="1">SUM(AE30,AE47,AE53,AE73,AE74,AE75)</f>
        <v>0</v>
      </c>
      <c r="AF28" s="126">
        <f ca="1">SUM(AF30,AF47,AF53,AF73,AF74,AF75)</f>
        <v>0</v>
      </c>
      <c r="AG28" s="126">
        <f ca="1">SUM(AG30,AG47,AG53,AG73,AG74,AG75)</f>
        <v>0</v>
      </c>
      <c r="AH28" s="126">
        <f t="shared" ref="AH28:AH59" ca="1" si="2">AG28-AF28</f>
        <v>0</v>
      </c>
      <c r="AI28" s="126">
        <f ca="1">SUM(AI30,AI47,AI53,AI73,AI74,AI75)</f>
        <v>0</v>
      </c>
      <c r="AJ28" s="126">
        <f ca="1">SUM(AJ30,AJ47,AJ53,AJ73,AJ74,AJ75)</f>
        <v>0</v>
      </c>
      <c r="AK28" s="138">
        <f t="shared" ref="AK28:AS28" ca="1" si="3">AJ28*AK29</f>
        <v>0</v>
      </c>
      <c r="AL28" s="138">
        <f t="shared" ca="1" si="3"/>
        <v>0</v>
      </c>
      <c r="AM28" s="773">
        <f t="shared" ca="1" si="3"/>
        <v>0</v>
      </c>
      <c r="AN28" s="773">
        <f t="shared" ca="1" si="3"/>
        <v>0</v>
      </c>
      <c r="AO28" s="773">
        <f t="shared" ca="1" si="3"/>
        <v>0</v>
      </c>
      <c r="AP28" s="773">
        <f t="shared" ca="1" si="3"/>
        <v>0</v>
      </c>
      <c r="AQ28" s="773">
        <f t="shared" ca="1" si="3"/>
        <v>0</v>
      </c>
      <c r="AR28" s="773">
        <f t="shared" ca="1" si="3"/>
        <v>0</v>
      </c>
      <c r="AS28" s="773">
        <f t="shared" ca="1" si="3"/>
        <v>0</v>
      </c>
      <c r="AT28" s="126">
        <f ca="1">SUM(AT30,AT47,AT53,AT73,AT74,AT75)</f>
        <v>0</v>
      </c>
      <c r="AU28" s="138">
        <f t="shared" ref="AU28:BC28" ca="1" si="4">AT28*AU29</f>
        <v>0</v>
      </c>
      <c r="AV28" s="138">
        <f t="shared" ca="1" si="4"/>
        <v>0</v>
      </c>
      <c r="AW28" s="773">
        <f t="shared" ca="1" si="4"/>
        <v>0</v>
      </c>
      <c r="AX28" s="773">
        <f t="shared" ca="1" si="4"/>
        <v>0</v>
      </c>
      <c r="AY28" s="773">
        <f t="shared" ca="1" si="4"/>
        <v>0</v>
      </c>
      <c r="AZ28" s="773">
        <f t="shared" ca="1" si="4"/>
        <v>0</v>
      </c>
      <c r="BA28" s="773">
        <f t="shared" ca="1" si="4"/>
        <v>0</v>
      </c>
      <c r="BB28" s="773">
        <f t="shared" ca="1" si="4"/>
        <v>0</v>
      </c>
      <c r="BC28" s="773">
        <f t="shared" ca="1" si="4"/>
        <v>0</v>
      </c>
      <c r="BD28" s="126">
        <f t="shared" ref="BD28:BD59" ca="1" si="5">IF(AI28=0,0,(AT28-AI28)/AI28*100)</f>
        <v>0</v>
      </c>
      <c r="BE28" s="126">
        <f t="shared" ref="BE28:BM28" ca="1" si="6">IF(AT28=0,0,(AU28-AT28)/AT28*100)</f>
        <v>0</v>
      </c>
      <c r="BF28" s="126">
        <f t="shared" ca="1" si="6"/>
        <v>0</v>
      </c>
      <c r="BG28" s="126">
        <f t="shared" ca="1" si="6"/>
        <v>0</v>
      </c>
      <c r="BH28" s="126">
        <f t="shared" ca="1" si="6"/>
        <v>0</v>
      </c>
      <c r="BI28" s="126">
        <f t="shared" ca="1" si="6"/>
        <v>0</v>
      </c>
      <c r="BJ28" s="126">
        <f t="shared" ca="1" si="6"/>
        <v>0</v>
      </c>
      <c r="BK28" s="126">
        <f t="shared" ca="1" si="6"/>
        <v>0</v>
      </c>
      <c r="BL28" s="126">
        <f t="shared" ca="1" si="6"/>
        <v>0</v>
      </c>
      <c r="BM28" s="126">
        <f t="shared" ca="1" si="6"/>
        <v>0</v>
      </c>
      <c r="BN28" s="774"/>
      <c r="BO28" s="774"/>
      <c r="BP28" s="774"/>
      <c r="BQ28" s="74"/>
      <c r="BS28" s="698" t="s">
        <v>577</v>
      </c>
      <c r="BT28" s="698"/>
      <c r="BU28" s="698"/>
      <c r="BV28" s="507"/>
      <c r="BW28" s="507"/>
    </row>
    <row r="29" spans="1:75" ht="14.65" hidden="1" customHeight="1">
      <c r="C29" s="25"/>
      <c r="D29" s="25"/>
      <c r="E29" s="449">
        <v>15</v>
      </c>
      <c r="F29" s="3" cm="1">
        <f t="array" aca="1" ref="F29" ca="1">OFFSET(E29,-1,1)</f>
        <v>0</v>
      </c>
      <c r="G29" s="25"/>
      <c r="H29" s="575"/>
      <c r="I29" s="575" t="s">
        <v>507</v>
      </c>
      <c r="J29" s="25"/>
      <c r="K29" s="276" t="s">
        <v>507</v>
      </c>
      <c r="L29" s="25"/>
      <c r="M29" s="25"/>
      <c r="N29" s="25"/>
      <c r="O29" s="25"/>
      <c r="P29" s="25"/>
      <c r="Q29" s="25"/>
      <c r="R29" s="25"/>
      <c r="S29" s="25"/>
      <c r="T29" s="351" t="b" cm="1">
        <f t="array" ref="T29">T28</f>
        <v>0</v>
      </c>
      <c r="U29" s="25"/>
      <c r="V29" s="25"/>
      <c r="W29" s="25"/>
      <c r="X29" s="1046"/>
      <c r="Z29" s="1008"/>
      <c r="AB29" s="7" t="s">
        <v>936</v>
      </c>
      <c r="AC29" s="127" t="s">
        <v>1944</v>
      </c>
      <c r="AD29" s="7"/>
      <c r="AE29" s="775"/>
      <c r="AF29" s="775"/>
      <c r="AG29" s="775"/>
      <c r="AH29" s="556">
        <f t="shared" si="2"/>
        <v>0</v>
      </c>
      <c r="AI29" s="775"/>
      <c r="AJ29" s="442"/>
      <c r="AK29" s="442">
        <f ca="1">SUMIFS(INDEX(Сценарии!$AE$25:$BF$82,,MATCH(AK$8,Сценарии!$AE$8:$BF$8,0)),Сценарии!$F$25:$F$82,$F29,Сценарии!$G$25:$G$82,"ИОР")</f>
        <v>1</v>
      </c>
      <c r="AL29" s="442">
        <f ca="1">SUMIFS(INDEX(Сценарии!$AE$25:$BF$82,,MATCH(AL$8,Сценарии!$AE$8:$BF$8,0)),Сценарии!$F$25:$F$82,$F29,Сценарии!$G$25:$G$82,"ИОР")</f>
        <v>1</v>
      </c>
      <c r="AM29" s="775">
        <f ca="1">SUMIFS(INDEX(Сценарии!$AE$25:$BF$82,,MATCH(AM$8,Сценарии!$AE$8:$BF$8,0)),Сценарии!$F$25:$F$82,$F29,Сценарии!$G$25:$G$82,"ИОР")</f>
        <v>1</v>
      </c>
      <c r="AN29" s="775">
        <f ca="1">SUMIFS(INDEX(Сценарии!$AE$25:$BF$82,,MATCH(AN$8,Сценарии!$AE$8:$BF$8,0)),Сценарии!$F$25:$F$82,$F29,Сценарии!$G$25:$G$82,"ИОР")</f>
        <v>1</v>
      </c>
      <c r="AO29" s="775">
        <f ca="1">SUMIFS(INDEX(Сценарии!$AE$25:$BF$82,,MATCH(AO$8,Сценарии!$AE$8:$BF$8,0)),Сценарии!$F$25:$F$82,$F29,Сценарии!$G$25:$G$82,"ИОР")</f>
        <v>1</v>
      </c>
      <c r="AP29" s="775">
        <f ca="1">SUMIFS(INDEX(Сценарии!$AE$25:$BF$82,,MATCH(AP$8,Сценарии!$AE$8:$BF$8,0)),Сценарии!$F$25:$F$82,$F29,Сценарии!$G$25:$G$82,"ИОР")</f>
        <v>1</v>
      </c>
      <c r="AQ29" s="775">
        <f ca="1">SUMIFS(INDEX(Сценарии!$AE$25:$BF$82,,MATCH(AQ$8,Сценарии!$AE$8:$BF$8,0)),Сценарии!$F$25:$F$82,$F29,Сценарии!$G$25:$G$82,"ИОР")</f>
        <v>1</v>
      </c>
      <c r="AR29" s="775">
        <f ca="1">SUMIFS(INDEX(Сценарии!$AE$25:$BF$82,,MATCH(AR$8,Сценарии!$AE$8:$BF$8,0)),Сценарии!$F$25:$F$82,$F29,Сценарии!$G$25:$G$82,"ИОР")</f>
        <v>1</v>
      </c>
      <c r="AS29" s="775">
        <f ca="1">SUMIFS(INDEX(Сценарии!$AE$25:$BF$82,,MATCH(AS$8,Сценарии!$AE$8:$BF$8,0)),Сценарии!$F$25:$F$82,$F29,Сценарии!$G$25:$G$82,"ИОР")</f>
        <v>1</v>
      </c>
      <c r="AT29" s="442"/>
      <c r="AU29" s="442">
        <f ca="1">SUMIFS(INDEX(Сценарии!$AE$25:$BF$82,,MATCH(AU$8,Сценарии!$AE$8:$BF$8,0)),Сценарии!$F$25:$F$82,$F29,Сценарии!$G$25:$G$82,"ИОР")</f>
        <v>1</v>
      </c>
      <c r="AV29" s="442">
        <f ca="1">SUMIFS(INDEX(Сценарии!$AE$25:$BF$82,,MATCH(AV$8,Сценарии!$AE$8:$BF$8,0)),Сценарии!$F$25:$F$82,$F29,Сценарии!$G$25:$G$82,"ИОР")</f>
        <v>1</v>
      </c>
      <c r="AW29" s="775">
        <f ca="1">SUMIFS(INDEX(Сценарии!$AE$25:$BF$82,,MATCH(AW$8,Сценарии!$AE$8:$BF$8,0)),Сценарии!$F$25:$F$82,$F29,Сценарии!$G$25:$G$82,"ИОР")</f>
        <v>1</v>
      </c>
      <c r="AX29" s="775">
        <f ca="1">SUMIFS(INDEX(Сценарии!$AE$25:$BF$82,,MATCH(AX$8,Сценарии!$AE$8:$BF$8,0)),Сценарии!$F$25:$F$82,$F29,Сценарии!$G$25:$G$82,"ИОР")</f>
        <v>1</v>
      </c>
      <c r="AY29" s="775">
        <f ca="1">SUMIFS(INDEX(Сценарии!$AE$25:$BF$82,,MATCH(AY$8,Сценарии!$AE$8:$BF$8,0)),Сценарии!$F$25:$F$82,$F29,Сценарии!$G$25:$G$82,"ИОР")</f>
        <v>1</v>
      </c>
      <c r="AZ29" s="775">
        <f ca="1">SUMIFS(INDEX(Сценарии!$AE$25:$BF$82,,MATCH(AZ$8,Сценарии!$AE$8:$BF$8,0)),Сценарии!$F$25:$F$82,$F29,Сценарии!$G$25:$G$82,"ИОР")</f>
        <v>1</v>
      </c>
      <c r="BA29" s="775">
        <f ca="1">SUMIFS(INDEX(Сценарии!$AE$25:$BF$82,,MATCH(BA$8,Сценарии!$AE$8:$BF$8,0)),Сценарии!$F$25:$F$82,$F29,Сценарии!$G$25:$G$82,"ИОР")</f>
        <v>1</v>
      </c>
      <c r="BB29" s="775">
        <f ca="1">SUMIFS(INDEX(Сценарии!$AE$25:$BF$82,,MATCH(BB$8,Сценарии!$AE$8:$BF$8,0)),Сценарии!$F$25:$F$82,$F29,Сценарии!$G$25:$G$82,"ИОР")</f>
        <v>1</v>
      </c>
      <c r="BC29" s="775">
        <f ca="1">SUMIFS(INDEX(Сценарии!$AE$25:$BF$82,,MATCH(BC$8,Сценарии!$AE$8:$BF$8,0)),Сценарии!$F$25:$F$82,$F29,Сценарии!$G$25:$G$82,"ИОР")</f>
        <v>1</v>
      </c>
      <c r="BD29" s="170">
        <f t="shared" si="5"/>
        <v>0</v>
      </c>
      <c r="BE29" s="540"/>
      <c r="BF29" s="540"/>
      <c r="BG29" s="540"/>
      <c r="BH29" s="540"/>
      <c r="BI29" s="540"/>
      <c r="BJ29" s="540"/>
      <c r="BK29" s="540"/>
      <c r="BL29" s="540"/>
      <c r="BM29" s="540"/>
      <c r="BN29" s="774"/>
      <c r="BO29" s="774"/>
      <c r="BP29" s="774"/>
      <c r="BS29" s="694" t="s">
        <v>1945</v>
      </c>
    </row>
    <row r="30" spans="1:75" s="74" customFormat="1" ht="20.45" hidden="1" customHeight="1">
      <c r="B30" s="330"/>
      <c r="C30" s="576"/>
      <c r="D30" s="576"/>
      <c r="E30" s="577">
        <v>21</v>
      </c>
      <c r="F30" s="3" cm="1">
        <f t="array" aca="1" ref="F30" ca="1">OFFSET(E30,-1,1)</f>
        <v>0</v>
      </c>
      <c r="G30" s="576"/>
      <c r="H30" s="30"/>
      <c r="I30" s="30" t="s">
        <v>511</v>
      </c>
      <c r="J30" s="576"/>
      <c r="K30" s="275" t="s">
        <v>511</v>
      </c>
      <c r="L30" s="576" t="s">
        <v>321</v>
      </c>
      <c r="M30" s="576"/>
      <c r="N30" s="576"/>
      <c r="O30" s="576"/>
      <c r="P30" s="576"/>
      <c r="Q30" s="576"/>
      <c r="R30" s="576"/>
      <c r="S30" s="576"/>
      <c r="T30" s="351" t="b" cm="1">
        <f t="array" ref="T30">T29</f>
        <v>0</v>
      </c>
      <c r="U30" s="576"/>
      <c r="V30" s="576"/>
      <c r="W30" s="576"/>
      <c r="X30" s="1046"/>
      <c r="Z30" s="1008"/>
      <c r="AB30" s="147" t="s">
        <v>939</v>
      </c>
      <c r="AC30" s="262" t="s">
        <v>1739</v>
      </c>
      <c r="AD30" s="147" t="s">
        <v>859</v>
      </c>
      <c r="AE30" s="126">
        <f ca="1">SUM(AE31,AE34,AE35,AE38,AE39)</f>
        <v>0</v>
      </c>
      <c r="AF30" s="126">
        <f ca="1">SUM(AF31,AF34,AF35,AF38,AF39)</f>
        <v>0</v>
      </c>
      <c r="AG30" s="126">
        <f ca="1">SUM(AG31,AG34,AG35,AG38,AG39)</f>
        <v>0</v>
      </c>
      <c r="AH30" s="126">
        <f t="shared" ca="1" si="2"/>
        <v>0</v>
      </c>
      <c r="AI30" s="126">
        <f ca="1">SUM(AI31,AI34,AI35,AI38,AI39)</f>
        <v>0</v>
      </c>
      <c r="AJ30" s="126">
        <f ca="1">SUM(AJ31,AJ34,AJ35,AJ38,AJ39)</f>
        <v>0</v>
      </c>
      <c r="AK30" s="129"/>
      <c r="AL30" s="129"/>
      <c r="AM30" s="129"/>
      <c r="AN30" s="129"/>
      <c r="AO30" s="129"/>
      <c r="AP30" s="129"/>
      <c r="AQ30" s="129"/>
      <c r="AR30" s="129"/>
      <c r="AS30" s="129"/>
      <c r="AT30" s="126">
        <f ca="1">SUM(AT31,AT34,AT35,AT38,AT39)</f>
        <v>0</v>
      </c>
      <c r="AU30" s="129"/>
      <c r="AV30" s="129"/>
      <c r="AW30" s="129"/>
      <c r="AX30" s="129"/>
      <c r="AY30" s="129"/>
      <c r="AZ30" s="129"/>
      <c r="BA30" s="129"/>
      <c r="BB30" s="129"/>
      <c r="BC30" s="129"/>
      <c r="BD30" s="126">
        <f t="shared" ca="1" si="5"/>
        <v>0</v>
      </c>
      <c r="BE30" s="129"/>
      <c r="BF30" s="129"/>
      <c r="BG30" s="129"/>
      <c r="BH30" s="129"/>
      <c r="BI30" s="129"/>
      <c r="BJ30" s="129"/>
      <c r="BK30" s="129"/>
      <c r="BL30" s="129"/>
      <c r="BM30" s="129"/>
      <c r="BN30" s="776"/>
      <c r="BO30" s="776"/>
      <c r="BP30" s="776"/>
      <c r="BS30" s="692" t="s">
        <v>562</v>
      </c>
      <c r="BT30" s="699"/>
      <c r="BU30" s="699"/>
      <c r="BV30" s="508"/>
      <c r="BW30" s="508"/>
    </row>
    <row r="31" spans="1:75" ht="14.65" hidden="1" customHeight="1">
      <c r="C31" s="25"/>
      <c r="D31" s="25"/>
      <c r="E31" s="449">
        <v>15</v>
      </c>
      <c r="F31" s="3" cm="1">
        <f t="array" aca="1" ref="F31" ca="1">OFFSET(E31,-1,1)</f>
        <v>0</v>
      </c>
      <c r="G31" s="25"/>
      <c r="H31" s="575"/>
      <c r="I31" s="575" t="s">
        <v>1378</v>
      </c>
      <c r="J31" s="25"/>
      <c r="K31" s="276" t="s">
        <v>1378</v>
      </c>
      <c r="L31" s="25" t="s">
        <v>507</v>
      </c>
      <c r="M31" s="25"/>
      <c r="N31" s="25"/>
      <c r="O31" s="25"/>
      <c r="P31" s="25"/>
      <c r="Q31" s="25"/>
      <c r="R31" s="25"/>
      <c r="S31" s="25"/>
      <c r="T31" s="351" t="b" cm="1">
        <f t="array" ref="T31">T30</f>
        <v>0</v>
      </c>
      <c r="U31" s="25"/>
      <c r="V31" s="25"/>
      <c r="W31" s="25"/>
      <c r="X31" s="1046"/>
      <c r="Z31" s="1008"/>
      <c r="AB31" s="7" t="s">
        <v>1379</v>
      </c>
      <c r="AC31" s="134" t="s">
        <v>1946</v>
      </c>
      <c r="AD31" s="9" t="s">
        <v>859</v>
      </c>
      <c r="AE31" s="170">
        <f>SUM(AE32,AE33)</f>
        <v>0</v>
      </c>
      <c r="AF31" s="170">
        <f>SUM(AF32,AF33)</f>
        <v>0</v>
      </c>
      <c r="AG31" s="170">
        <f>SUM(AG32,AG33)</f>
        <v>0</v>
      </c>
      <c r="AH31" s="170">
        <f t="shared" si="2"/>
        <v>0</v>
      </c>
      <c r="AI31" s="170">
        <f>SUM(AI32,AI33)</f>
        <v>0</v>
      </c>
      <c r="AJ31" s="170">
        <f>SUM(AJ32,AJ33)</f>
        <v>0</v>
      </c>
      <c r="AK31" s="540"/>
      <c r="AL31" s="540"/>
      <c r="AM31" s="540"/>
      <c r="AN31" s="540"/>
      <c r="AO31" s="540"/>
      <c r="AP31" s="540"/>
      <c r="AQ31" s="540"/>
      <c r="AR31" s="540"/>
      <c r="AS31" s="540"/>
      <c r="AT31" s="170">
        <f>SUM(AT32,AT33)</f>
        <v>0</v>
      </c>
      <c r="AU31" s="540"/>
      <c r="AV31" s="540"/>
      <c r="AW31" s="540"/>
      <c r="AX31" s="540"/>
      <c r="AY31" s="540"/>
      <c r="AZ31" s="540"/>
      <c r="BA31" s="540"/>
      <c r="BB31" s="540"/>
      <c r="BC31" s="540"/>
      <c r="BD31" s="170">
        <f t="shared" si="5"/>
        <v>0</v>
      </c>
      <c r="BE31" s="540"/>
      <c r="BF31" s="540"/>
      <c r="BG31" s="540"/>
      <c r="BH31" s="540"/>
      <c r="BI31" s="540"/>
      <c r="BJ31" s="540"/>
      <c r="BK31" s="540"/>
      <c r="BL31" s="540"/>
      <c r="BM31" s="540"/>
      <c r="BN31" s="774"/>
      <c r="BO31" s="774"/>
      <c r="BP31" s="774"/>
      <c r="BQ31" s="28"/>
      <c r="BS31" s="693" t="s">
        <v>1741</v>
      </c>
    </row>
    <row r="32" spans="1:75" ht="14.65" hidden="1" customHeight="1">
      <c r="C32" s="25"/>
      <c r="D32" s="25"/>
      <c r="E32" s="449">
        <v>15</v>
      </c>
      <c r="F32" s="3" cm="1">
        <f t="array" aca="1" ref="F32" ca="1">OFFSET(E32,-1,1)</f>
        <v>0</v>
      </c>
      <c r="G32" s="25"/>
      <c r="H32" s="575"/>
      <c r="I32" s="575" t="s">
        <v>1947</v>
      </c>
      <c r="J32" s="25"/>
      <c r="K32" s="276" t="s">
        <v>1947</v>
      </c>
      <c r="L32" s="25" t="s">
        <v>1044</v>
      </c>
      <c r="M32" s="25"/>
      <c r="N32" s="25"/>
      <c r="O32" s="25"/>
      <c r="P32" s="25"/>
      <c r="Q32" s="25"/>
      <c r="R32" s="25"/>
      <c r="S32" s="25"/>
      <c r="T32" s="351" t="b" cm="1">
        <f t="array" ref="T32">T31</f>
        <v>0</v>
      </c>
      <c r="U32" s="25"/>
      <c r="V32" s="25"/>
      <c r="W32" s="25"/>
      <c r="X32" s="1046"/>
      <c r="Z32" s="1008"/>
      <c r="AB32" s="7" t="s">
        <v>1948</v>
      </c>
      <c r="AC32" s="541" t="s">
        <v>1744</v>
      </c>
      <c r="AD32" s="9" t="s">
        <v>859</v>
      </c>
      <c r="AE32" s="777"/>
      <c r="AF32" s="777"/>
      <c r="AG32" s="777"/>
      <c r="AH32" s="170">
        <f t="shared" si="2"/>
        <v>0</v>
      </c>
      <c r="AI32" s="777"/>
      <c r="AJ32" s="128"/>
      <c r="AK32" s="540"/>
      <c r="AL32" s="540"/>
      <c r="AM32" s="540"/>
      <c r="AN32" s="540"/>
      <c r="AO32" s="540"/>
      <c r="AP32" s="540"/>
      <c r="AQ32" s="540"/>
      <c r="AR32" s="540"/>
      <c r="AS32" s="540"/>
      <c r="AT32" s="128"/>
      <c r="AU32" s="540"/>
      <c r="AV32" s="540"/>
      <c r="AW32" s="540"/>
      <c r="AX32" s="540"/>
      <c r="AY32" s="540"/>
      <c r="AZ32" s="540"/>
      <c r="BA32" s="540"/>
      <c r="BB32" s="540"/>
      <c r="BC32" s="540"/>
      <c r="BD32" s="170">
        <f t="shared" si="5"/>
        <v>0</v>
      </c>
      <c r="BE32" s="540"/>
      <c r="BF32" s="540"/>
      <c r="BG32" s="540"/>
      <c r="BH32" s="540"/>
      <c r="BI32" s="540"/>
      <c r="BJ32" s="540"/>
      <c r="BK32" s="540"/>
      <c r="BL32" s="540"/>
      <c r="BM32" s="540"/>
      <c r="BN32" s="774"/>
      <c r="BO32" s="774"/>
      <c r="BP32" s="774"/>
      <c r="BS32" s="692" t="s">
        <v>1745</v>
      </c>
    </row>
    <row r="33" spans="2:75" ht="14.65" hidden="1" customHeight="1">
      <c r="C33" s="25"/>
      <c r="D33" s="25"/>
      <c r="E33" s="449">
        <v>15</v>
      </c>
      <c r="F33" s="3" cm="1">
        <f t="array" aca="1" ref="F33" ca="1">OFFSET(E33,-1,1)</f>
        <v>0</v>
      </c>
      <c r="G33" s="25"/>
      <c r="H33" s="575"/>
      <c r="I33" s="575" t="s">
        <v>1949</v>
      </c>
      <c r="J33" s="25"/>
      <c r="K33" s="276" t="s">
        <v>1949</v>
      </c>
      <c r="L33" s="25" t="s">
        <v>1353</v>
      </c>
      <c r="M33" s="25"/>
      <c r="N33" s="25"/>
      <c r="O33" s="25"/>
      <c r="P33" s="25"/>
      <c r="Q33" s="25"/>
      <c r="R33" s="25"/>
      <c r="S33" s="25"/>
      <c r="T33" s="351" t="b" cm="1">
        <f t="array" ref="T33">T32</f>
        <v>0</v>
      </c>
      <c r="U33" s="25"/>
      <c r="V33" s="25"/>
      <c r="W33" s="25"/>
      <c r="X33" s="1046"/>
      <c r="Z33" s="1008"/>
      <c r="AB33" s="7" t="s">
        <v>1950</v>
      </c>
      <c r="AC33" s="541" t="s">
        <v>1746</v>
      </c>
      <c r="AD33" s="9" t="s">
        <v>859</v>
      </c>
      <c r="AE33" s="777"/>
      <c r="AF33" s="777"/>
      <c r="AG33" s="777"/>
      <c r="AH33" s="170">
        <f t="shared" si="2"/>
        <v>0</v>
      </c>
      <c r="AI33" s="777"/>
      <c r="AJ33" s="128"/>
      <c r="AK33" s="540"/>
      <c r="AL33" s="540"/>
      <c r="AM33" s="540"/>
      <c r="AN33" s="540"/>
      <c r="AO33" s="540"/>
      <c r="AP33" s="540"/>
      <c r="AQ33" s="540"/>
      <c r="AR33" s="540"/>
      <c r="AS33" s="540"/>
      <c r="AT33" s="128"/>
      <c r="AU33" s="540"/>
      <c r="AV33" s="540"/>
      <c r="AW33" s="540"/>
      <c r="AX33" s="540"/>
      <c r="AY33" s="540"/>
      <c r="AZ33" s="540"/>
      <c r="BA33" s="540"/>
      <c r="BB33" s="540"/>
      <c r="BC33" s="540"/>
      <c r="BD33" s="170">
        <f t="shared" si="5"/>
        <v>0</v>
      </c>
      <c r="BE33" s="540"/>
      <c r="BF33" s="540"/>
      <c r="BG33" s="540"/>
      <c r="BH33" s="540"/>
      <c r="BI33" s="540"/>
      <c r="BJ33" s="540"/>
      <c r="BK33" s="540"/>
      <c r="BL33" s="540"/>
      <c r="BM33" s="540"/>
      <c r="BN33" s="774"/>
      <c r="BO33" s="774"/>
      <c r="BP33" s="774"/>
      <c r="BS33" s="692" t="s">
        <v>1747</v>
      </c>
    </row>
    <row r="34" spans="2:75" ht="21.95" hidden="1" customHeight="1">
      <c r="C34" s="25"/>
      <c r="D34" s="25"/>
      <c r="E34" s="449">
        <v>22.5</v>
      </c>
      <c r="F34" s="3" cm="1">
        <f t="array" aca="1" ref="F34" ca="1">OFFSET(E34,-1,1)</f>
        <v>0</v>
      </c>
      <c r="G34" s="25"/>
      <c r="H34" s="575"/>
      <c r="I34" s="575" t="s">
        <v>1381</v>
      </c>
      <c r="J34" s="25"/>
      <c r="K34" s="276" t="s">
        <v>1381</v>
      </c>
      <c r="L34" s="25" t="s">
        <v>514</v>
      </c>
      <c r="M34" s="25"/>
      <c r="N34" s="25"/>
      <c r="O34" s="25"/>
      <c r="P34" s="25"/>
      <c r="Q34" s="25"/>
      <c r="R34" s="25"/>
      <c r="S34" s="25"/>
      <c r="T34" s="351" t="b" cm="1">
        <f t="array" ref="T34">T33</f>
        <v>0</v>
      </c>
      <c r="U34" s="25"/>
      <c r="V34" s="25"/>
      <c r="W34" s="25"/>
      <c r="X34" s="1046"/>
      <c r="Z34" s="1008"/>
      <c r="AB34" s="7" t="s">
        <v>1382</v>
      </c>
      <c r="AC34" s="134" t="s">
        <v>1951</v>
      </c>
      <c r="AD34" s="9" t="s">
        <v>859</v>
      </c>
      <c r="AE34" s="777"/>
      <c r="AF34" s="777"/>
      <c r="AG34" s="777"/>
      <c r="AH34" s="170">
        <f t="shared" si="2"/>
        <v>0</v>
      </c>
      <c r="AI34" s="777"/>
      <c r="AJ34" s="128"/>
      <c r="AK34" s="540"/>
      <c r="AL34" s="540"/>
      <c r="AM34" s="540"/>
      <c r="AN34" s="540"/>
      <c r="AO34" s="540"/>
      <c r="AP34" s="540"/>
      <c r="AQ34" s="540"/>
      <c r="AR34" s="540"/>
      <c r="AS34" s="540"/>
      <c r="AT34" s="128"/>
      <c r="AU34" s="540"/>
      <c r="AV34" s="540"/>
      <c r="AW34" s="540"/>
      <c r="AX34" s="540"/>
      <c r="AY34" s="540"/>
      <c r="AZ34" s="540"/>
      <c r="BA34" s="540"/>
      <c r="BB34" s="540"/>
      <c r="BC34" s="540"/>
      <c r="BD34" s="170">
        <f t="shared" si="5"/>
        <v>0</v>
      </c>
      <c r="BE34" s="540"/>
      <c r="BF34" s="540"/>
      <c r="BG34" s="540"/>
      <c r="BH34" s="540"/>
      <c r="BI34" s="540"/>
      <c r="BJ34" s="540"/>
      <c r="BK34" s="540"/>
      <c r="BL34" s="540"/>
      <c r="BM34" s="540"/>
      <c r="BN34" s="774"/>
      <c r="BO34" s="774"/>
      <c r="BP34" s="774"/>
      <c r="BS34" s="693" t="s">
        <v>1772</v>
      </c>
    </row>
    <row r="35" spans="2:75" ht="21.95" hidden="1" customHeight="1">
      <c r="C35" s="25"/>
      <c r="D35" s="25"/>
      <c r="E35" s="449">
        <v>22.5</v>
      </c>
      <c r="F35" s="3" cm="1">
        <f t="array" aca="1" ref="F35" ca="1">OFFSET(E35,-1,1)</f>
        <v>0</v>
      </c>
      <c r="G35" s="25"/>
      <c r="H35" s="575"/>
      <c r="I35" s="575" t="s">
        <v>1385</v>
      </c>
      <c r="J35" s="25"/>
      <c r="K35" s="276" t="s">
        <v>1385</v>
      </c>
      <c r="L35" s="25" t="s">
        <v>518</v>
      </c>
      <c r="M35" s="25"/>
      <c r="N35" s="25"/>
      <c r="O35" s="25"/>
      <c r="P35" s="25"/>
      <c r="Q35" s="25"/>
      <c r="R35" s="25"/>
      <c r="S35" s="25"/>
      <c r="T35" s="351" t="b" cm="1">
        <f t="array" ref="T35">T34</f>
        <v>0</v>
      </c>
      <c r="U35" s="25"/>
      <c r="V35" s="25"/>
      <c r="W35" s="25"/>
      <c r="X35" s="1046"/>
      <c r="Z35" s="1008"/>
      <c r="AB35" s="7" t="s">
        <v>1386</v>
      </c>
      <c r="AC35" s="134" t="s">
        <v>1952</v>
      </c>
      <c r="AD35" s="9" t="s">
        <v>859</v>
      </c>
      <c r="AE35" s="170">
        <f ca="1">AE36+AE37</f>
        <v>0</v>
      </c>
      <c r="AF35" s="170">
        <f ca="1">AF36+AF37</f>
        <v>0</v>
      </c>
      <c r="AG35" s="170">
        <f ca="1">AG36+AG37</f>
        <v>0</v>
      </c>
      <c r="AH35" s="170">
        <f t="shared" ca="1" si="2"/>
        <v>0</v>
      </c>
      <c r="AI35" s="170">
        <f ca="1">AI36+AI37</f>
        <v>0</v>
      </c>
      <c r="AJ35" s="170">
        <f ca="1">AJ36+AJ37</f>
        <v>0</v>
      </c>
      <c r="AK35" s="540"/>
      <c r="AL35" s="540"/>
      <c r="AM35" s="540"/>
      <c r="AN35" s="540"/>
      <c r="AO35" s="540"/>
      <c r="AP35" s="540"/>
      <c r="AQ35" s="540"/>
      <c r="AR35" s="540"/>
      <c r="AS35" s="540"/>
      <c r="AT35" s="170">
        <f ca="1">AT36+AT37</f>
        <v>0</v>
      </c>
      <c r="AU35" s="540"/>
      <c r="AV35" s="540"/>
      <c r="AW35" s="540"/>
      <c r="AX35" s="540"/>
      <c r="AY35" s="540"/>
      <c r="AZ35" s="540"/>
      <c r="BA35" s="540"/>
      <c r="BB35" s="540"/>
      <c r="BC35" s="540"/>
      <c r="BD35" s="170">
        <f t="shared" ca="1" si="5"/>
        <v>0</v>
      </c>
      <c r="BE35" s="540"/>
      <c r="BF35" s="540"/>
      <c r="BG35" s="540"/>
      <c r="BH35" s="540"/>
      <c r="BI35" s="540"/>
      <c r="BJ35" s="540"/>
      <c r="BK35" s="540"/>
      <c r="BL35" s="540"/>
      <c r="BM35" s="540"/>
      <c r="BN35" s="774"/>
      <c r="BO35" s="774"/>
      <c r="BP35" s="774"/>
      <c r="BS35" s="693" t="s">
        <v>1953</v>
      </c>
    </row>
    <row r="36" spans="2:75" ht="14.65" hidden="1" customHeight="1">
      <c r="C36" s="25"/>
      <c r="D36" s="25"/>
      <c r="E36" s="449">
        <v>15</v>
      </c>
      <c r="F36" s="3" cm="1">
        <f t="array" aca="1" ref="F36" ca="1">OFFSET(E36,-1,1)</f>
        <v>0</v>
      </c>
      <c r="G36" s="266" t="s">
        <v>1135</v>
      </c>
      <c r="H36" s="575"/>
      <c r="I36" s="575" t="s">
        <v>1529</v>
      </c>
      <c r="J36" s="25"/>
      <c r="K36" s="276" t="s">
        <v>1529</v>
      </c>
      <c r="L36" s="25" t="s">
        <v>1405</v>
      </c>
      <c r="M36" s="25"/>
      <c r="N36" s="25"/>
      <c r="O36" s="25"/>
      <c r="P36" s="25"/>
      <c r="Q36" s="25"/>
      <c r="R36" s="25"/>
      <c r="S36" s="25"/>
      <c r="T36" s="351" t="b" cm="1">
        <f t="array" ref="T36">T35</f>
        <v>0</v>
      </c>
      <c r="U36" s="25"/>
      <c r="V36" s="25"/>
      <c r="W36" s="25"/>
      <c r="X36" s="1046"/>
      <c r="Z36" s="1008"/>
      <c r="AB36" s="7" t="s">
        <v>1954</v>
      </c>
      <c r="AC36" s="541" t="s">
        <v>1775</v>
      </c>
      <c r="AD36" s="9" t="s">
        <v>859</v>
      </c>
      <c r="AE36" s="170">
        <f ca="1">SUMIFS(ФОТ!AE$25:AE$89,ФОТ!$F$25:$F$89,$F36,ФОТ!$G$25:$G$89,$G36)</f>
        <v>0</v>
      </c>
      <c r="AF36" s="170">
        <f ca="1">SUMIFS(ФОТ!AF$25:AF$89,ФОТ!$F$25:$F$89,$F36,ФОТ!$G$25:$G$89,$G36)</f>
        <v>0</v>
      </c>
      <c r="AG36" s="170">
        <f ca="1">SUMIFS(ФОТ!AG$25:AG$89,ФОТ!$F$25:$F$89,$F36,ФОТ!$G$25:$G$89,$G36)</f>
        <v>0</v>
      </c>
      <c r="AH36" s="170">
        <f t="shared" ca="1" si="2"/>
        <v>0</v>
      </c>
      <c r="AI36" s="170">
        <f ca="1">SUMIFS(ФОТ!AH$25:AH$89,ФОТ!$F$25:$F$89,$F36,ФОТ!$G$25:$G$89,$G36)</f>
        <v>0</v>
      </c>
      <c r="AJ36" s="170">
        <f ca="1">SUMIFS(ФОТ!AI$25:AI$89,ФОТ!$F$25:$F$89,$F36,ФОТ!$G$25:$G$89,$G36)</f>
        <v>0</v>
      </c>
      <c r="AK36" s="540"/>
      <c r="AL36" s="540"/>
      <c r="AM36" s="540"/>
      <c r="AN36" s="540"/>
      <c r="AO36" s="540"/>
      <c r="AP36" s="540"/>
      <c r="AQ36" s="540"/>
      <c r="AR36" s="540"/>
      <c r="AS36" s="540"/>
      <c r="AT36" s="170">
        <f ca="1">SUMIFS(ФОТ!AJ$25:AJ$89,ФОТ!$F$25:$F$89,$F36,ФОТ!$G$25:$G$89,$G36)</f>
        <v>0</v>
      </c>
      <c r="AU36" s="540"/>
      <c r="AV36" s="540"/>
      <c r="AW36" s="540"/>
      <c r="AX36" s="540"/>
      <c r="AY36" s="540"/>
      <c r="AZ36" s="540"/>
      <c r="BA36" s="540"/>
      <c r="BB36" s="540"/>
      <c r="BC36" s="540"/>
      <c r="BD36" s="170">
        <f t="shared" ca="1" si="5"/>
        <v>0</v>
      </c>
      <c r="BE36" s="540"/>
      <c r="BF36" s="540"/>
      <c r="BG36" s="540"/>
      <c r="BH36" s="540"/>
      <c r="BI36" s="540"/>
      <c r="BJ36" s="540"/>
      <c r="BK36" s="540"/>
      <c r="BL36" s="540"/>
      <c r="BM36" s="540"/>
      <c r="BN36" s="774"/>
      <c r="BO36" s="778" t="str">
        <f ca="1">IF(IFERROR(INDEX(ФОТ!$K$26:$L$89,MATCH($F36&amp;"1komm",ФОТ!$K$26:$K$89,0),2),"")=0,"",IFERROR(INDEX(ФОТ!$K$26:$L$89,MATCH($F36&amp;"1komm",ФОТ!$K$26:$K$89,0),2),""))</f>
        <v/>
      </c>
      <c r="BP36" s="774"/>
      <c r="BS36" s="692" t="s">
        <v>1776</v>
      </c>
    </row>
    <row r="37" spans="2:75" ht="21.95" hidden="1" customHeight="1">
      <c r="C37" s="25"/>
      <c r="D37" s="25"/>
      <c r="E37" s="449">
        <v>22.5</v>
      </c>
      <c r="F37" s="3" cm="1">
        <f t="array" aca="1" ref="F37" ca="1">OFFSET(E37,-1,1)</f>
        <v>0</v>
      </c>
      <c r="G37" s="266" t="s">
        <v>1147</v>
      </c>
      <c r="H37" s="575"/>
      <c r="I37" s="575" t="s">
        <v>1533</v>
      </c>
      <c r="J37" s="25"/>
      <c r="K37" s="276" t="s">
        <v>1533</v>
      </c>
      <c r="L37" s="25" t="s">
        <v>1406</v>
      </c>
      <c r="M37" s="25"/>
      <c r="N37" s="25"/>
      <c r="O37" s="25"/>
      <c r="P37" s="25"/>
      <c r="Q37" s="25"/>
      <c r="R37" s="25"/>
      <c r="S37" s="25"/>
      <c r="T37" s="351" t="b" cm="1">
        <f t="array" ref="T37">T36</f>
        <v>0</v>
      </c>
      <c r="U37" s="25"/>
      <c r="V37" s="25"/>
      <c r="W37" s="25"/>
      <c r="X37" s="1046"/>
      <c r="Z37" s="1008"/>
      <c r="AB37" s="7" t="s">
        <v>1955</v>
      </c>
      <c r="AC37" s="541" t="s">
        <v>1956</v>
      </c>
      <c r="AD37" s="9" t="s">
        <v>859</v>
      </c>
      <c r="AE37" s="170">
        <f ca="1">SUMIFS(ФОТ!AE$25:AE$89,ФОТ!$F$25:$F$89,$F37,ФОТ!$G$25:$G$89,$G37)</f>
        <v>0</v>
      </c>
      <c r="AF37" s="170">
        <f ca="1">SUMIFS(ФОТ!AF$25:AF$89,ФОТ!$F$25:$F$89,$F37,ФОТ!$G$25:$G$89,$G37)</f>
        <v>0</v>
      </c>
      <c r="AG37" s="170">
        <f ca="1">SUMIFS(ФОТ!AG$25:AG$89,ФОТ!$F$25:$F$89,$F37,ФОТ!$G$25:$G$89,$G37)</f>
        <v>0</v>
      </c>
      <c r="AH37" s="170">
        <f t="shared" ca="1" si="2"/>
        <v>0</v>
      </c>
      <c r="AI37" s="170">
        <f ca="1">SUMIFS(ФОТ!AH$25:AH$89,ФОТ!$F$25:$F$89,$F37,ФОТ!$G$25:$G$89,$G37)</f>
        <v>0</v>
      </c>
      <c r="AJ37" s="170">
        <f ca="1">SUMIFS(ФОТ!AI$25:AI$89,ФОТ!$F$25:$F$89,$F37,ФОТ!$G$25:$G$89,$G37)</f>
        <v>0</v>
      </c>
      <c r="AK37" s="540"/>
      <c r="AL37" s="540"/>
      <c r="AM37" s="540"/>
      <c r="AN37" s="540"/>
      <c r="AO37" s="540"/>
      <c r="AP37" s="540"/>
      <c r="AQ37" s="540"/>
      <c r="AR37" s="540"/>
      <c r="AS37" s="540"/>
      <c r="AT37" s="170">
        <f ca="1">SUMIFS(ФОТ!AJ$25:AJ$89,ФОТ!$F$25:$F$89,$F37,ФОТ!$G$25:$G$89,$G37)</f>
        <v>0</v>
      </c>
      <c r="AU37" s="540"/>
      <c r="AV37" s="540"/>
      <c r="AW37" s="540"/>
      <c r="AX37" s="540"/>
      <c r="AY37" s="540"/>
      <c r="AZ37" s="540"/>
      <c r="BA37" s="540"/>
      <c r="BB37" s="540"/>
      <c r="BC37" s="540"/>
      <c r="BD37" s="170">
        <f t="shared" ca="1" si="5"/>
        <v>0</v>
      </c>
      <c r="BE37" s="540"/>
      <c r="BF37" s="540"/>
      <c r="BG37" s="540"/>
      <c r="BH37" s="540"/>
      <c r="BI37" s="540"/>
      <c r="BJ37" s="540"/>
      <c r="BK37" s="540"/>
      <c r="BL37" s="540"/>
      <c r="BM37" s="540"/>
      <c r="BN37" s="774"/>
      <c r="BO37" s="778" t="str">
        <f ca="1">IF(IFERROR(INDEX(ФОТ!$K$26:$L$89,MATCH($F37&amp;"2komm",ФОТ!$K$26:$K$89,0),2),"")=0,"",IFERROR(INDEX(ФОТ!$K$26:$L$89,MATCH($F37&amp;"2komm",ФОТ!$K$26:$K$89,0),2),""))</f>
        <v/>
      </c>
      <c r="BP37" s="774"/>
      <c r="BS37" s="692" t="s">
        <v>1778</v>
      </c>
    </row>
    <row r="38" spans="2:75" ht="14.65" hidden="1" customHeight="1">
      <c r="C38" s="25"/>
      <c r="D38" s="25"/>
      <c r="E38" s="449">
        <v>15</v>
      </c>
      <c r="F38" s="3" cm="1">
        <f t="array" aca="1" ref="F38" ca="1">OFFSET(E38,-1,1)</f>
        <v>0</v>
      </c>
      <c r="G38" s="25"/>
      <c r="H38" s="575"/>
      <c r="I38" s="575" t="s">
        <v>1544</v>
      </c>
      <c r="J38" s="25"/>
      <c r="K38" s="276" t="s">
        <v>1544</v>
      </c>
      <c r="L38" s="25" t="s">
        <v>1780</v>
      </c>
      <c r="M38" s="25"/>
      <c r="N38" s="25"/>
      <c r="O38" s="25"/>
      <c r="P38" s="25"/>
      <c r="Q38" s="25"/>
      <c r="R38" s="25"/>
      <c r="S38" s="25"/>
      <c r="T38" s="351" t="b" cm="1">
        <f t="array" ref="T38">T37</f>
        <v>0</v>
      </c>
      <c r="U38" s="25"/>
      <c r="V38" s="25"/>
      <c r="W38" s="25"/>
      <c r="X38" s="1046"/>
      <c r="Z38" s="1008"/>
      <c r="AB38" s="7" t="s">
        <v>1754</v>
      </c>
      <c r="AC38" s="134" t="s">
        <v>1957</v>
      </c>
      <c r="AD38" s="9" t="s">
        <v>859</v>
      </c>
      <c r="AE38" s="777"/>
      <c r="AF38" s="777"/>
      <c r="AG38" s="777"/>
      <c r="AH38" s="170">
        <f t="shared" si="2"/>
        <v>0</v>
      </c>
      <c r="AI38" s="777"/>
      <c r="AJ38" s="128"/>
      <c r="AK38" s="540"/>
      <c r="AL38" s="540"/>
      <c r="AM38" s="540"/>
      <c r="AN38" s="540"/>
      <c r="AO38" s="540"/>
      <c r="AP38" s="540"/>
      <c r="AQ38" s="540"/>
      <c r="AR38" s="540"/>
      <c r="AS38" s="540"/>
      <c r="AT38" s="128"/>
      <c r="AU38" s="540"/>
      <c r="AV38" s="540"/>
      <c r="AW38" s="540"/>
      <c r="AX38" s="540"/>
      <c r="AY38" s="540"/>
      <c r="AZ38" s="540"/>
      <c r="BA38" s="540"/>
      <c r="BB38" s="540"/>
      <c r="BC38" s="540"/>
      <c r="BD38" s="170">
        <f t="shared" si="5"/>
        <v>0</v>
      </c>
      <c r="BE38" s="540"/>
      <c r="BF38" s="540"/>
      <c r="BG38" s="540"/>
      <c r="BH38" s="540"/>
      <c r="BI38" s="540"/>
      <c r="BJ38" s="540"/>
      <c r="BK38" s="540"/>
      <c r="BL38" s="540"/>
      <c r="BM38" s="540"/>
      <c r="BN38" s="774"/>
      <c r="BO38" s="774"/>
      <c r="BP38" s="774"/>
      <c r="BS38" s="693" t="s">
        <v>1783</v>
      </c>
    </row>
    <row r="39" spans="2:75" ht="14.65" hidden="1" customHeight="1">
      <c r="C39" s="25"/>
      <c r="D39" s="25"/>
      <c r="E39" s="449">
        <v>15</v>
      </c>
      <c r="F39" s="3" cm="1">
        <f t="array" aca="1" ref="F39" ca="1">OFFSET(E39,-1,1)</f>
        <v>0</v>
      </c>
      <c r="G39" s="25"/>
      <c r="H39" s="575"/>
      <c r="I39" s="575" t="s">
        <v>1548</v>
      </c>
      <c r="J39" s="25"/>
      <c r="K39" s="276" t="s">
        <v>1548</v>
      </c>
      <c r="L39" s="25" t="s">
        <v>1784</v>
      </c>
      <c r="N39" s="25"/>
      <c r="O39" s="25"/>
      <c r="P39" s="25"/>
      <c r="Q39" s="25"/>
      <c r="R39" s="25"/>
      <c r="S39" s="25"/>
      <c r="T39" s="351" t="b" cm="1">
        <f t="array" ref="T39">T38</f>
        <v>0</v>
      </c>
      <c r="U39" s="25"/>
      <c r="V39" s="25"/>
      <c r="W39" s="25"/>
      <c r="X39" s="1046"/>
      <c r="Z39" s="1008"/>
      <c r="AB39" s="7" t="s">
        <v>1756</v>
      </c>
      <c r="AC39" s="134" t="s">
        <v>1958</v>
      </c>
      <c r="AD39" s="7" t="s">
        <v>859</v>
      </c>
      <c r="AE39" s="170">
        <f>SUM(AE40:AE46)</f>
        <v>0</v>
      </c>
      <c r="AF39" s="170">
        <f>SUM(AF40:AF46)</f>
        <v>0</v>
      </c>
      <c r="AG39" s="170">
        <f>SUM(AG40:AG46)</f>
        <v>0</v>
      </c>
      <c r="AH39" s="170">
        <f t="shared" si="2"/>
        <v>0</v>
      </c>
      <c r="AI39" s="170">
        <f>SUM(AI40:AI46)</f>
        <v>0</v>
      </c>
      <c r="AJ39" s="170">
        <f>SUM(AJ40:AJ46)</f>
        <v>0</v>
      </c>
      <c r="AK39" s="540"/>
      <c r="AL39" s="540"/>
      <c r="AM39" s="540"/>
      <c r="AN39" s="540"/>
      <c r="AO39" s="540"/>
      <c r="AP39" s="540"/>
      <c r="AQ39" s="540"/>
      <c r="AR39" s="540"/>
      <c r="AS39" s="540"/>
      <c r="AT39" s="170">
        <f>SUM(AT40:AT46)</f>
        <v>0</v>
      </c>
      <c r="AU39" s="540"/>
      <c r="AV39" s="540"/>
      <c r="AW39" s="540"/>
      <c r="AX39" s="540"/>
      <c r="AY39" s="540"/>
      <c r="AZ39" s="540"/>
      <c r="BA39" s="540"/>
      <c r="BB39" s="540"/>
      <c r="BC39" s="540"/>
      <c r="BD39" s="170">
        <f t="shared" si="5"/>
        <v>0</v>
      </c>
      <c r="BE39" s="540"/>
      <c r="BF39" s="540"/>
      <c r="BG39" s="540"/>
      <c r="BH39" s="540"/>
      <c r="BI39" s="540"/>
      <c r="BJ39" s="540"/>
      <c r="BK39" s="540"/>
      <c r="BL39" s="540"/>
      <c r="BM39" s="540"/>
      <c r="BN39" s="774"/>
      <c r="BO39" s="774"/>
      <c r="BP39" s="774"/>
      <c r="BS39" s="693" t="s">
        <v>1959</v>
      </c>
    </row>
    <row r="40" spans="2:75" ht="14.65" hidden="1" customHeight="1">
      <c r="C40" s="25"/>
      <c r="D40" s="25"/>
      <c r="E40" s="449">
        <v>15</v>
      </c>
      <c r="F40" s="3" cm="1">
        <f t="array" aca="1" ref="F40" ca="1">OFFSET(E40,-1,1)</f>
        <v>0</v>
      </c>
      <c r="G40" s="25"/>
      <c r="H40" s="575"/>
      <c r="I40" s="575" t="s">
        <v>1960</v>
      </c>
      <c r="J40" s="25"/>
      <c r="K40" s="276" t="s">
        <v>1960</v>
      </c>
      <c r="L40" s="25" t="s">
        <v>1784</v>
      </c>
      <c r="M40" s="25" t="s">
        <v>1792</v>
      </c>
      <c r="N40" s="25"/>
      <c r="O40" s="25"/>
      <c r="P40" s="25"/>
      <c r="Q40" s="25"/>
      <c r="R40" s="25"/>
      <c r="S40" s="25"/>
      <c r="T40" s="351" t="b" cm="1">
        <f t="array" ref="T40">T39</f>
        <v>0</v>
      </c>
      <c r="U40" s="25"/>
      <c r="V40" s="25"/>
      <c r="W40" s="25"/>
      <c r="X40" s="1046"/>
      <c r="Z40" s="1008"/>
      <c r="AB40" s="7" t="s">
        <v>1961</v>
      </c>
      <c r="AC40" s="541" t="s">
        <v>1962</v>
      </c>
      <c r="AD40" s="7" t="s">
        <v>859</v>
      </c>
      <c r="AE40" s="777"/>
      <c r="AF40" s="777"/>
      <c r="AG40" s="777"/>
      <c r="AH40" s="170">
        <f t="shared" si="2"/>
        <v>0</v>
      </c>
      <c r="AI40" s="777"/>
      <c r="AJ40" s="128"/>
      <c r="AK40" s="540"/>
      <c r="AL40" s="540"/>
      <c r="AM40" s="540"/>
      <c r="AN40" s="540"/>
      <c r="AO40" s="540"/>
      <c r="AP40" s="540"/>
      <c r="AQ40" s="540"/>
      <c r="AR40" s="540"/>
      <c r="AS40" s="540"/>
      <c r="AT40" s="128"/>
      <c r="AU40" s="540"/>
      <c r="AV40" s="540"/>
      <c r="AW40" s="540"/>
      <c r="AX40" s="540"/>
      <c r="AY40" s="540"/>
      <c r="AZ40" s="540"/>
      <c r="BA40" s="540"/>
      <c r="BB40" s="540"/>
      <c r="BC40" s="540"/>
      <c r="BD40" s="170">
        <f t="shared" si="5"/>
        <v>0</v>
      </c>
      <c r="BE40" s="540"/>
      <c r="BF40" s="540"/>
      <c r="BG40" s="540"/>
      <c r="BH40" s="540"/>
      <c r="BI40" s="540"/>
      <c r="BJ40" s="540"/>
      <c r="BK40" s="540"/>
      <c r="BL40" s="540"/>
      <c r="BM40" s="540"/>
      <c r="BN40" s="774"/>
      <c r="BO40" s="774"/>
      <c r="BP40" s="774"/>
      <c r="BS40" s="692" t="s">
        <v>1795</v>
      </c>
    </row>
    <row r="41" spans="2:75" ht="21.95" hidden="1" customHeight="1">
      <c r="C41" s="25"/>
      <c r="D41" s="25"/>
      <c r="E41" s="449">
        <v>22.5</v>
      </c>
      <c r="F41" s="3" cm="1">
        <f t="array" aca="1" ref="F41" ca="1">OFFSET(E41,-1,1)</f>
        <v>0</v>
      </c>
      <c r="G41" s="25"/>
      <c r="H41" s="575"/>
      <c r="I41" s="575" t="s">
        <v>1963</v>
      </c>
      <c r="J41" s="25"/>
      <c r="K41" s="276" t="s">
        <v>1963</v>
      </c>
      <c r="L41" s="25" t="s">
        <v>1784</v>
      </c>
      <c r="M41" s="25" t="s">
        <v>1788</v>
      </c>
      <c r="N41" s="25"/>
      <c r="O41" s="25"/>
      <c r="P41" s="25"/>
      <c r="Q41" s="25"/>
      <c r="R41" s="25"/>
      <c r="S41" s="25"/>
      <c r="T41" s="351" t="b" cm="1">
        <f t="array" ref="T41">T40</f>
        <v>0</v>
      </c>
      <c r="U41" s="25"/>
      <c r="V41" s="25"/>
      <c r="W41" s="25"/>
      <c r="X41" s="1046"/>
      <c r="Z41" s="1008"/>
      <c r="AB41" s="7" t="s">
        <v>1964</v>
      </c>
      <c r="AC41" s="541" t="s">
        <v>1965</v>
      </c>
      <c r="AD41" s="7" t="s">
        <v>859</v>
      </c>
      <c r="AE41" s="777"/>
      <c r="AF41" s="777"/>
      <c r="AG41" s="777"/>
      <c r="AH41" s="170">
        <f t="shared" si="2"/>
        <v>0</v>
      </c>
      <c r="AI41" s="777"/>
      <c r="AJ41" s="128"/>
      <c r="AK41" s="540"/>
      <c r="AL41" s="540"/>
      <c r="AM41" s="540"/>
      <c r="AN41" s="540"/>
      <c r="AO41" s="540"/>
      <c r="AP41" s="540"/>
      <c r="AQ41" s="540"/>
      <c r="AR41" s="540"/>
      <c r="AS41" s="540"/>
      <c r="AT41" s="128"/>
      <c r="AU41" s="540"/>
      <c r="AV41" s="540"/>
      <c r="AW41" s="540"/>
      <c r="AX41" s="540"/>
      <c r="AY41" s="540"/>
      <c r="AZ41" s="540"/>
      <c r="BA41" s="540"/>
      <c r="BB41" s="540"/>
      <c r="BC41" s="540"/>
      <c r="BD41" s="170">
        <f t="shared" si="5"/>
        <v>0</v>
      </c>
      <c r="BE41" s="540"/>
      <c r="BF41" s="540"/>
      <c r="BG41" s="540"/>
      <c r="BH41" s="540"/>
      <c r="BI41" s="540"/>
      <c r="BJ41" s="540"/>
      <c r="BK41" s="540"/>
      <c r="BL41" s="540"/>
      <c r="BM41" s="540"/>
      <c r="BN41" s="774"/>
      <c r="BO41" s="774"/>
      <c r="BP41" s="774"/>
      <c r="BS41" s="694" t="s">
        <v>1966</v>
      </c>
    </row>
    <row r="42" spans="2:75" ht="21.95" hidden="1" customHeight="1">
      <c r="C42" s="25"/>
      <c r="D42" s="25"/>
      <c r="E42" s="449">
        <v>22.5</v>
      </c>
      <c r="F42" s="3" cm="1">
        <f t="array" aca="1" ref="F42" ca="1">OFFSET(E42,-1,1)</f>
        <v>0</v>
      </c>
      <c r="G42" s="25"/>
      <c r="H42" s="575"/>
      <c r="I42" s="575" t="s">
        <v>1967</v>
      </c>
      <c r="J42" s="25"/>
      <c r="K42" s="276" t="s">
        <v>1967</v>
      </c>
      <c r="N42" s="25"/>
      <c r="O42" s="25"/>
      <c r="P42" s="25"/>
      <c r="Q42" s="25"/>
      <c r="R42" s="25"/>
      <c r="S42" s="25"/>
      <c r="T42" s="351" t="b" cm="1">
        <f t="array" ref="T42">T41</f>
        <v>0</v>
      </c>
      <c r="U42" s="25"/>
      <c r="V42" s="25"/>
      <c r="W42" s="25"/>
      <c r="X42" s="1046"/>
      <c r="Z42" s="1008"/>
      <c r="AB42" s="7" t="s">
        <v>1968</v>
      </c>
      <c r="AC42" s="542" t="s">
        <v>1969</v>
      </c>
      <c r="AD42" s="7" t="s">
        <v>859</v>
      </c>
      <c r="AE42" s="777"/>
      <c r="AF42" s="777"/>
      <c r="AG42" s="777"/>
      <c r="AH42" s="170">
        <f t="shared" si="2"/>
        <v>0</v>
      </c>
      <c r="AI42" s="777"/>
      <c r="AJ42" s="128"/>
      <c r="AK42" s="540"/>
      <c r="AL42" s="540"/>
      <c r="AM42" s="540"/>
      <c r="AN42" s="540"/>
      <c r="AO42" s="540"/>
      <c r="AP42" s="540"/>
      <c r="AQ42" s="540"/>
      <c r="AR42" s="540"/>
      <c r="AS42" s="540"/>
      <c r="AT42" s="128"/>
      <c r="AU42" s="540"/>
      <c r="AV42" s="540"/>
      <c r="AW42" s="540"/>
      <c r="AX42" s="540"/>
      <c r="AY42" s="540"/>
      <c r="AZ42" s="540"/>
      <c r="BA42" s="540"/>
      <c r="BB42" s="540"/>
      <c r="BC42" s="540"/>
      <c r="BD42" s="170">
        <f t="shared" si="5"/>
        <v>0</v>
      </c>
      <c r="BE42" s="540"/>
      <c r="BF42" s="540"/>
      <c r="BG42" s="540"/>
      <c r="BH42" s="540"/>
      <c r="BI42" s="540"/>
      <c r="BJ42" s="540"/>
      <c r="BK42" s="540"/>
      <c r="BL42" s="540"/>
      <c r="BM42" s="540"/>
      <c r="BN42" s="774"/>
      <c r="BO42" s="774"/>
      <c r="BP42" s="774"/>
      <c r="BS42" s="694" t="s">
        <v>1970</v>
      </c>
    </row>
    <row r="43" spans="2:75" ht="21.95" hidden="1" customHeight="1">
      <c r="C43" s="25"/>
      <c r="D43" s="25"/>
      <c r="E43" s="449">
        <v>22.5</v>
      </c>
      <c r="F43" s="3" cm="1">
        <f t="array" aca="1" ref="F43" ca="1">OFFSET(E43,-1,1)</f>
        <v>0</v>
      </c>
      <c r="G43" s="25"/>
      <c r="H43" s="575"/>
      <c r="I43" s="575" t="s">
        <v>1971</v>
      </c>
      <c r="J43" s="25"/>
      <c r="K43" s="276" t="s">
        <v>1971</v>
      </c>
      <c r="L43" s="25"/>
      <c r="N43" s="25"/>
      <c r="O43" s="25"/>
      <c r="P43" s="25"/>
      <c r="Q43" s="25"/>
      <c r="R43" s="25"/>
      <c r="S43" s="25"/>
      <c r="T43" s="351" t="b" cm="1">
        <f t="array" ref="T43">T42</f>
        <v>0</v>
      </c>
      <c r="U43" s="25"/>
      <c r="V43" s="25"/>
      <c r="W43" s="25"/>
      <c r="X43" s="1046"/>
      <c r="Z43" s="1008"/>
      <c r="AB43" s="7" t="s">
        <v>1972</v>
      </c>
      <c r="AC43" s="542" t="s">
        <v>1973</v>
      </c>
      <c r="AD43" s="7" t="s">
        <v>859</v>
      </c>
      <c r="AE43" s="777"/>
      <c r="AF43" s="777"/>
      <c r="AG43" s="777"/>
      <c r="AH43" s="170">
        <f t="shared" si="2"/>
        <v>0</v>
      </c>
      <c r="AI43" s="777"/>
      <c r="AJ43" s="128"/>
      <c r="AK43" s="540"/>
      <c r="AL43" s="540"/>
      <c r="AM43" s="540"/>
      <c r="AN43" s="540"/>
      <c r="AO43" s="540"/>
      <c r="AP43" s="540"/>
      <c r="AQ43" s="540"/>
      <c r="AR43" s="540"/>
      <c r="AS43" s="540"/>
      <c r="AT43" s="128"/>
      <c r="AU43" s="540"/>
      <c r="AV43" s="540"/>
      <c r="AW43" s="540"/>
      <c r="AX43" s="540"/>
      <c r="AY43" s="540"/>
      <c r="AZ43" s="540"/>
      <c r="BA43" s="540"/>
      <c r="BB43" s="540"/>
      <c r="BC43" s="540"/>
      <c r="BD43" s="170">
        <f t="shared" si="5"/>
        <v>0</v>
      </c>
      <c r="BE43" s="540"/>
      <c r="BF43" s="540"/>
      <c r="BG43" s="540"/>
      <c r="BH43" s="540"/>
      <c r="BI43" s="540"/>
      <c r="BJ43" s="540"/>
      <c r="BK43" s="540"/>
      <c r="BL43" s="540"/>
      <c r="BM43" s="540"/>
      <c r="BN43" s="774"/>
      <c r="BO43" s="774"/>
      <c r="BP43" s="774"/>
      <c r="BS43" s="694" t="s">
        <v>1974</v>
      </c>
    </row>
    <row r="44" spans="2:75" ht="43.9" hidden="1" customHeight="1">
      <c r="C44" s="25"/>
      <c r="D44" s="25"/>
      <c r="E44" s="449">
        <v>45</v>
      </c>
      <c r="F44" s="3" cm="1">
        <f t="array" aca="1" ref="F44" ca="1">OFFSET(E44,-1,1)</f>
        <v>0</v>
      </c>
      <c r="G44" s="25"/>
      <c r="H44" s="575"/>
      <c r="I44" s="575" t="s">
        <v>1975</v>
      </c>
      <c r="J44" s="25"/>
      <c r="K44" s="276" t="s">
        <v>1975</v>
      </c>
      <c r="L44" s="25" t="s">
        <v>1784</v>
      </c>
      <c r="M44" s="25" t="s">
        <v>1796</v>
      </c>
      <c r="N44" s="25"/>
      <c r="O44" s="25"/>
      <c r="P44" s="25"/>
      <c r="Q44" s="25"/>
      <c r="R44" s="25"/>
      <c r="S44" s="25"/>
      <c r="T44" s="351" t="b" cm="1">
        <f t="array" ref="T44">T43</f>
        <v>0</v>
      </c>
      <c r="U44" s="25"/>
      <c r="V44" s="25"/>
      <c r="W44" s="25"/>
      <c r="X44" s="1046"/>
      <c r="Z44" s="1008"/>
      <c r="AB44" s="7" t="s">
        <v>1976</v>
      </c>
      <c r="AC44" s="541" t="s">
        <v>1977</v>
      </c>
      <c r="AD44" s="7" t="s">
        <v>859</v>
      </c>
      <c r="AE44" s="777"/>
      <c r="AF44" s="777"/>
      <c r="AG44" s="777"/>
      <c r="AH44" s="170">
        <f t="shared" si="2"/>
        <v>0</v>
      </c>
      <c r="AI44" s="777"/>
      <c r="AJ44" s="128"/>
      <c r="AK44" s="540"/>
      <c r="AL44" s="540"/>
      <c r="AM44" s="540"/>
      <c r="AN44" s="540"/>
      <c r="AO44" s="540"/>
      <c r="AP44" s="540"/>
      <c r="AQ44" s="540"/>
      <c r="AR44" s="540"/>
      <c r="AS44" s="540"/>
      <c r="AT44" s="128"/>
      <c r="AU44" s="540"/>
      <c r="AV44" s="540"/>
      <c r="AW44" s="540"/>
      <c r="AX44" s="540"/>
      <c r="AY44" s="540"/>
      <c r="AZ44" s="540"/>
      <c r="BA44" s="540"/>
      <c r="BB44" s="540"/>
      <c r="BC44" s="540"/>
      <c r="BD44" s="170">
        <f t="shared" si="5"/>
        <v>0</v>
      </c>
      <c r="BE44" s="540"/>
      <c r="BF44" s="540"/>
      <c r="BG44" s="540"/>
      <c r="BH44" s="540"/>
      <c r="BI44" s="540"/>
      <c r="BJ44" s="540"/>
      <c r="BK44" s="540"/>
      <c r="BL44" s="540"/>
      <c r="BM44" s="540"/>
      <c r="BN44" s="774"/>
      <c r="BO44" s="774"/>
      <c r="BP44" s="774"/>
      <c r="BS44" s="694" t="s">
        <v>1799</v>
      </c>
    </row>
    <row r="45" spans="2:75" ht="14.65" hidden="1" customHeight="1">
      <c r="C45" s="25"/>
      <c r="D45" s="25"/>
      <c r="E45" s="449">
        <v>15</v>
      </c>
      <c r="F45" s="3" cm="1">
        <f t="array" aca="1" ref="F45" ca="1">OFFSET(E45,-1,1)</f>
        <v>0</v>
      </c>
      <c r="G45" s="25"/>
      <c r="H45" s="575"/>
      <c r="I45" s="575" t="s">
        <v>1978</v>
      </c>
      <c r="J45" s="25"/>
      <c r="K45" s="276" t="s">
        <v>1978</v>
      </c>
      <c r="L45" s="25" t="s">
        <v>1784</v>
      </c>
      <c r="M45" s="25" t="s">
        <v>1800</v>
      </c>
      <c r="N45" s="25"/>
      <c r="O45" s="25"/>
      <c r="P45" s="25"/>
      <c r="Q45" s="25"/>
      <c r="R45" s="25"/>
      <c r="S45" s="25"/>
      <c r="T45" s="351" t="b" cm="1">
        <f t="array" ref="T45">T44</f>
        <v>0</v>
      </c>
      <c r="U45" s="25"/>
      <c r="V45" s="25"/>
      <c r="W45" s="25"/>
      <c r="X45" s="1046"/>
      <c r="Z45" s="1008"/>
      <c r="AB45" s="7" t="s">
        <v>1979</v>
      </c>
      <c r="AC45" s="541" t="s">
        <v>1802</v>
      </c>
      <c r="AD45" s="7" t="s">
        <v>859</v>
      </c>
      <c r="AE45" s="777"/>
      <c r="AF45" s="777"/>
      <c r="AG45" s="777"/>
      <c r="AH45" s="170">
        <f t="shared" si="2"/>
        <v>0</v>
      </c>
      <c r="AI45" s="777"/>
      <c r="AJ45" s="128"/>
      <c r="AK45" s="540"/>
      <c r="AL45" s="540"/>
      <c r="AM45" s="540"/>
      <c r="AN45" s="540"/>
      <c r="AO45" s="540"/>
      <c r="AP45" s="540"/>
      <c r="AQ45" s="540"/>
      <c r="AR45" s="540"/>
      <c r="AS45" s="540"/>
      <c r="AT45" s="128"/>
      <c r="AU45" s="540"/>
      <c r="AV45" s="540"/>
      <c r="AW45" s="540"/>
      <c r="AX45" s="540"/>
      <c r="AY45" s="540"/>
      <c r="AZ45" s="540"/>
      <c r="BA45" s="540"/>
      <c r="BB45" s="540"/>
      <c r="BC45" s="540"/>
      <c r="BD45" s="170">
        <f t="shared" si="5"/>
        <v>0</v>
      </c>
      <c r="BE45" s="540"/>
      <c r="BF45" s="540"/>
      <c r="BG45" s="540"/>
      <c r="BH45" s="540"/>
      <c r="BI45" s="540"/>
      <c r="BJ45" s="540"/>
      <c r="BK45" s="540"/>
      <c r="BL45" s="540"/>
      <c r="BM45" s="540"/>
      <c r="BN45" s="774"/>
      <c r="BO45" s="774"/>
      <c r="BP45" s="774"/>
      <c r="BS45" s="694" t="s">
        <v>1803</v>
      </c>
    </row>
    <row r="46" spans="2:75" ht="14.65" hidden="1" customHeight="1">
      <c r="C46" s="25"/>
      <c r="D46" s="25"/>
      <c r="E46" s="449">
        <v>15</v>
      </c>
      <c r="F46" s="3" cm="1">
        <f t="array" aca="1" ref="F46" ca="1">OFFSET(E46,-1,1)</f>
        <v>0</v>
      </c>
      <c r="G46" s="25"/>
      <c r="H46" s="575"/>
      <c r="I46" s="575" t="s">
        <v>1980</v>
      </c>
      <c r="J46" s="25"/>
      <c r="K46" s="276" t="s">
        <v>1980</v>
      </c>
      <c r="L46" s="25"/>
      <c r="M46" s="25"/>
      <c r="N46" s="25"/>
      <c r="O46" s="25"/>
      <c r="P46" s="25"/>
      <c r="Q46" s="25"/>
      <c r="R46" s="25"/>
      <c r="S46" s="25"/>
      <c r="T46" s="351" t="b" cm="1">
        <f t="array" ref="T46">T45</f>
        <v>0</v>
      </c>
      <c r="U46" s="25"/>
      <c r="V46" s="25"/>
      <c r="W46" s="25"/>
      <c r="X46" s="1046"/>
      <c r="Z46" s="1008"/>
      <c r="AB46" s="7" t="s">
        <v>1981</v>
      </c>
      <c r="AC46" s="541" t="s">
        <v>1982</v>
      </c>
      <c r="AD46" s="7" t="s">
        <v>859</v>
      </c>
      <c r="AE46" s="777"/>
      <c r="AF46" s="777"/>
      <c r="AG46" s="777"/>
      <c r="AH46" s="170">
        <f t="shared" si="2"/>
        <v>0</v>
      </c>
      <c r="AI46" s="777"/>
      <c r="AJ46" s="128"/>
      <c r="AK46" s="540"/>
      <c r="AL46" s="540"/>
      <c r="AM46" s="540"/>
      <c r="AN46" s="540"/>
      <c r="AO46" s="540"/>
      <c r="AP46" s="540"/>
      <c r="AQ46" s="540"/>
      <c r="AR46" s="540"/>
      <c r="AS46" s="540"/>
      <c r="AT46" s="128"/>
      <c r="AU46" s="540"/>
      <c r="AV46" s="540"/>
      <c r="AW46" s="540"/>
      <c r="AX46" s="540"/>
      <c r="AY46" s="540"/>
      <c r="AZ46" s="540"/>
      <c r="BA46" s="540"/>
      <c r="BB46" s="540"/>
      <c r="BC46" s="540"/>
      <c r="BD46" s="170">
        <f t="shared" si="5"/>
        <v>0</v>
      </c>
      <c r="BE46" s="540"/>
      <c r="BF46" s="540"/>
      <c r="BG46" s="540"/>
      <c r="BH46" s="540"/>
      <c r="BI46" s="540"/>
      <c r="BJ46" s="540"/>
      <c r="BK46" s="540"/>
      <c r="BL46" s="540"/>
      <c r="BM46" s="540"/>
      <c r="BN46" s="774"/>
      <c r="BO46" s="774"/>
      <c r="BP46" s="774"/>
      <c r="BS46" s="694" t="s">
        <v>1787</v>
      </c>
    </row>
    <row r="47" spans="2:75" s="76" customFormat="1" ht="20.45" hidden="1" customHeight="1">
      <c r="B47" s="331"/>
      <c r="C47" s="27"/>
      <c r="D47" s="27"/>
      <c r="E47" s="557">
        <v>21</v>
      </c>
      <c r="F47" s="3" cm="1">
        <f t="array" aca="1" ref="F47" ca="1">OFFSET(E47,-1,1)</f>
        <v>0</v>
      </c>
      <c r="G47" s="27"/>
      <c r="H47" s="575"/>
      <c r="I47" s="575" t="s">
        <v>514</v>
      </c>
      <c r="J47" s="27"/>
      <c r="K47" s="276" t="s">
        <v>514</v>
      </c>
      <c r="L47" s="27"/>
      <c r="M47" s="27"/>
      <c r="N47" s="27"/>
      <c r="O47" s="27"/>
      <c r="P47" s="27"/>
      <c r="Q47" s="27"/>
      <c r="R47" s="27"/>
      <c r="S47" s="27"/>
      <c r="T47" s="351" t="b" cm="1">
        <f t="array" ref="T47">T46</f>
        <v>0</v>
      </c>
      <c r="U47" s="27"/>
      <c r="V47" s="27"/>
      <c r="W47" s="27"/>
      <c r="X47" s="1046"/>
      <c r="Z47" s="1008"/>
      <c r="AB47" s="124" t="s">
        <v>942</v>
      </c>
      <c r="AC47" s="262" t="s">
        <v>1807</v>
      </c>
      <c r="AD47" s="124" t="s">
        <v>859</v>
      </c>
      <c r="AE47" s="126">
        <f ca="1">AE48+AE49+AE50</f>
        <v>0</v>
      </c>
      <c r="AF47" s="126">
        <f ca="1">AF48+AF49+AF50</f>
        <v>0</v>
      </c>
      <c r="AG47" s="126">
        <f ca="1">AG48+AG49+AG50</f>
        <v>0</v>
      </c>
      <c r="AH47" s="126">
        <f t="shared" ca="1" si="2"/>
        <v>0</v>
      </c>
      <c r="AI47" s="126">
        <f ca="1">AI48+AI49+AI50</f>
        <v>0</v>
      </c>
      <c r="AJ47" s="126">
        <f ca="1">AJ48+AJ49+AJ50</f>
        <v>0</v>
      </c>
      <c r="AK47" s="129"/>
      <c r="AL47" s="129"/>
      <c r="AM47" s="129"/>
      <c r="AN47" s="129"/>
      <c r="AO47" s="129"/>
      <c r="AP47" s="129"/>
      <c r="AQ47" s="129"/>
      <c r="AR47" s="129"/>
      <c r="AS47" s="129"/>
      <c r="AT47" s="126">
        <f ca="1">AT48+AT49+AT50</f>
        <v>0</v>
      </c>
      <c r="AU47" s="129"/>
      <c r="AV47" s="129"/>
      <c r="AW47" s="129"/>
      <c r="AX47" s="129"/>
      <c r="AY47" s="129"/>
      <c r="AZ47" s="129"/>
      <c r="BA47" s="129"/>
      <c r="BB47" s="129"/>
      <c r="BC47" s="129"/>
      <c r="BD47" s="126">
        <f t="shared" ca="1" si="5"/>
        <v>0</v>
      </c>
      <c r="BE47" s="129"/>
      <c r="BF47" s="129"/>
      <c r="BG47" s="129"/>
      <c r="BH47" s="129"/>
      <c r="BI47" s="129"/>
      <c r="BJ47" s="129"/>
      <c r="BK47" s="129"/>
      <c r="BL47" s="129"/>
      <c r="BM47" s="129"/>
      <c r="BN47" s="776"/>
      <c r="BO47" s="776"/>
      <c r="BP47" s="776"/>
      <c r="BS47" s="693" t="s">
        <v>1808</v>
      </c>
      <c r="BT47" s="700"/>
      <c r="BU47" s="700"/>
      <c r="BV47" s="509"/>
      <c r="BW47" s="509"/>
    </row>
    <row r="48" spans="2:75" ht="21.95" hidden="1" customHeight="1">
      <c r="C48" s="25"/>
      <c r="D48" s="25"/>
      <c r="E48" s="449">
        <v>22.5</v>
      </c>
      <c r="F48" s="3" cm="1">
        <f t="array" aca="1" ref="F48" ca="1">OFFSET(E48,-1,1)</f>
        <v>0</v>
      </c>
      <c r="G48" s="25"/>
      <c r="H48" s="575"/>
      <c r="I48" s="575" t="s">
        <v>1391</v>
      </c>
      <c r="J48" s="25"/>
      <c r="K48" s="276" t="s">
        <v>1391</v>
      </c>
      <c r="L48" s="25"/>
      <c r="M48" s="25"/>
      <c r="N48" s="25"/>
      <c r="O48" s="25"/>
      <c r="P48" s="25"/>
      <c r="Q48" s="25"/>
      <c r="R48" s="25"/>
      <c r="S48" s="25"/>
      <c r="T48" s="351" t="b" cm="1">
        <f t="array" ref="T48">T47</f>
        <v>0</v>
      </c>
      <c r="U48" s="25"/>
      <c r="V48" s="25"/>
      <c r="W48" s="25"/>
      <c r="X48" s="1046"/>
      <c r="Z48" s="1008"/>
      <c r="AB48" s="7" t="s">
        <v>1392</v>
      </c>
      <c r="AC48" s="134" t="s">
        <v>1983</v>
      </c>
      <c r="AD48" s="7" t="s">
        <v>859</v>
      </c>
      <c r="AE48" s="777"/>
      <c r="AF48" s="777"/>
      <c r="AG48" s="777"/>
      <c r="AH48" s="170">
        <f t="shared" si="2"/>
        <v>0</v>
      </c>
      <c r="AI48" s="777"/>
      <c r="AJ48" s="128"/>
      <c r="AK48" s="540"/>
      <c r="AL48" s="540"/>
      <c r="AM48" s="540"/>
      <c r="AN48" s="540"/>
      <c r="AO48" s="540"/>
      <c r="AP48" s="540"/>
      <c r="AQ48" s="540"/>
      <c r="AR48" s="540"/>
      <c r="AS48" s="540"/>
      <c r="AT48" s="128"/>
      <c r="AU48" s="540"/>
      <c r="AV48" s="540"/>
      <c r="AW48" s="540"/>
      <c r="AX48" s="540"/>
      <c r="AY48" s="540"/>
      <c r="AZ48" s="540"/>
      <c r="BA48" s="540"/>
      <c r="BB48" s="540"/>
      <c r="BC48" s="540"/>
      <c r="BD48" s="170">
        <f t="shared" si="5"/>
        <v>0</v>
      </c>
      <c r="BE48" s="540"/>
      <c r="BF48" s="540"/>
      <c r="BG48" s="540"/>
      <c r="BH48" s="540"/>
      <c r="BI48" s="540"/>
      <c r="BJ48" s="540"/>
      <c r="BK48" s="540"/>
      <c r="BL48" s="540"/>
      <c r="BM48" s="540"/>
      <c r="BN48" s="774"/>
      <c r="BO48" s="774"/>
      <c r="BP48" s="774"/>
      <c r="BS48" s="692" t="s">
        <v>1810</v>
      </c>
    </row>
    <row r="49" spans="2:75" ht="21.95" hidden="1" customHeight="1">
      <c r="C49" s="25"/>
      <c r="D49" s="25"/>
      <c r="E49" s="449">
        <v>22.5</v>
      </c>
      <c r="F49" s="3" cm="1">
        <f t="array" aca="1" ref="F49" ca="1">OFFSET(E49,-1,1)</f>
        <v>0</v>
      </c>
      <c r="G49" s="25"/>
      <c r="H49" s="575"/>
      <c r="I49" s="575" t="s">
        <v>1395</v>
      </c>
      <c r="J49" s="25"/>
      <c r="K49" s="276" t="s">
        <v>1395</v>
      </c>
      <c r="L49" s="25"/>
      <c r="M49" s="25"/>
      <c r="N49" s="25"/>
      <c r="O49" s="25"/>
      <c r="P49" s="25"/>
      <c r="Q49" s="25"/>
      <c r="R49" s="25"/>
      <c r="S49" s="25"/>
      <c r="T49" s="351" t="b" cm="1">
        <f t="array" ref="T49">T48</f>
        <v>0</v>
      </c>
      <c r="U49" s="25"/>
      <c r="V49" s="25"/>
      <c r="W49" s="25"/>
      <c r="X49" s="1046"/>
      <c r="Z49" s="1008"/>
      <c r="AB49" s="7" t="s">
        <v>1396</v>
      </c>
      <c r="AC49" s="134" t="s">
        <v>1984</v>
      </c>
      <c r="AD49" s="7" t="s">
        <v>859</v>
      </c>
      <c r="AE49" s="777"/>
      <c r="AF49" s="777"/>
      <c r="AG49" s="777"/>
      <c r="AH49" s="170">
        <f t="shared" si="2"/>
        <v>0</v>
      </c>
      <c r="AI49" s="777"/>
      <c r="AJ49" s="128"/>
      <c r="AK49" s="540"/>
      <c r="AL49" s="540"/>
      <c r="AM49" s="540"/>
      <c r="AN49" s="540"/>
      <c r="AO49" s="540"/>
      <c r="AP49" s="540"/>
      <c r="AQ49" s="540"/>
      <c r="AR49" s="540"/>
      <c r="AS49" s="540"/>
      <c r="AT49" s="128"/>
      <c r="AU49" s="540"/>
      <c r="AV49" s="540"/>
      <c r="AW49" s="540"/>
      <c r="AX49" s="540"/>
      <c r="AY49" s="540"/>
      <c r="AZ49" s="540"/>
      <c r="BA49" s="540"/>
      <c r="BB49" s="540"/>
      <c r="BC49" s="540"/>
      <c r="BD49" s="170">
        <f t="shared" si="5"/>
        <v>0</v>
      </c>
      <c r="BE49" s="540"/>
      <c r="BF49" s="540"/>
      <c r="BG49" s="540"/>
      <c r="BH49" s="540"/>
      <c r="BI49" s="540"/>
      <c r="BJ49" s="540"/>
      <c r="BK49" s="540"/>
      <c r="BL49" s="540"/>
      <c r="BM49" s="540"/>
      <c r="BN49" s="774"/>
      <c r="BO49" s="774"/>
      <c r="BP49" s="774"/>
      <c r="BS49" s="694" t="s">
        <v>1985</v>
      </c>
    </row>
    <row r="50" spans="2:75" ht="21.95" hidden="1" customHeight="1">
      <c r="C50" s="25"/>
      <c r="D50" s="25"/>
      <c r="E50" s="449">
        <v>22.5</v>
      </c>
      <c r="F50" s="3" cm="1">
        <f t="array" aca="1" ref="F50" ca="1">OFFSET(E50,-1,1)</f>
        <v>0</v>
      </c>
      <c r="G50" s="25"/>
      <c r="H50" s="575"/>
      <c r="I50" s="575" t="s">
        <v>1399</v>
      </c>
      <c r="J50" s="25"/>
      <c r="K50" s="276" t="s">
        <v>1399</v>
      </c>
      <c r="L50" s="25" t="s">
        <v>528</v>
      </c>
      <c r="M50" s="25"/>
      <c r="N50" s="25"/>
      <c r="O50" s="25"/>
      <c r="P50" s="25"/>
      <c r="Q50" s="25"/>
      <c r="R50" s="25"/>
      <c r="S50" s="25"/>
      <c r="T50" s="351" t="b" cm="1">
        <f t="array" ref="T50">T49</f>
        <v>0</v>
      </c>
      <c r="U50" s="25"/>
      <c r="V50" s="25"/>
      <c r="W50" s="25"/>
      <c r="X50" s="1046"/>
      <c r="Z50" s="1008"/>
      <c r="AB50" s="7" t="s">
        <v>1400</v>
      </c>
      <c r="AC50" s="134" t="s">
        <v>1986</v>
      </c>
      <c r="AD50" s="7" t="s">
        <v>859</v>
      </c>
      <c r="AE50" s="170">
        <f ca="1">AE51+AE52</f>
        <v>0</v>
      </c>
      <c r="AF50" s="170">
        <f ca="1">AF51+AF52</f>
        <v>0</v>
      </c>
      <c r="AG50" s="170">
        <f ca="1">AG51+AG52</f>
        <v>0</v>
      </c>
      <c r="AH50" s="170">
        <f t="shared" ca="1" si="2"/>
        <v>0</v>
      </c>
      <c r="AI50" s="170">
        <f ca="1">AI51+AI52</f>
        <v>0</v>
      </c>
      <c r="AJ50" s="170">
        <f ca="1">AJ51+AJ52</f>
        <v>0</v>
      </c>
      <c r="AK50" s="540"/>
      <c r="AL50" s="540"/>
      <c r="AM50" s="540"/>
      <c r="AN50" s="540"/>
      <c r="AO50" s="540"/>
      <c r="AP50" s="540"/>
      <c r="AQ50" s="540"/>
      <c r="AR50" s="540"/>
      <c r="AS50" s="540"/>
      <c r="AT50" s="170">
        <f ca="1">AT51+AT52</f>
        <v>0</v>
      </c>
      <c r="AU50" s="540"/>
      <c r="AV50" s="540"/>
      <c r="AW50" s="540"/>
      <c r="AX50" s="540"/>
      <c r="AY50" s="540"/>
      <c r="AZ50" s="540"/>
      <c r="BA50" s="540"/>
      <c r="BB50" s="540"/>
      <c r="BC50" s="540"/>
      <c r="BD50" s="170">
        <f t="shared" ca="1" si="5"/>
        <v>0</v>
      </c>
      <c r="BE50" s="540"/>
      <c r="BF50" s="540"/>
      <c r="BG50" s="540"/>
      <c r="BH50" s="540"/>
      <c r="BI50" s="540"/>
      <c r="BJ50" s="540"/>
      <c r="BK50" s="540"/>
      <c r="BL50" s="540"/>
      <c r="BM50" s="540"/>
      <c r="BN50" s="774"/>
      <c r="BO50" s="774"/>
      <c r="BP50" s="774"/>
      <c r="BS50" s="692" t="s">
        <v>1812</v>
      </c>
    </row>
    <row r="51" spans="2:75" ht="14.65" hidden="1" customHeight="1">
      <c r="C51" s="25"/>
      <c r="D51" s="25"/>
      <c r="E51" s="449">
        <v>15</v>
      </c>
      <c r="F51" s="3" cm="1">
        <f t="array" aca="1" ref="F51" ca="1">OFFSET(E51,-1,1)</f>
        <v>0</v>
      </c>
      <c r="G51" s="569" t="s">
        <v>1150</v>
      </c>
      <c r="H51" s="575"/>
      <c r="I51" s="575" t="s">
        <v>1987</v>
      </c>
      <c r="J51" s="25"/>
      <c r="K51" s="276" t="s">
        <v>1987</v>
      </c>
      <c r="L51" s="25" t="s">
        <v>1813</v>
      </c>
      <c r="M51" s="25"/>
      <c r="N51" s="25"/>
      <c r="O51" s="25"/>
      <c r="P51" s="25"/>
      <c r="Q51" s="25"/>
      <c r="R51" s="25"/>
      <c r="S51" s="25"/>
      <c r="T51" s="351" t="b" cm="1">
        <f t="array" ref="T51">T50</f>
        <v>0</v>
      </c>
      <c r="U51" s="25"/>
      <c r="V51" s="25"/>
      <c r="W51" s="25"/>
      <c r="X51" s="1046"/>
      <c r="Z51" s="1008"/>
      <c r="AB51" s="7" t="s">
        <v>1988</v>
      </c>
      <c r="AC51" s="541" t="s">
        <v>1814</v>
      </c>
      <c r="AD51" s="7" t="s">
        <v>859</v>
      </c>
      <c r="AE51" s="170">
        <f ca="1">SUMIFS(ФОТ!AE$25:AE$89,ФОТ!$F$25:$F$89,$F51,ФОТ!$G$25:$G$89,$G51)</f>
        <v>0</v>
      </c>
      <c r="AF51" s="170">
        <f ca="1">SUMIFS(ФОТ!AF$25:AF$89,ФОТ!$F$25:$F$89,$F51,ФОТ!$G$25:$G$89,$G51)</f>
        <v>0</v>
      </c>
      <c r="AG51" s="170">
        <f ca="1">SUMIFS(ФОТ!AG$25:AG$89,ФОТ!$F$25:$F$89,$F51,ФОТ!$G$25:$G$89,$G51)</f>
        <v>0</v>
      </c>
      <c r="AH51" s="170">
        <f t="shared" ca="1" si="2"/>
        <v>0</v>
      </c>
      <c r="AI51" s="170">
        <f ca="1">SUMIFS(ФОТ!AH$25:AH$89,ФОТ!$F$25:$F$89,$F51,ФОТ!$G$25:$G$89,$G51)</f>
        <v>0</v>
      </c>
      <c r="AJ51" s="170">
        <f ca="1">SUMIFS(ФОТ!AI$25:AI$89,ФОТ!$F$25:$F$89,$F51,ФОТ!$G$25:$G$89,$G51)</f>
        <v>0</v>
      </c>
      <c r="AK51" s="540"/>
      <c r="AL51" s="540"/>
      <c r="AM51" s="540"/>
      <c r="AN51" s="540"/>
      <c r="AO51" s="540"/>
      <c r="AP51" s="540"/>
      <c r="AQ51" s="540"/>
      <c r="AR51" s="540"/>
      <c r="AS51" s="540"/>
      <c r="AT51" s="170">
        <f ca="1">SUMIFS(ФОТ!AJ$25:AJ$89,ФОТ!$F$25:$F$89,$F51,ФОТ!$G$25:$G$89,$G51)</f>
        <v>0</v>
      </c>
      <c r="AU51" s="540"/>
      <c r="AV51" s="540"/>
      <c r="AW51" s="540"/>
      <c r="AX51" s="540"/>
      <c r="AY51" s="540"/>
      <c r="AZ51" s="540"/>
      <c r="BA51" s="540"/>
      <c r="BB51" s="540"/>
      <c r="BC51" s="540"/>
      <c r="BD51" s="170">
        <f t="shared" ca="1" si="5"/>
        <v>0</v>
      </c>
      <c r="BE51" s="540"/>
      <c r="BF51" s="540"/>
      <c r="BG51" s="540"/>
      <c r="BH51" s="540"/>
      <c r="BI51" s="540"/>
      <c r="BJ51" s="540"/>
      <c r="BK51" s="540"/>
      <c r="BL51" s="540"/>
      <c r="BM51" s="540"/>
      <c r="BN51" s="774"/>
      <c r="BO51" s="778" t="str">
        <f ca="1">IF(IFERROR(INDEX(ФОТ!$K$26:$L$89,MATCH($F51&amp;"3komm",ФОТ!$K$26:$K$89,0),2),"")=0,"",IFERROR(INDEX(ФОТ!$K$26:$L$89,MATCH($F51&amp;"3komm",ФОТ!$K$26:$K$89,0),2),""))</f>
        <v/>
      </c>
      <c r="BP51" s="774"/>
      <c r="BS51" s="692" t="s">
        <v>1815</v>
      </c>
    </row>
    <row r="52" spans="2:75" ht="21.95" hidden="1" customHeight="1">
      <c r="C52" s="25"/>
      <c r="D52" s="25"/>
      <c r="E52" s="449">
        <v>22.5</v>
      </c>
      <c r="F52" s="3" cm="1">
        <f t="array" aca="1" ref="F52" ca="1">OFFSET(E52,-1,1)</f>
        <v>0</v>
      </c>
      <c r="G52" s="569" t="s">
        <v>1155</v>
      </c>
      <c r="H52" s="575"/>
      <c r="I52" s="575" t="s">
        <v>1989</v>
      </c>
      <c r="J52" s="25"/>
      <c r="K52" s="276" t="s">
        <v>1989</v>
      </c>
      <c r="L52" s="25" t="s">
        <v>1816</v>
      </c>
      <c r="M52" s="25"/>
      <c r="N52" s="25"/>
      <c r="O52" s="25"/>
      <c r="P52" s="25"/>
      <c r="Q52" s="25"/>
      <c r="R52" s="25"/>
      <c r="S52" s="25"/>
      <c r="T52" s="351" t="b" cm="1">
        <f t="array" ref="T52">T51</f>
        <v>0</v>
      </c>
      <c r="U52" s="25"/>
      <c r="V52" s="25"/>
      <c r="W52" s="25"/>
      <c r="X52" s="1046"/>
      <c r="Z52" s="1008"/>
      <c r="AB52" s="7" t="s">
        <v>1990</v>
      </c>
      <c r="AC52" s="541" t="s">
        <v>1991</v>
      </c>
      <c r="AD52" s="7" t="s">
        <v>859</v>
      </c>
      <c r="AE52" s="170">
        <f ca="1">SUMIFS(ФОТ!AE$25:AE$89,ФОТ!$F$25:$F$89,$F52,ФОТ!$G$25:$G$89,$G52)</f>
        <v>0</v>
      </c>
      <c r="AF52" s="170">
        <f ca="1">SUMIFS(ФОТ!AF$25:AF$89,ФОТ!$F$25:$F$89,$F52,ФОТ!$G$25:$G$89,$G52)</f>
        <v>0</v>
      </c>
      <c r="AG52" s="170">
        <f ca="1">SUMIFS(ФОТ!AG$25:AG$89,ФОТ!$F$25:$F$89,$F52,ФОТ!$G$25:$G$89,$G52)</f>
        <v>0</v>
      </c>
      <c r="AH52" s="170">
        <f t="shared" ca="1" si="2"/>
        <v>0</v>
      </c>
      <c r="AI52" s="170">
        <f ca="1">SUMIFS(ФОТ!AH$25:AH$89,ФОТ!$F$25:$F$89,$F52,ФОТ!$G$25:$G$89,$G52)</f>
        <v>0</v>
      </c>
      <c r="AJ52" s="170">
        <f ca="1">SUMIFS(ФОТ!AI$25:AI$89,ФОТ!$F$25:$F$89,$F52,ФОТ!$G$25:$G$89,$G52)</f>
        <v>0</v>
      </c>
      <c r="AK52" s="540"/>
      <c r="AL52" s="540"/>
      <c r="AM52" s="540"/>
      <c r="AN52" s="540"/>
      <c r="AO52" s="540"/>
      <c r="AP52" s="540"/>
      <c r="AQ52" s="540"/>
      <c r="AR52" s="540"/>
      <c r="AS52" s="540"/>
      <c r="AT52" s="170">
        <f ca="1">SUMIFS(ФОТ!AJ$25:AJ$89,ФОТ!$F$25:$F$89,$F52,ФОТ!$G$25:$G$89,$G52)</f>
        <v>0</v>
      </c>
      <c r="AU52" s="540"/>
      <c r="AV52" s="540"/>
      <c r="AW52" s="540"/>
      <c r="AX52" s="540"/>
      <c r="AY52" s="540"/>
      <c r="AZ52" s="540"/>
      <c r="BA52" s="540"/>
      <c r="BB52" s="540"/>
      <c r="BC52" s="540"/>
      <c r="BD52" s="170">
        <f t="shared" ca="1" si="5"/>
        <v>0</v>
      </c>
      <c r="BE52" s="540"/>
      <c r="BF52" s="540"/>
      <c r="BG52" s="540"/>
      <c r="BH52" s="540"/>
      <c r="BI52" s="540"/>
      <c r="BJ52" s="540"/>
      <c r="BK52" s="540"/>
      <c r="BL52" s="540"/>
      <c r="BM52" s="540"/>
      <c r="BN52" s="774"/>
      <c r="BO52" s="778" t="str">
        <f ca="1">IF(IFERROR(INDEX(ФОТ!$K$26:$L$89,MATCH($F52&amp;"4komm",ФОТ!$K$26:$K$89,0),2),"")=0,"",IFERROR(INDEX(ФОТ!$K$26:$L$89,MATCH($F52&amp;"4komm",ФОТ!$K$26:$K$89,0),2),""))</f>
        <v/>
      </c>
      <c r="BP52" s="774"/>
      <c r="BS52" s="692" t="s">
        <v>1818</v>
      </c>
    </row>
    <row r="53" spans="2:75" s="76" customFormat="1" ht="20.45" hidden="1" customHeight="1">
      <c r="B53" s="331"/>
      <c r="C53" s="27"/>
      <c r="D53" s="27"/>
      <c r="E53" s="557">
        <v>21</v>
      </c>
      <c r="F53" s="3" cm="1">
        <f t="array" aca="1" ref="F53" ca="1">OFFSET(E53,-1,1)</f>
        <v>0</v>
      </c>
      <c r="G53" s="27"/>
      <c r="H53" s="575"/>
      <c r="I53" s="575" t="s">
        <v>518</v>
      </c>
      <c r="J53" s="27"/>
      <c r="K53" s="276" t="s">
        <v>518</v>
      </c>
      <c r="L53" s="27" t="s">
        <v>323</v>
      </c>
      <c r="M53" s="27"/>
      <c r="N53" s="27"/>
      <c r="O53" s="27"/>
      <c r="P53" s="27"/>
      <c r="Q53" s="27"/>
      <c r="R53" s="27"/>
      <c r="S53" s="27"/>
      <c r="T53" s="351" t="b" cm="1">
        <f t="array" ref="T53">T52</f>
        <v>0</v>
      </c>
      <c r="U53" s="27"/>
      <c r="V53" s="27"/>
      <c r="W53" s="27"/>
      <c r="X53" s="1046"/>
      <c r="Z53" s="1008"/>
      <c r="AB53" s="124" t="s">
        <v>945</v>
      </c>
      <c r="AC53" s="262" t="s">
        <v>1992</v>
      </c>
      <c r="AD53" s="124" t="s">
        <v>859</v>
      </c>
      <c r="AE53" s="126">
        <f ca="1">AE54+AE62+AE65+AE66+AE67+AE68+AE69</f>
        <v>0</v>
      </c>
      <c r="AF53" s="126">
        <f ca="1">AF54+AF62+AF65+AF66+AF67+AF68+AF69</f>
        <v>0</v>
      </c>
      <c r="AG53" s="126">
        <f ca="1">AG54+AG62+AG65+AG66+AG67+AG68+AG69</f>
        <v>0</v>
      </c>
      <c r="AH53" s="126">
        <f t="shared" ca="1" si="2"/>
        <v>0</v>
      </c>
      <c r="AI53" s="126">
        <f ca="1">AI54+AI62+AI65+AI66+AI67+AI68+AI69</f>
        <v>0</v>
      </c>
      <c r="AJ53" s="126">
        <f ca="1">AJ54+AJ62+AJ65+AJ66+AJ67+AJ68+AJ69</f>
        <v>0</v>
      </c>
      <c r="AK53" s="129"/>
      <c r="AL53" s="129"/>
      <c r="AM53" s="129"/>
      <c r="AN53" s="129"/>
      <c r="AO53" s="129"/>
      <c r="AP53" s="129"/>
      <c r="AQ53" s="129"/>
      <c r="AR53" s="129"/>
      <c r="AS53" s="129"/>
      <c r="AT53" s="126">
        <f ca="1">AT54+AT62+AT65+AT66+AT67+AT68+AT69</f>
        <v>0</v>
      </c>
      <c r="AU53" s="129"/>
      <c r="AV53" s="129"/>
      <c r="AW53" s="129"/>
      <c r="AX53" s="129"/>
      <c r="AY53" s="129"/>
      <c r="AZ53" s="129"/>
      <c r="BA53" s="129"/>
      <c r="BB53" s="129"/>
      <c r="BC53" s="129"/>
      <c r="BD53" s="126">
        <f t="shared" ca="1" si="5"/>
        <v>0</v>
      </c>
      <c r="BE53" s="129"/>
      <c r="BF53" s="129"/>
      <c r="BG53" s="129"/>
      <c r="BH53" s="129"/>
      <c r="BI53" s="129"/>
      <c r="BJ53" s="129"/>
      <c r="BK53" s="129"/>
      <c r="BL53" s="129"/>
      <c r="BM53" s="129"/>
      <c r="BN53" s="776"/>
      <c r="BO53" s="776"/>
      <c r="BP53" s="776"/>
      <c r="BS53" s="693" t="s">
        <v>1820</v>
      </c>
      <c r="BT53" s="700"/>
      <c r="BU53" s="700"/>
      <c r="BV53" s="509"/>
      <c r="BW53" s="509"/>
    </row>
    <row r="54" spans="2:75" ht="21.95" hidden="1" customHeight="1">
      <c r="C54" s="25"/>
      <c r="D54" s="25"/>
      <c r="E54" s="449">
        <v>22.5</v>
      </c>
      <c r="F54" s="3" cm="1">
        <f t="array" aca="1" ref="F54" ca="1">OFFSET(E54,-1,1)</f>
        <v>0</v>
      </c>
      <c r="G54" s="25" t="s">
        <v>1198</v>
      </c>
      <c r="H54" s="575"/>
      <c r="I54" s="575" t="s">
        <v>1405</v>
      </c>
      <c r="J54" s="25"/>
      <c r="K54" s="276" t="s">
        <v>1405</v>
      </c>
      <c r="L54" s="25" t="s">
        <v>966</v>
      </c>
      <c r="M54" s="25"/>
      <c r="N54" s="25"/>
      <c r="O54" s="25"/>
      <c r="P54" s="25"/>
      <c r="Q54" s="25"/>
      <c r="R54" s="25"/>
      <c r="S54" s="25"/>
      <c r="T54" s="351" t="b" cm="1">
        <f t="array" ref="T54">T53</f>
        <v>0</v>
      </c>
      <c r="U54" s="25"/>
      <c r="V54" s="25"/>
      <c r="W54" s="25"/>
      <c r="X54" s="1046"/>
      <c r="Z54" s="1008"/>
      <c r="AB54" s="7" t="s">
        <v>1057</v>
      </c>
      <c r="AC54" s="134" t="s">
        <v>1993</v>
      </c>
      <c r="AD54" s="7" t="s">
        <v>859</v>
      </c>
      <c r="AE54" s="170">
        <f ca="1">SUMIFS(Административные!AE$25:AE$65,Административные!$F$25:$F$65,$F54,Административные!$G$25:$G$65,$G54)</f>
        <v>0</v>
      </c>
      <c r="AF54" s="170">
        <f ca="1">SUMIFS(Административные!AF$25:AF$65,Административные!$F$25:$F$65,$F54,Административные!$G$25:$G$65,$G54)</f>
        <v>0</v>
      </c>
      <c r="AG54" s="170">
        <f ca="1">SUMIFS(Административные!AG$25:AG$65,Административные!$F$25:$F$65,$F54,Административные!$G$25:$G$65,$G54)</f>
        <v>0</v>
      </c>
      <c r="AH54" s="170">
        <f t="shared" ca="1" si="2"/>
        <v>0</v>
      </c>
      <c r="AI54" s="170">
        <f ca="1">SUMIFS(Административные!AH$25:AH$65,Административные!$F$25:$F$65,$F54,Административные!$G$25:$G$65,$G54)</f>
        <v>0</v>
      </c>
      <c r="AJ54" s="170">
        <f ca="1">SUMIFS(Административные!AI$25:AI$65,Административные!$F$25:$F$65,$F54,Административные!$G$25:$G$65,$G54)</f>
        <v>0</v>
      </c>
      <c r="AK54" s="540"/>
      <c r="AL54" s="540"/>
      <c r="AM54" s="540"/>
      <c r="AN54" s="540"/>
      <c r="AO54" s="540"/>
      <c r="AP54" s="540"/>
      <c r="AQ54" s="540"/>
      <c r="AR54" s="540"/>
      <c r="AS54" s="540"/>
      <c r="AT54" s="170">
        <f ca="1">SUMIFS(Административные!AJ$25:AJ$65,Административные!$F$25:$F$65,$F54,Административные!$G$25:$G$65,$G54)</f>
        <v>0</v>
      </c>
      <c r="AU54" s="540"/>
      <c r="AV54" s="540"/>
      <c r="AW54" s="540"/>
      <c r="AX54" s="540"/>
      <c r="AY54" s="540"/>
      <c r="AZ54" s="540"/>
      <c r="BA54" s="540"/>
      <c r="BB54" s="540"/>
      <c r="BC54" s="540"/>
      <c r="BD54" s="170">
        <f t="shared" ca="1" si="5"/>
        <v>0</v>
      </c>
      <c r="BE54" s="540"/>
      <c r="BF54" s="540"/>
      <c r="BG54" s="540"/>
      <c r="BH54" s="540"/>
      <c r="BI54" s="540"/>
      <c r="BJ54" s="540"/>
      <c r="BK54" s="540"/>
      <c r="BL54" s="540"/>
      <c r="BM54" s="540"/>
      <c r="BN54" s="774"/>
      <c r="BO54" s="778" t="str">
        <f ca="1">IF(IFERROR(INDEX(Административные!$K$26:$L$65,MATCH($F54&amp;"17komm",Административные!$K$26:$K$65,0),2),"")=0,"",IFERROR(INDEX(Административные!$K$26:$L$65,MATCH($F54&amp;"17komm",Административные!$K$26:$K$65,0),2),""))</f>
        <v/>
      </c>
      <c r="BP54" s="774"/>
      <c r="BS54" s="692" t="s">
        <v>1200</v>
      </c>
    </row>
    <row r="55" spans="2:75" ht="14.65" hidden="1" customHeight="1">
      <c r="C55" s="25"/>
      <c r="D55" s="25"/>
      <c r="E55" s="449">
        <v>15</v>
      </c>
      <c r="F55" s="3" cm="1">
        <f t="array" aca="1" ref="F55" ca="1">OFFSET(E55,-1,1)</f>
        <v>0</v>
      </c>
      <c r="G55" s="25" t="s">
        <v>1201</v>
      </c>
      <c r="H55" s="575"/>
      <c r="I55" s="575" t="s">
        <v>1994</v>
      </c>
      <c r="J55" s="25"/>
      <c r="K55" s="276" t="s">
        <v>1994</v>
      </c>
      <c r="L55" s="25"/>
      <c r="M55" s="25"/>
      <c r="N55" s="25"/>
      <c r="O55" s="25"/>
      <c r="P55" s="25"/>
      <c r="Q55" s="25"/>
      <c r="R55" s="25"/>
      <c r="S55" s="25"/>
      <c r="T55" s="351" t="b" cm="1">
        <f t="array" ref="T55">T54</f>
        <v>0</v>
      </c>
      <c r="U55" s="25"/>
      <c r="V55" s="25"/>
      <c r="W55" s="25"/>
      <c r="X55" s="1046"/>
      <c r="Z55" s="1008"/>
      <c r="AB55" s="7" t="s">
        <v>1995</v>
      </c>
      <c r="AC55" s="541" t="s">
        <v>1202</v>
      </c>
      <c r="AD55" s="7" t="s">
        <v>859</v>
      </c>
      <c r="AE55" s="170">
        <f ca="1">SUMIFS(Административные!AE$25:AE$65,Административные!$F$25:$F$65,$F55,Административные!$G$25:$G$65,$G55)</f>
        <v>0</v>
      </c>
      <c r="AF55" s="170">
        <f ca="1">SUMIFS(Административные!AF$25:AF$65,Административные!$F$25:$F$65,$F55,Административные!$G$25:$G$65,$G55)</f>
        <v>0</v>
      </c>
      <c r="AG55" s="170">
        <f ca="1">SUMIFS(Административные!AG$25:AG$65,Административные!$F$25:$F$65,$F55,Административные!$G$25:$G$65,$G55)</f>
        <v>0</v>
      </c>
      <c r="AH55" s="170">
        <f t="shared" ca="1" si="2"/>
        <v>0</v>
      </c>
      <c r="AI55" s="170">
        <f ca="1">SUMIFS(Административные!AH$25:AH$65,Административные!$F$25:$F$65,$F55,Административные!$G$25:$G$65,$G55)</f>
        <v>0</v>
      </c>
      <c r="AJ55" s="170">
        <f ca="1">SUMIFS(Административные!AI$25:AI$65,Административные!$F$25:$F$65,$F55,Административные!$G$25:$G$65,$G55)</f>
        <v>0</v>
      </c>
      <c r="AK55" s="540"/>
      <c r="AL55" s="540"/>
      <c r="AM55" s="540"/>
      <c r="AN55" s="540"/>
      <c r="AO55" s="540"/>
      <c r="AP55" s="540"/>
      <c r="AQ55" s="540"/>
      <c r="AR55" s="540"/>
      <c r="AS55" s="540"/>
      <c r="AT55" s="170">
        <f ca="1">SUMIFS(Административные!AJ$25:AJ$65,Административные!$F$25:$F$65,$F55,Административные!$G$25:$G$65,$G55)</f>
        <v>0</v>
      </c>
      <c r="AU55" s="540"/>
      <c r="AV55" s="540"/>
      <c r="AW55" s="540"/>
      <c r="AX55" s="540"/>
      <c r="AY55" s="540"/>
      <c r="AZ55" s="540"/>
      <c r="BA55" s="540"/>
      <c r="BB55" s="540"/>
      <c r="BC55" s="540"/>
      <c r="BD55" s="170">
        <f t="shared" ca="1" si="5"/>
        <v>0</v>
      </c>
      <c r="BE55" s="540"/>
      <c r="BF55" s="540"/>
      <c r="BG55" s="540"/>
      <c r="BH55" s="540"/>
      <c r="BI55" s="540"/>
      <c r="BJ55" s="540"/>
      <c r="BK55" s="540"/>
      <c r="BL55" s="540"/>
      <c r="BM55" s="540"/>
      <c r="BN55" s="774"/>
      <c r="BO55" s="778" t="str">
        <f ca="1">IF(IFERROR(INDEX(Административные!$K$26:$L$65,MATCH($F55&amp;"18komm",Административные!$K$26:$K$65,0),2),"")=0,"",IFERROR(INDEX(Административные!$K$26:$L$65,MATCH($F55&amp;"18komm",Административные!$K$26:$K$65,0),2),""))</f>
        <v/>
      </c>
      <c r="BP55" s="774"/>
      <c r="BS55" s="694" t="s">
        <v>1203</v>
      </c>
    </row>
    <row r="56" spans="2:75" ht="14.65" hidden="1" customHeight="1">
      <c r="C56" s="25"/>
      <c r="D56" s="25"/>
      <c r="E56" s="449">
        <v>15</v>
      </c>
      <c r="F56" s="3" cm="1">
        <f t="array" aca="1" ref="F56" ca="1">OFFSET(E56,-1,1)</f>
        <v>0</v>
      </c>
      <c r="G56" s="25" t="s">
        <v>1204</v>
      </c>
      <c r="H56" s="575"/>
      <c r="I56" s="575" t="s">
        <v>1996</v>
      </c>
      <c r="J56" s="25"/>
      <c r="K56" s="276" t="s">
        <v>1996</v>
      </c>
      <c r="L56" s="25"/>
      <c r="M56" s="25"/>
      <c r="N56" s="25"/>
      <c r="O56" s="25"/>
      <c r="P56" s="25"/>
      <c r="Q56" s="25"/>
      <c r="R56" s="25"/>
      <c r="S56" s="25"/>
      <c r="T56" s="351" t="b" cm="1">
        <f t="array" ref="T56">T55</f>
        <v>0</v>
      </c>
      <c r="U56" s="25"/>
      <c r="V56" s="25"/>
      <c r="W56" s="25"/>
      <c r="X56" s="1046"/>
      <c r="Z56" s="1008"/>
      <c r="AB56" s="7" t="s">
        <v>1997</v>
      </c>
      <c r="AC56" s="541" t="s">
        <v>1205</v>
      </c>
      <c r="AD56" s="7" t="s">
        <v>859</v>
      </c>
      <c r="AE56" s="170">
        <f ca="1">SUMIFS(Административные!AE$25:AE$65,Административные!$F$25:$F$65,$F56,Административные!$G$25:$G$65,$G56)</f>
        <v>0</v>
      </c>
      <c r="AF56" s="170">
        <f ca="1">SUMIFS(Административные!AF$25:AF$65,Административные!$F$25:$F$65,$F56,Административные!$G$25:$G$65,$G56)</f>
        <v>0</v>
      </c>
      <c r="AG56" s="170">
        <f ca="1">SUMIFS(Административные!AG$25:AG$65,Административные!$F$25:$F$65,$F56,Административные!$G$25:$G$65,$G56)</f>
        <v>0</v>
      </c>
      <c r="AH56" s="170">
        <f t="shared" ca="1" si="2"/>
        <v>0</v>
      </c>
      <c r="AI56" s="170">
        <f ca="1">SUMIFS(Административные!AH$25:AH$65,Административные!$F$25:$F$65,$F56,Административные!$G$25:$G$65,$G56)</f>
        <v>0</v>
      </c>
      <c r="AJ56" s="170">
        <f ca="1">SUMIFS(Административные!AI$25:AI$65,Административные!$F$25:$F$65,$F56,Административные!$G$25:$G$65,$G56)</f>
        <v>0</v>
      </c>
      <c r="AK56" s="540"/>
      <c r="AL56" s="540"/>
      <c r="AM56" s="540"/>
      <c r="AN56" s="540"/>
      <c r="AO56" s="540"/>
      <c r="AP56" s="540"/>
      <c r="AQ56" s="540"/>
      <c r="AR56" s="540"/>
      <c r="AS56" s="540"/>
      <c r="AT56" s="170">
        <f ca="1">SUMIFS(Административные!AJ$25:AJ$65,Административные!$F$25:$F$65,$F56,Административные!$G$25:$G$65,$G56)</f>
        <v>0</v>
      </c>
      <c r="AU56" s="540"/>
      <c r="AV56" s="540"/>
      <c r="AW56" s="540"/>
      <c r="AX56" s="540"/>
      <c r="AY56" s="540"/>
      <c r="AZ56" s="540"/>
      <c r="BA56" s="540"/>
      <c r="BB56" s="540"/>
      <c r="BC56" s="540"/>
      <c r="BD56" s="170">
        <f t="shared" ca="1" si="5"/>
        <v>0</v>
      </c>
      <c r="BE56" s="540"/>
      <c r="BF56" s="540"/>
      <c r="BG56" s="540"/>
      <c r="BH56" s="540"/>
      <c r="BI56" s="540"/>
      <c r="BJ56" s="540"/>
      <c r="BK56" s="540"/>
      <c r="BL56" s="540"/>
      <c r="BM56" s="540"/>
      <c r="BN56" s="774"/>
      <c r="BO56" s="778" t="str">
        <f ca="1">IF(IFERROR(INDEX(Административные!$K$26:$L$65,MATCH($F56&amp;"11komm",Административные!$K$26:$K$65,0),2),"")=0,"",IFERROR(INDEX(Административные!$K$26:$L$65,MATCH($F56&amp;"11komm",Административные!$K$26:$K$65,0),2),""))</f>
        <v/>
      </c>
      <c r="BP56" s="774"/>
      <c r="BS56" s="694" t="s">
        <v>1206</v>
      </c>
    </row>
    <row r="57" spans="2:75" ht="14.65" hidden="1" customHeight="1">
      <c r="C57" s="25"/>
      <c r="D57" s="25"/>
      <c r="E57" s="449">
        <v>15</v>
      </c>
      <c r="F57" s="3" cm="1">
        <f t="array" aca="1" ref="F57" ca="1">OFFSET(E57,-1,1)</f>
        <v>0</v>
      </c>
      <c r="G57" s="25" t="s">
        <v>1207</v>
      </c>
      <c r="H57" s="575"/>
      <c r="I57" s="575" t="s">
        <v>1998</v>
      </c>
      <c r="J57" s="25"/>
      <c r="K57" s="276" t="s">
        <v>1998</v>
      </c>
      <c r="L57" s="25"/>
      <c r="M57" s="25"/>
      <c r="N57" s="25"/>
      <c r="O57" s="25"/>
      <c r="P57" s="25"/>
      <c r="Q57" s="25"/>
      <c r="R57" s="25"/>
      <c r="S57" s="25"/>
      <c r="T57" s="351" t="b" cm="1">
        <f t="array" ref="T57">T56</f>
        <v>0</v>
      </c>
      <c r="U57" s="25"/>
      <c r="V57" s="25"/>
      <c r="W57" s="25"/>
      <c r="X57" s="1046"/>
      <c r="Z57" s="1008"/>
      <c r="AB57" s="7" t="s">
        <v>1999</v>
      </c>
      <c r="AC57" s="541" t="s">
        <v>1208</v>
      </c>
      <c r="AD57" s="7" t="s">
        <v>859</v>
      </c>
      <c r="AE57" s="170">
        <f ca="1">SUMIFS(Административные!AE$25:AE$65,Административные!$F$25:$F$65,$F57,Административные!$G$25:$G$65,$G57)</f>
        <v>0</v>
      </c>
      <c r="AF57" s="170">
        <f ca="1">SUMIFS(Административные!AF$25:AF$65,Административные!$F$25:$F$65,$F57,Административные!$G$25:$G$65,$G57)</f>
        <v>0</v>
      </c>
      <c r="AG57" s="170">
        <f ca="1">SUMIFS(Административные!AG$25:AG$65,Административные!$F$25:$F$65,$F57,Административные!$G$25:$G$65,$G57)</f>
        <v>0</v>
      </c>
      <c r="AH57" s="170">
        <f t="shared" ca="1" si="2"/>
        <v>0</v>
      </c>
      <c r="AI57" s="170">
        <f ca="1">SUMIFS(Административные!AH$25:AH$65,Административные!$F$25:$F$65,$F57,Административные!$G$25:$G$65,$G57)</f>
        <v>0</v>
      </c>
      <c r="AJ57" s="170">
        <f ca="1">SUMIFS(Административные!AI$25:AI$65,Административные!$F$25:$F$65,$F57,Административные!$G$25:$G$65,$G57)</f>
        <v>0</v>
      </c>
      <c r="AK57" s="540"/>
      <c r="AL57" s="540"/>
      <c r="AM57" s="540"/>
      <c r="AN57" s="540"/>
      <c r="AO57" s="540"/>
      <c r="AP57" s="540"/>
      <c r="AQ57" s="540"/>
      <c r="AR57" s="540"/>
      <c r="AS57" s="540"/>
      <c r="AT57" s="170">
        <f ca="1">SUMIFS(Административные!AJ$25:AJ$65,Административные!$F$25:$F$65,$F57,Административные!$G$25:$G$65,$G57)</f>
        <v>0</v>
      </c>
      <c r="AU57" s="540"/>
      <c r="AV57" s="540"/>
      <c r="AW57" s="540"/>
      <c r="AX57" s="540"/>
      <c r="AY57" s="540"/>
      <c r="AZ57" s="540"/>
      <c r="BA57" s="540"/>
      <c r="BB57" s="540"/>
      <c r="BC57" s="540"/>
      <c r="BD57" s="170">
        <f t="shared" ca="1" si="5"/>
        <v>0</v>
      </c>
      <c r="BE57" s="540"/>
      <c r="BF57" s="540"/>
      <c r="BG57" s="540"/>
      <c r="BH57" s="540"/>
      <c r="BI57" s="540"/>
      <c r="BJ57" s="540"/>
      <c r="BK57" s="540"/>
      <c r="BL57" s="540"/>
      <c r="BM57" s="540"/>
      <c r="BN57" s="774"/>
      <c r="BO57" s="778" t="str">
        <f ca="1">IF(IFERROR(INDEX(Административные!$K$26:$L$65,MATCH($F57&amp;"12komm",Административные!$K$26:$K$65,0),2),"")=0,"",IFERROR(INDEX(Административные!$K$26:$L$65,MATCH($F57&amp;"12komm",Административные!$K$26:$K$65,0),2),""))</f>
        <v/>
      </c>
      <c r="BP57" s="774"/>
      <c r="BS57" s="694" t="s">
        <v>1209</v>
      </c>
    </row>
    <row r="58" spans="2:75" ht="14.65" hidden="1" customHeight="1">
      <c r="C58" s="25"/>
      <c r="D58" s="25"/>
      <c r="E58" s="449">
        <v>15</v>
      </c>
      <c r="F58" s="3" cm="1">
        <f t="array" aca="1" ref="F58" ca="1">OFFSET(E58,-1,1)</f>
        <v>0</v>
      </c>
      <c r="G58" s="25" t="s">
        <v>1210</v>
      </c>
      <c r="H58" s="575"/>
      <c r="I58" s="575" t="s">
        <v>2000</v>
      </c>
      <c r="J58" s="25"/>
      <c r="K58" s="276" t="s">
        <v>2000</v>
      </c>
      <c r="L58" s="25"/>
      <c r="M58" s="25"/>
      <c r="N58" s="25"/>
      <c r="O58" s="25"/>
      <c r="P58" s="25"/>
      <c r="Q58" s="25"/>
      <c r="R58" s="25"/>
      <c r="S58" s="25"/>
      <c r="T58" s="351" t="b" cm="1">
        <f t="array" ref="T58">T57</f>
        <v>0</v>
      </c>
      <c r="U58" s="25"/>
      <c r="V58" s="25"/>
      <c r="W58" s="25"/>
      <c r="X58" s="1046"/>
      <c r="Z58" s="1008"/>
      <c r="AB58" s="7" t="s">
        <v>2001</v>
      </c>
      <c r="AC58" s="541" t="s">
        <v>1211</v>
      </c>
      <c r="AD58" s="7" t="s">
        <v>859</v>
      </c>
      <c r="AE58" s="170">
        <f ca="1">SUMIFS(Административные!AE$25:AE$65,Административные!$F$25:$F$65,$F58,Административные!$G$25:$G$65,$G58)</f>
        <v>0</v>
      </c>
      <c r="AF58" s="170">
        <f ca="1">SUMIFS(Административные!AF$25:AF$65,Административные!$F$25:$F$65,$F58,Административные!$G$25:$G$65,$G58)</f>
        <v>0</v>
      </c>
      <c r="AG58" s="170">
        <f ca="1">SUMIFS(Административные!AG$25:AG$65,Административные!$F$25:$F$65,$F58,Административные!$G$25:$G$65,$G58)</f>
        <v>0</v>
      </c>
      <c r="AH58" s="170">
        <f t="shared" ca="1" si="2"/>
        <v>0</v>
      </c>
      <c r="AI58" s="170">
        <f ca="1">SUMIFS(Административные!AH$25:AH$65,Административные!$F$25:$F$65,$F58,Административные!$G$25:$G$65,$G58)</f>
        <v>0</v>
      </c>
      <c r="AJ58" s="170">
        <f ca="1">SUMIFS(Административные!AI$25:AI$65,Административные!$F$25:$F$65,$F58,Административные!$G$25:$G$65,$G58)</f>
        <v>0</v>
      </c>
      <c r="AK58" s="540"/>
      <c r="AL58" s="540"/>
      <c r="AM58" s="540"/>
      <c r="AN58" s="540"/>
      <c r="AO58" s="540"/>
      <c r="AP58" s="540"/>
      <c r="AQ58" s="540"/>
      <c r="AR58" s="540"/>
      <c r="AS58" s="540"/>
      <c r="AT58" s="170">
        <f ca="1">SUMIFS(Административные!AJ$25:AJ$65,Административные!$F$25:$F$65,$F58,Административные!$G$25:$G$65,$G58)</f>
        <v>0</v>
      </c>
      <c r="AU58" s="540"/>
      <c r="AV58" s="540"/>
      <c r="AW58" s="540"/>
      <c r="AX58" s="540"/>
      <c r="AY58" s="540"/>
      <c r="AZ58" s="540"/>
      <c r="BA58" s="540"/>
      <c r="BB58" s="540"/>
      <c r="BC58" s="540"/>
      <c r="BD58" s="170">
        <f t="shared" ca="1" si="5"/>
        <v>0</v>
      </c>
      <c r="BE58" s="540"/>
      <c r="BF58" s="540"/>
      <c r="BG58" s="540"/>
      <c r="BH58" s="540"/>
      <c r="BI58" s="540"/>
      <c r="BJ58" s="540"/>
      <c r="BK58" s="540"/>
      <c r="BL58" s="540"/>
      <c r="BM58" s="540"/>
      <c r="BN58" s="774"/>
      <c r="BO58" s="778" t="str">
        <f ca="1">IF(IFERROR(INDEX(Административные!$K$26:$L$65,MATCH($F58&amp;"13komm",Административные!$K$26:$K$65,0),2),"")=0,"",IFERROR(INDEX(Административные!$K$26:$L$65,MATCH($F58&amp;"13komm",Административные!$K$26:$K$65,0),2),""))</f>
        <v/>
      </c>
      <c r="BP58" s="774"/>
      <c r="BS58" s="694" t="s">
        <v>1212</v>
      </c>
    </row>
    <row r="59" spans="2:75" ht="14.65" hidden="1" customHeight="1">
      <c r="C59" s="25"/>
      <c r="D59" s="25"/>
      <c r="E59" s="449">
        <v>15</v>
      </c>
      <c r="F59" s="3" cm="1">
        <f t="array" aca="1" ref="F59" ca="1">OFFSET(E59,-1,1)</f>
        <v>0</v>
      </c>
      <c r="G59" s="25" t="s">
        <v>1213</v>
      </c>
      <c r="H59" s="575"/>
      <c r="I59" s="575" t="s">
        <v>2002</v>
      </c>
      <c r="J59" s="25"/>
      <c r="K59" s="276" t="s">
        <v>2002</v>
      </c>
      <c r="L59" s="25"/>
      <c r="M59" s="25"/>
      <c r="N59" s="25"/>
      <c r="O59" s="25"/>
      <c r="P59" s="25"/>
      <c r="Q59" s="25"/>
      <c r="R59" s="25"/>
      <c r="S59" s="25"/>
      <c r="T59" s="351" t="b" cm="1">
        <f t="array" ref="T59">T58</f>
        <v>0</v>
      </c>
      <c r="U59" s="25"/>
      <c r="V59" s="25"/>
      <c r="W59" s="25"/>
      <c r="X59" s="1046"/>
      <c r="Z59" s="1008"/>
      <c r="AB59" s="7" t="s">
        <v>2003</v>
      </c>
      <c r="AC59" s="541" t="s">
        <v>1214</v>
      </c>
      <c r="AD59" s="7" t="s">
        <v>859</v>
      </c>
      <c r="AE59" s="170">
        <f ca="1">SUMIFS(Административные!AE$25:AE$65,Административные!$F$25:$F$65,$F59,Административные!$G$25:$G$65,$G59)</f>
        <v>0</v>
      </c>
      <c r="AF59" s="170">
        <f ca="1">SUMIFS(Административные!AF$25:AF$65,Административные!$F$25:$F$65,$F59,Административные!$G$25:$G$65,$G59)</f>
        <v>0</v>
      </c>
      <c r="AG59" s="170">
        <f ca="1">SUMIFS(Административные!AG$25:AG$65,Административные!$F$25:$F$65,$F59,Административные!$G$25:$G$65,$G59)</f>
        <v>0</v>
      </c>
      <c r="AH59" s="170">
        <f t="shared" ca="1" si="2"/>
        <v>0</v>
      </c>
      <c r="AI59" s="170">
        <f ca="1">SUMIFS(Административные!AH$25:AH$65,Административные!$F$25:$F$65,$F59,Административные!$G$25:$G$65,$G59)</f>
        <v>0</v>
      </c>
      <c r="AJ59" s="170">
        <f ca="1">SUMIFS(Административные!AI$25:AI$65,Административные!$F$25:$F$65,$F59,Административные!$G$25:$G$65,$G59)</f>
        <v>0</v>
      </c>
      <c r="AK59" s="540"/>
      <c r="AL59" s="540"/>
      <c r="AM59" s="540"/>
      <c r="AN59" s="540"/>
      <c r="AO59" s="540"/>
      <c r="AP59" s="540"/>
      <c r="AQ59" s="540"/>
      <c r="AR59" s="540"/>
      <c r="AS59" s="540"/>
      <c r="AT59" s="170">
        <f ca="1">SUMIFS(Административные!AJ$25:AJ$65,Административные!$F$25:$F$65,$F59,Административные!$G$25:$G$65,$G59)</f>
        <v>0</v>
      </c>
      <c r="AU59" s="540"/>
      <c r="AV59" s="540"/>
      <c r="AW59" s="540"/>
      <c r="AX59" s="540"/>
      <c r="AY59" s="540"/>
      <c r="AZ59" s="540"/>
      <c r="BA59" s="540"/>
      <c r="BB59" s="540"/>
      <c r="BC59" s="540"/>
      <c r="BD59" s="170">
        <f t="shared" ca="1" si="5"/>
        <v>0</v>
      </c>
      <c r="BE59" s="540"/>
      <c r="BF59" s="540"/>
      <c r="BG59" s="540"/>
      <c r="BH59" s="540"/>
      <c r="BI59" s="540"/>
      <c r="BJ59" s="540"/>
      <c r="BK59" s="540"/>
      <c r="BL59" s="540"/>
      <c r="BM59" s="540"/>
      <c r="BN59" s="774"/>
      <c r="BO59" s="778" t="str">
        <f ca="1">IF(IFERROR(INDEX(Административные!$K$26:$L$65,MATCH($F59&amp;"14komm",Административные!$K$26:$K$65,0),2),"")=0,"",IFERROR(INDEX(Административные!$K$26:$L$65,MATCH($F59&amp;"14komm",Административные!$K$26:$K$65,0),2),""))</f>
        <v/>
      </c>
      <c r="BP59" s="774"/>
      <c r="BS59" s="694" t="s">
        <v>2004</v>
      </c>
    </row>
    <row r="60" spans="2:75" ht="14.65" hidden="1" customHeight="1">
      <c r="C60" s="25"/>
      <c r="D60" s="25"/>
      <c r="E60" s="449">
        <v>15</v>
      </c>
      <c r="F60" s="3" cm="1">
        <f t="array" aca="1" ref="F60" ca="1">OFFSET(E60,-1,1)</f>
        <v>0</v>
      </c>
      <c r="G60" s="25" t="s">
        <v>1216</v>
      </c>
      <c r="H60" s="575"/>
      <c r="I60" s="575" t="s">
        <v>2005</v>
      </c>
      <c r="J60" s="25"/>
      <c r="K60" s="276" t="s">
        <v>2005</v>
      </c>
      <c r="L60" s="25"/>
      <c r="M60" s="25"/>
      <c r="N60" s="25"/>
      <c r="O60" s="25"/>
      <c r="P60" s="25"/>
      <c r="Q60" s="25"/>
      <c r="R60" s="25"/>
      <c r="S60" s="25"/>
      <c r="T60" s="351" t="b" cm="1">
        <f t="array" ref="T60">T59</f>
        <v>0</v>
      </c>
      <c r="U60" s="25"/>
      <c r="V60" s="25"/>
      <c r="W60" s="25"/>
      <c r="X60" s="1046"/>
      <c r="Z60" s="1008"/>
      <c r="AB60" s="7" t="s">
        <v>2006</v>
      </c>
      <c r="AC60" s="541" t="s">
        <v>1219</v>
      </c>
      <c r="AD60" s="7" t="s">
        <v>859</v>
      </c>
      <c r="AE60" s="170">
        <f ca="1">SUMIFS(Административные!AE$25:AE$65,Административные!$F$25:$F$65,$F60,Административные!$G$25:$G$65,$G60)</f>
        <v>0</v>
      </c>
      <c r="AF60" s="170">
        <f ca="1">SUMIFS(Административные!AF$25:AF$65,Административные!$F$25:$F$65,$F60,Административные!$G$25:$G$65,$G60)</f>
        <v>0</v>
      </c>
      <c r="AG60" s="170">
        <f ca="1">SUMIFS(Административные!AG$25:AG$65,Административные!$F$25:$F$65,$F60,Административные!$G$25:$G$65,$G60)</f>
        <v>0</v>
      </c>
      <c r="AH60" s="170">
        <f t="shared" ref="AH60:AH91" ca="1" si="7">AG60-AF60</f>
        <v>0</v>
      </c>
      <c r="AI60" s="170">
        <f ca="1">SUMIFS(Административные!AH$25:AH$65,Административные!$F$25:$F$65,$F60,Административные!$G$25:$G$65,$G60)</f>
        <v>0</v>
      </c>
      <c r="AJ60" s="170">
        <f ca="1">SUMIFS(Административные!AI$25:AI$65,Административные!$F$25:$F$65,$F60,Административные!$G$25:$G$65,$G60)</f>
        <v>0</v>
      </c>
      <c r="AK60" s="540"/>
      <c r="AL60" s="540"/>
      <c r="AM60" s="540"/>
      <c r="AN60" s="540"/>
      <c r="AO60" s="540"/>
      <c r="AP60" s="540"/>
      <c r="AQ60" s="540"/>
      <c r="AR60" s="540"/>
      <c r="AS60" s="540"/>
      <c r="AT60" s="170">
        <f ca="1">SUMIFS(Административные!AJ$25:AJ$65,Административные!$F$25:$F$65,$F60,Административные!$G$25:$G$65,$G60)</f>
        <v>0</v>
      </c>
      <c r="AU60" s="540"/>
      <c r="AV60" s="540"/>
      <c r="AW60" s="540"/>
      <c r="AX60" s="540"/>
      <c r="AY60" s="540"/>
      <c r="AZ60" s="540"/>
      <c r="BA60" s="540"/>
      <c r="BB60" s="540"/>
      <c r="BC60" s="540"/>
      <c r="BD60" s="170">
        <f t="shared" ref="BD60:BD76" ca="1" si="8">IF(AI60=0,0,(AT60-AI60)/AI60*100)</f>
        <v>0</v>
      </c>
      <c r="BE60" s="540"/>
      <c r="BF60" s="540"/>
      <c r="BG60" s="540"/>
      <c r="BH60" s="540"/>
      <c r="BI60" s="540"/>
      <c r="BJ60" s="540"/>
      <c r="BK60" s="540"/>
      <c r="BL60" s="540"/>
      <c r="BM60" s="540"/>
      <c r="BN60" s="774"/>
      <c r="BO60" s="778" t="str">
        <f ca="1">IF(IFERROR(INDEX(Административные!$K$26:$L$65,MATCH($F60&amp;"15komm",Административные!$K$26:$K$65,0),2),"")=0,"",IFERROR(INDEX(Административные!$K$26:$L$65,MATCH($F60&amp;"15komm",Административные!$K$26:$K$65,0),2),""))</f>
        <v/>
      </c>
      <c r="BP60" s="774"/>
      <c r="BS60" s="694" t="s">
        <v>1220</v>
      </c>
    </row>
    <row r="61" spans="2:75" ht="14.65" hidden="1" customHeight="1">
      <c r="C61" s="25"/>
      <c r="D61" s="25"/>
      <c r="E61" s="449">
        <v>15</v>
      </c>
      <c r="F61" s="3" cm="1">
        <f t="array" aca="1" ref="F61" ca="1">OFFSET(E61,-1,1)</f>
        <v>0</v>
      </c>
      <c r="G61" s="25" t="s">
        <v>1221</v>
      </c>
      <c r="H61" s="575"/>
      <c r="I61" s="575" t="s">
        <v>2007</v>
      </c>
      <c r="J61" s="25"/>
      <c r="K61" s="276" t="s">
        <v>2007</v>
      </c>
      <c r="L61" s="25"/>
      <c r="M61" s="25"/>
      <c r="N61" s="25"/>
      <c r="O61" s="25"/>
      <c r="P61" s="25"/>
      <c r="Q61" s="25"/>
      <c r="R61" s="25"/>
      <c r="S61" s="25"/>
      <c r="T61" s="351" t="b" cm="1">
        <f t="array" ref="T61">T60</f>
        <v>0</v>
      </c>
      <c r="U61" s="25"/>
      <c r="V61" s="25"/>
      <c r="W61" s="25"/>
      <c r="X61" s="1046"/>
      <c r="Z61" s="1008"/>
      <c r="AB61" s="7" t="s">
        <v>2008</v>
      </c>
      <c r="AC61" s="541" t="s">
        <v>1224</v>
      </c>
      <c r="AD61" s="7" t="s">
        <v>859</v>
      </c>
      <c r="AE61" s="170">
        <f ca="1">SUMIFS(Административные!AE$25:AE$65,Административные!$F$25:$F$65,$F61,Административные!$G$25:$G$65,$G61)</f>
        <v>0</v>
      </c>
      <c r="AF61" s="170">
        <f ca="1">SUMIFS(Административные!AF$25:AF$65,Административные!$F$25:$F$65,$F61,Административные!$G$25:$G$65,$G61)</f>
        <v>0</v>
      </c>
      <c r="AG61" s="170">
        <f ca="1">SUMIFS(Административные!AG$25:AG$65,Административные!$F$25:$F$65,$F61,Административные!$G$25:$G$65,$G61)</f>
        <v>0</v>
      </c>
      <c r="AH61" s="170">
        <f t="shared" ca="1" si="7"/>
        <v>0</v>
      </c>
      <c r="AI61" s="170">
        <f ca="1">SUMIFS(Административные!AH$25:AH$65,Административные!$F$25:$F$65,$F61,Административные!$G$25:$G$65,$G61)</f>
        <v>0</v>
      </c>
      <c r="AJ61" s="170">
        <f ca="1">SUMIFS(Административные!AI$25:AI$65,Административные!$F$25:$F$65,$F61,Административные!$G$25:$G$65,$G61)</f>
        <v>0</v>
      </c>
      <c r="AK61" s="540"/>
      <c r="AL61" s="540"/>
      <c r="AM61" s="540"/>
      <c r="AN61" s="540"/>
      <c r="AO61" s="540"/>
      <c r="AP61" s="540"/>
      <c r="AQ61" s="540"/>
      <c r="AR61" s="540"/>
      <c r="AS61" s="540"/>
      <c r="AT61" s="170">
        <f ca="1">SUMIFS(Административные!AJ$25:AJ$65,Административные!$F$25:$F$65,$F61,Административные!$G$25:$G$65,$G61)</f>
        <v>0</v>
      </c>
      <c r="AU61" s="540"/>
      <c r="AV61" s="540"/>
      <c r="AW61" s="540"/>
      <c r="AX61" s="540"/>
      <c r="AY61" s="540"/>
      <c r="AZ61" s="540"/>
      <c r="BA61" s="540"/>
      <c r="BB61" s="540"/>
      <c r="BC61" s="540"/>
      <c r="BD61" s="170">
        <f t="shared" ca="1" si="8"/>
        <v>0</v>
      </c>
      <c r="BE61" s="540"/>
      <c r="BF61" s="540"/>
      <c r="BG61" s="540"/>
      <c r="BH61" s="540"/>
      <c r="BI61" s="540"/>
      <c r="BJ61" s="540"/>
      <c r="BK61" s="540"/>
      <c r="BL61" s="540"/>
      <c r="BM61" s="540"/>
      <c r="BN61" s="774"/>
      <c r="BO61" s="778" t="str">
        <f ca="1">IF(IFERROR(INDEX(Административные!$K$26:$L$65,MATCH($F61&amp;"16komm",Административные!$K$26:$K$65,0),2),"")=0,"",IFERROR(INDEX(Административные!$K$26:$L$65,MATCH($F61&amp;"16komm",Административные!$K$26:$K$65,0),2),""))</f>
        <v/>
      </c>
      <c r="BP61" s="774"/>
      <c r="BS61" s="694" t="s">
        <v>2009</v>
      </c>
    </row>
    <row r="62" spans="2:75" ht="21.95" hidden="1" customHeight="1">
      <c r="C62" s="25"/>
      <c r="D62" s="25"/>
      <c r="E62" s="449">
        <v>22.5</v>
      </c>
      <c r="F62" s="3" cm="1">
        <f t="array" aca="1" ref="F62" ca="1">OFFSET(E62,-1,1)</f>
        <v>0</v>
      </c>
      <c r="G62" s="25"/>
      <c r="H62" s="575"/>
      <c r="I62" s="575" t="s">
        <v>1406</v>
      </c>
      <c r="J62" s="25"/>
      <c r="K62" s="276" t="s">
        <v>1406</v>
      </c>
      <c r="L62" s="25" t="s">
        <v>968</v>
      </c>
      <c r="M62" s="25"/>
      <c r="N62" s="25"/>
      <c r="O62" s="25"/>
      <c r="P62" s="25"/>
      <c r="Q62" s="25"/>
      <c r="R62" s="25"/>
      <c r="S62" s="25"/>
      <c r="T62" s="351" t="b" cm="1">
        <f t="array" ref="T62">T61</f>
        <v>0</v>
      </c>
      <c r="U62" s="25"/>
      <c r="V62" s="25"/>
      <c r="W62" s="25"/>
      <c r="X62" s="1046"/>
      <c r="Z62" s="1008"/>
      <c r="AB62" s="7" t="s">
        <v>1060</v>
      </c>
      <c r="AC62" s="134" t="s">
        <v>2010</v>
      </c>
      <c r="AD62" s="7" t="s">
        <v>859</v>
      </c>
      <c r="AE62" s="170">
        <f ca="1">AE63+AE64</f>
        <v>0</v>
      </c>
      <c r="AF62" s="170">
        <f ca="1">AF63+AF64</f>
        <v>0</v>
      </c>
      <c r="AG62" s="170">
        <f ca="1">AG63+AG64</f>
        <v>0</v>
      </c>
      <c r="AH62" s="170">
        <f t="shared" ca="1" si="7"/>
        <v>0</v>
      </c>
      <c r="AI62" s="170">
        <f ca="1">AI63+AI64</f>
        <v>0</v>
      </c>
      <c r="AJ62" s="170">
        <f ca="1">AJ63+AJ64</f>
        <v>0</v>
      </c>
      <c r="AK62" s="540"/>
      <c r="AL62" s="540"/>
      <c r="AM62" s="540"/>
      <c r="AN62" s="540"/>
      <c r="AO62" s="540"/>
      <c r="AP62" s="540"/>
      <c r="AQ62" s="540"/>
      <c r="AR62" s="540"/>
      <c r="AS62" s="540"/>
      <c r="AT62" s="170">
        <f ca="1">AT63+AT64</f>
        <v>0</v>
      </c>
      <c r="AU62" s="540"/>
      <c r="AV62" s="540"/>
      <c r="AW62" s="540"/>
      <c r="AX62" s="540"/>
      <c r="AY62" s="540"/>
      <c r="AZ62" s="540"/>
      <c r="BA62" s="540"/>
      <c r="BB62" s="540"/>
      <c r="BC62" s="540"/>
      <c r="BD62" s="170">
        <f t="shared" ca="1" si="8"/>
        <v>0</v>
      </c>
      <c r="BE62" s="540"/>
      <c r="BF62" s="540"/>
      <c r="BG62" s="540"/>
      <c r="BH62" s="540"/>
      <c r="BI62" s="540"/>
      <c r="BJ62" s="540"/>
      <c r="BK62" s="540"/>
      <c r="BL62" s="540"/>
      <c r="BM62" s="540"/>
      <c r="BN62" s="774"/>
      <c r="BO62" s="774"/>
      <c r="BP62" s="774"/>
      <c r="BS62" s="692" t="s">
        <v>1823</v>
      </c>
    </row>
    <row r="63" spans="2:75" ht="14.65" hidden="1" customHeight="1">
      <c r="C63" s="25"/>
      <c r="D63" s="25"/>
      <c r="E63" s="449">
        <v>15</v>
      </c>
      <c r="F63" s="3" cm="1">
        <f t="array" aca="1" ref="F63" ca="1">OFFSET(E63,-1,1)</f>
        <v>0</v>
      </c>
      <c r="G63" s="25" t="s">
        <v>1158</v>
      </c>
      <c r="H63" s="575"/>
      <c r="I63" s="575" t="s">
        <v>2011</v>
      </c>
      <c r="J63" s="25"/>
      <c r="K63" s="276" t="s">
        <v>2011</v>
      </c>
      <c r="L63" s="25" t="s">
        <v>543</v>
      </c>
      <c r="M63" s="25"/>
      <c r="N63" s="25"/>
      <c r="O63" s="25"/>
      <c r="P63" s="25"/>
      <c r="Q63" s="25"/>
      <c r="R63" s="25"/>
      <c r="S63" s="25"/>
      <c r="T63" s="351" t="b" cm="1">
        <f t="array" ref="T63">T62</f>
        <v>0</v>
      </c>
      <c r="U63" s="25"/>
      <c r="V63" s="25"/>
      <c r="W63" s="25"/>
      <c r="X63" s="1046"/>
      <c r="Z63" s="1008"/>
      <c r="AB63" s="7" t="s">
        <v>2012</v>
      </c>
      <c r="AC63" s="541" t="s">
        <v>1824</v>
      </c>
      <c r="AD63" s="543" t="s">
        <v>859</v>
      </c>
      <c r="AE63" s="170">
        <f ca="1">SUMIFS(ФОТ!AE$25:AE$89,ФОТ!$F$25:$F$89,$F63,ФОТ!$G$25:$G$89,$G63)</f>
        <v>0</v>
      </c>
      <c r="AF63" s="170">
        <f ca="1">SUMIFS(ФОТ!AF$25:AF$89,ФОТ!$F$25:$F$89,$F63,ФОТ!$G$25:$G$89,$G63)</f>
        <v>0</v>
      </c>
      <c r="AG63" s="170">
        <f ca="1">SUMIFS(ФОТ!AG$25:AG$89,ФОТ!$F$25:$F$89,$F63,ФОТ!$G$25:$G$89,$G63)</f>
        <v>0</v>
      </c>
      <c r="AH63" s="170">
        <f t="shared" ca="1" si="7"/>
        <v>0</v>
      </c>
      <c r="AI63" s="170">
        <f ca="1">SUMIFS(ФОТ!AH$25:AH$89,ФОТ!$F$25:$F$89,$F63,ФОТ!$G$25:$G$89,$G63)</f>
        <v>0</v>
      </c>
      <c r="AJ63" s="170">
        <f ca="1">SUMIFS(ФОТ!AI$25:AI$89,ФОТ!$F$25:$F$89,$F63,ФОТ!$G$25:$G$89,$G63)</f>
        <v>0</v>
      </c>
      <c r="AK63" s="540"/>
      <c r="AL63" s="540"/>
      <c r="AM63" s="540"/>
      <c r="AN63" s="540"/>
      <c r="AO63" s="540"/>
      <c r="AP63" s="540"/>
      <c r="AQ63" s="540"/>
      <c r="AR63" s="540"/>
      <c r="AS63" s="540"/>
      <c r="AT63" s="170">
        <f ca="1">SUMIFS(ФОТ!AJ$25:AJ$89,ФОТ!$F$25:$F$89,$F63,ФОТ!$G$25:$G$89,$G63)</f>
        <v>0</v>
      </c>
      <c r="AU63" s="540"/>
      <c r="AV63" s="540"/>
      <c r="AW63" s="540"/>
      <c r="AX63" s="540"/>
      <c r="AY63" s="540"/>
      <c r="AZ63" s="540"/>
      <c r="BA63" s="540"/>
      <c r="BB63" s="540"/>
      <c r="BC63" s="540"/>
      <c r="BD63" s="170">
        <f t="shared" ca="1" si="8"/>
        <v>0</v>
      </c>
      <c r="BE63" s="540"/>
      <c r="BF63" s="540"/>
      <c r="BG63" s="540"/>
      <c r="BH63" s="540"/>
      <c r="BI63" s="540"/>
      <c r="BJ63" s="540"/>
      <c r="BK63" s="540"/>
      <c r="BL63" s="540"/>
      <c r="BM63" s="540"/>
      <c r="BN63" s="774"/>
      <c r="BO63" s="778" t="str">
        <f ca="1">IF(IFERROR(INDEX(ФОТ!$K$26:$L$89,MATCH($F63&amp;"5komm",ФОТ!$K$26:$K$89,0),2),"")=0,"",IFERROR(INDEX(ФОТ!$K$26:$L$89,MATCH($F63&amp;"5komm",ФОТ!$K$26:$K$89,0),2),""))</f>
        <v/>
      </c>
      <c r="BP63" s="774"/>
      <c r="BS63" s="692" t="s">
        <v>1197</v>
      </c>
    </row>
    <row r="64" spans="2:75" ht="21.95" hidden="1" customHeight="1">
      <c r="C64" s="25"/>
      <c r="D64" s="25"/>
      <c r="E64" s="449">
        <v>22.5</v>
      </c>
      <c r="F64" s="3" cm="1">
        <f t="array" aca="1" ref="F64" ca="1">OFFSET(E64,-1,1)</f>
        <v>0</v>
      </c>
      <c r="G64" s="25" t="s">
        <v>1163</v>
      </c>
      <c r="H64" s="575"/>
      <c r="I64" s="575" t="s">
        <v>2013</v>
      </c>
      <c r="J64" s="25"/>
      <c r="K64" s="276" t="s">
        <v>2013</v>
      </c>
      <c r="L64" s="25" t="s">
        <v>548</v>
      </c>
      <c r="M64" s="25"/>
      <c r="N64" s="25"/>
      <c r="O64" s="25"/>
      <c r="P64" s="25"/>
      <c r="Q64" s="25"/>
      <c r="R64" s="25"/>
      <c r="S64" s="25"/>
      <c r="T64" s="351" t="b" cm="1">
        <f t="array" ref="T64">T63</f>
        <v>0</v>
      </c>
      <c r="U64" s="25"/>
      <c r="V64" s="25"/>
      <c r="W64" s="25"/>
      <c r="X64" s="1046"/>
      <c r="Z64" s="1008"/>
      <c r="AB64" s="7" t="s">
        <v>2014</v>
      </c>
      <c r="AC64" s="541" t="s">
        <v>2015</v>
      </c>
      <c r="AD64" s="7" t="s">
        <v>859</v>
      </c>
      <c r="AE64" s="170">
        <f ca="1">SUMIFS(ФОТ!AE$25:AE$89,ФОТ!$F$25:$F$89,$F64,ФОТ!$G$25:$G$89,$G64)</f>
        <v>0</v>
      </c>
      <c r="AF64" s="170">
        <f ca="1">SUMIFS(ФОТ!AF$25:AF$89,ФОТ!$F$25:$F$89,$F64,ФОТ!$G$25:$G$89,$G64)</f>
        <v>0</v>
      </c>
      <c r="AG64" s="170">
        <f ca="1">SUMIFS(ФОТ!AG$25:AG$89,ФОТ!$F$25:$F$89,$F64,ФОТ!$G$25:$G$89,$G64)</f>
        <v>0</v>
      </c>
      <c r="AH64" s="170">
        <f t="shared" ca="1" si="7"/>
        <v>0</v>
      </c>
      <c r="AI64" s="170">
        <f ca="1">SUMIFS(ФОТ!AH$25:AH$89,ФОТ!$F$25:$F$89,$F64,ФОТ!$G$25:$G$89,$G64)</f>
        <v>0</v>
      </c>
      <c r="AJ64" s="170">
        <f ca="1">SUMIFS(ФОТ!AI$25:AI$89,ФОТ!$F$25:$F$89,$F64,ФОТ!$G$25:$G$89,$G64)</f>
        <v>0</v>
      </c>
      <c r="AK64" s="540"/>
      <c r="AL64" s="540"/>
      <c r="AM64" s="540"/>
      <c r="AN64" s="540"/>
      <c r="AO64" s="540"/>
      <c r="AP64" s="540"/>
      <c r="AQ64" s="540"/>
      <c r="AR64" s="540"/>
      <c r="AS64" s="540"/>
      <c r="AT64" s="170">
        <f ca="1">SUMIFS(ФОТ!AJ$25:AJ$89,ФОТ!$F$25:$F$89,$F64,ФОТ!$G$25:$G$89,$G64)</f>
        <v>0</v>
      </c>
      <c r="AU64" s="540"/>
      <c r="AV64" s="540"/>
      <c r="AW64" s="540"/>
      <c r="AX64" s="540"/>
      <c r="AY64" s="540"/>
      <c r="AZ64" s="540"/>
      <c r="BA64" s="540"/>
      <c r="BB64" s="540"/>
      <c r="BC64" s="540"/>
      <c r="BD64" s="170">
        <f t="shared" ca="1" si="8"/>
        <v>0</v>
      </c>
      <c r="BE64" s="540"/>
      <c r="BF64" s="540"/>
      <c r="BG64" s="540"/>
      <c r="BH64" s="540"/>
      <c r="BI64" s="540"/>
      <c r="BJ64" s="540"/>
      <c r="BK64" s="540"/>
      <c r="BL64" s="540"/>
      <c r="BM64" s="540"/>
      <c r="BN64" s="774"/>
      <c r="BO64" s="778" t="str">
        <f ca="1">IF(IFERROR(INDEX(ФОТ!$K$26:$L$89,MATCH($F64&amp;"6komm",ФОТ!$K$26:$K$89,0),2),"")=0,"",IFERROR(INDEX(ФОТ!$K$26:$L$89,MATCH($F64&amp;"6komm",ФОТ!$K$26:$K$89,0),2),""))</f>
        <v/>
      </c>
      <c r="BP64" s="774"/>
      <c r="BS64" s="692" t="s">
        <v>1826</v>
      </c>
    </row>
    <row r="65" spans="2:75" ht="32.85" hidden="1" customHeight="1">
      <c r="C65" s="25"/>
      <c r="D65" s="25"/>
      <c r="E65" s="449">
        <v>33.75</v>
      </c>
      <c r="F65" s="3" cm="1">
        <f t="array" aca="1" ref="F65" ca="1">OFFSET(E65,-1,1)</f>
        <v>0</v>
      </c>
      <c r="G65" s="569" t="s">
        <v>1226</v>
      </c>
      <c r="H65" s="575"/>
      <c r="I65" s="575" t="s">
        <v>1409</v>
      </c>
      <c r="J65" s="25"/>
      <c r="K65" s="276" t="s">
        <v>1409</v>
      </c>
      <c r="L65" s="25" t="s">
        <v>970</v>
      </c>
      <c r="M65" s="25"/>
      <c r="N65" s="25"/>
      <c r="O65" s="25"/>
      <c r="P65" s="25"/>
      <c r="Q65" s="25"/>
      <c r="R65" s="25"/>
      <c r="S65" s="25"/>
      <c r="T65" s="351" t="b" cm="1">
        <f t="array" ref="T65">T64</f>
        <v>0</v>
      </c>
      <c r="U65" s="25"/>
      <c r="V65" s="25"/>
      <c r="W65" s="25"/>
      <c r="X65" s="1046"/>
      <c r="Z65" s="1008"/>
      <c r="AB65" s="7" t="s">
        <v>1410</v>
      </c>
      <c r="AC65" s="134" t="s">
        <v>2016</v>
      </c>
      <c r="AD65" s="7" t="s">
        <v>859</v>
      </c>
      <c r="AE65" s="170">
        <f ca="1">SUMIFS(Административные!AE$25:AE$65,Административные!$F$25:$F$65,$F65,Административные!$G$25:$G$65,$G65)</f>
        <v>0</v>
      </c>
      <c r="AF65" s="170">
        <f ca="1">SUMIFS(Административные!AF$25:AF$65,Административные!$F$25:$F$65,$F65,Административные!$G$25:$G$65,$G65)</f>
        <v>0</v>
      </c>
      <c r="AG65" s="170">
        <f ca="1">SUMIFS(Административные!AG$25:AG$65,Административные!$F$25:$F$65,$F65,Административные!$G$25:$G$65,$G65)</f>
        <v>0</v>
      </c>
      <c r="AH65" s="170">
        <f t="shared" ca="1" si="7"/>
        <v>0</v>
      </c>
      <c r="AI65" s="170">
        <f ca="1">SUMIFS(Административные!AH$25:AH$65,Административные!$F$25:$F$65,$F65,Административные!$G$25:$G$65,$G65)</f>
        <v>0</v>
      </c>
      <c r="AJ65" s="170">
        <f ca="1">SUMIFS(Административные!AI$25:AI$65,Административные!$F$25:$F$65,$F65,Административные!$G$25:$G$65,$G65)</f>
        <v>0</v>
      </c>
      <c r="AK65" s="540"/>
      <c r="AL65" s="540"/>
      <c r="AM65" s="540"/>
      <c r="AN65" s="540"/>
      <c r="AO65" s="540"/>
      <c r="AP65" s="540"/>
      <c r="AQ65" s="540"/>
      <c r="AR65" s="540"/>
      <c r="AS65" s="540"/>
      <c r="AT65" s="170">
        <f ca="1">SUMIFS(Административные!AJ$25:AJ$65,Административные!$F$25:$F$65,$F65,Административные!$G$25:$G$65,$G65)</f>
        <v>0</v>
      </c>
      <c r="AU65" s="540"/>
      <c r="AV65" s="540"/>
      <c r="AW65" s="540"/>
      <c r="AX65" s="540"/>
      <c r="AY65" s="540"/>
      <c r="AZ65" s="540"/>
      <c r="BA65" s="540"/>
      <c r="BB65" s="540"/>
      <c r="BC65" s="540"/>
      <c r="BD65" s="170">
        <f t="shared" ca="1" si="8"/>
        <v>0</v>
      </c>
      <c r="BE65" s="540"/>
      <c r="BF65" s="540"/>
      <c r="BG65" s="540"/>
      <c r="BH65" s="540"/>
      <c r="BI65" s="540"/>
      <c r="BJ65" s="540"/>
      <c r="BK65" s="540"/>
      <c r="BL65" s="540"/>
      <c r="BM65" s="540"/>
      <c r="BN65" s="774"/>
      <c r="BO65" s="778" t="str">
        <f ca="1">IF(IFERROR(INDEX(Административные!$K$26:$L$65,MATCH($F65&amp;"2komm",Административные!$K$26:$K$65,0),2),"")=0,"",IFERROR(INDEX(Административные!$K$26:$L$65,MATCH($F65&amp;"2komm",Административные!$K$26:$K$65,0),2),""))</f>
        <v/>
      </c>
      <c r="BP65" s="774"/>
      <c r="BS65" s="692" t="s">
        <v>1228</v>
      </c>
    </row>
    <row r="66" spans="2:75" ht="14.65" hidden="1" customHeight="1">
      <c r="C66" s="25"/>
      <c r="D66" s="25"/>
      <c r="E66" s="449">
        <v>15</v>
      </c>
      <c r="F66" s="3" cm="1">
        <f t="array" aca="1" ref="F66" ca="1">OFFSET(E66,-1,1)</f>
        <v>0</v>
      </c>
      <c r="G66" s="569" t="s">
        <v>1229</v>
      </c>
      <c r="H66" s="575"/>
      <c r="I66" s="575" t="s">
        <v>1413</v>
      </c>
      <c r="J66" s="25"/>
      <c r="K66" s="276" t="s">
        <v>1413</v>
      </c>
      <c r="L66" s="25" t="s">
        <v>972</v>
      </c>
      <c r="M66" s="25"/>
      <c r="N66" s="25"/>
      <c r="O66" s="25"/>
      <c r="P66" s="25"/>
      <c r="Q66" s="25"/>
      <c r="R66" s="25"/>
      <c r="S66" s="25"/>
      <c r="T66" s="351" t="b" cm="1">
        <f t="array" ref="T66">T65</f>
        <v>0</v>
      </c>
      <c r="U66" s="25"/>
      <c r="V66" s="25"/>
      <c r="W66" s="25"/>
      <c r="X66" s="1046"/>
      <c r="Z66" s="1008"/>
      <c r="AB66" s="7" t="s">
        <v>1414</v>
      </c>
      <c r="AC66" s="134" t="s">
        <v>2017</v>
      </c>
      <c r="AD66" s="7" t="s">
        <v>859</v>
      </c>
      <c r="AE66" s="170">
        <f ca="1">SUMIFS(Административные!AE$25:AE$65,Административные!$F$25:$F$65,$F66,Административные!$G$25:$G$65,$G66)</f>
        <v>0</v>
      </c>
      <c r="AF66" s="170">
        <f ca="1">SUMIFS(Административные!AF$25:AF$65,Административные!$F$25:$F$65,$F66,Административные!$G$25:$G$65,$G66)</f>
        <v>0</v>
      </c>
      <c r="AG66" s="170">
        <f ca="1">SUMIFS(Административные!AG$25:AG$65,Административные!$F$25:$F$65,$F66,Административные!$G$25:$G$65,$G66)</f>
        <v>0</v>
      </c>
      <c r="AH66" s="170">
        <f t="shared" ca="1" si="7"/>
        <v>0</v>
      </c>
      <c r="AI66" s="170">
        <f ca="1">SUMIFS(Административные!AH$25:AH$65,Административные!$F$25:$F$65,$F66,Административные!$G$25:$G$65,$G66)</f>
        <v>0</v>
      </c>
      <c r="AJ66" s="170">
        <f ca="1">SUMIFS(Административные!AI$25:AI$65,Административные!$F$25:$F$65,$F66,Административные!$G$25:$G$65,$G66)</f>
        <v>0</v>
      </c>
      <c r="AK66" s="540"/>
      <c r="AL66" s="540"/>
      <c r="AM66" s="540"/>
      <c r="AN66" s="540"/>
      <c r="AO66" s="540"/>
      <c r="AP66" s="540"/>
      <c r="AQ66" s="540"/>
      <c r="AR66" s="540"/>
      <c r="AS66" s="540"/>
      <c r="AT66" s="170">
        <f ca="1">SUMIFS(Административные!AJ$25:AJ$65,Административные!$F$25:$F$65,$F66,Административные!$G$25:$G$65,$G66)</f>
        <v>0</v>
      </c>
      <c r="AU66" s="540"/>
      <c r="AV66" s="540"/>
      <c r="AW66" s="540"/>
      <c r="AX66" s="540"/>
      <c r="AY66" s="540"/>
      <c r="AZ66" s="540"/>
      <c r="BA66" s="540"/>
      <c r="BB66" s="540"/>
      <c r="BC66" s="540"/>
      <c r="BD66" s="170">
        <f t="shared" ca="1" si="8"/>
        <v>0</v>
      </c>
      <c r="BE66" s="540"/>
      <c r="BF66" s="540"/>
      <c r="BG66" s="540"/>
      <c r="BH66" s="540"/>
      <c r="BI66" s="540"/>
      <c r="BJ66" s="540"/>
      <c r="BK66" s="540"/>
      <c r="BL66" s="540"/>
      <c r="BM66" s="540"/>
      <c r="BN66" s="774"/>
      <c r="BO66" s="778" t="str">
        <f ca="1">IF(IFERROR(INDEX(Административные!$K$26:$L$65,MATCH($F66&amp;"3komm",Административные!$K$26:$K$65,0),2),"")=0,"",IFERROR(INDEX(Административные!$K$26:$L$65,MATCH($F66&amp;"3komm",Административные!$K$26:$K$65,0),2),""))</f>
        <v/>
      </c>
      <c r="BP66" s="774"/>
      <c r="BS66" s="692" t="s">
        <v>1231</v>
      </c>
    </row>
    <row r="67" spans="2:75" ht="14.65" hidden="1" customHeight="1">
      <c r="C67" s="25"/>
      <c r="D67" s="25"/>
      <c r="E67" s="449">
        <v>15</v>
      </c>
      <c r="F67" s="3" cm="1">
        <f t="array" aca="1" ref="F67" ca="1">OFFSET(E67,-1,1)</f>
        <v>0</v>
      </c>
      <c r="G67" s="569" t="s">
        <v>1232</v>
      </c>
      <c r="H67" s="575"/>
      <c r="I67" s="575" t="s">
        <v>2018</v>
      </c>
      <c r="J67" s="25"/>
      <c r="K67" s="276" t="s">
        <v>2018</v>
      </c>
      <c r="L67" s="25" t="s">
        <v>975</v>
      </c>
      <c r="M67" s="25"/>
      <c r="N67" s="25"/>
      <c r="O67" s="25"/>
      <c r="P67" s="25"/>
      <c r="Q67" s="25"/>
      <c r="R67" s="25"/>
      <c r="S67" s="25"/>
      <c r="T67" s="351" t="b" cm="1">
        <f t="array" ref="T67">T66</f>
        <v>0</v>
      </c>
      <c r="U67" s="25"/>
      <c r="V67" s="25"/>
      <c r="W67" s="25"/>
      <c r="X67" s="1046"/>
      <c r="Z67" s="1008"/>
      <c r="AB67" s="7" t="s">
        <v>2019</v>
      </c>
      <c r="AC67" s="134" t="s">
        <v>2020</v>
      </c>
      <c r="AD67" s="7" t="s">
        <v>859</v>
      </c>
      <c r="AE67" s="170">
        <f ca="1">SUMIFS(Административные!AE$25:AE$65,Административные!$F$25:$F$65,$F67,Административные!$G$25:$G$65,$G67)</f>
        <v>0</v>
      </c>
      <c r="AF67" s="170">
        <f ca="1">SUMIFS(Административные!AF$25:AF$65,Административные!$F$25:$F$65,$F67,Административные!$G$25:$G$65,$G67)</f>
        <v>0</v>
      </c>
      <c r="AG67" s="170">
        <f ca="1">SUMIFS(Административные!AG$25:AG$65,Административные!$F$25:$F$65,$F67,Административные!$G$25:$G$65,$G67)</f>
        <v>0</v>
      </c>
      <c r="AH67" s="170">
        <f t="shared" ca="1" si="7"/>
        <v>0</v>
      </c>
      <c r="AI67" s="170">
        <f ca="1">SUMIFS(Административные!AH$25:AH$65,Административные!$F$25:$F$65,$F67,Административные!$G$25:$G$65,$G67)</f>
        <v>0</v>
      </c>
      <c r="AJ67" s="170">
        <f ca="1">SUMIFS(Административные!AI$25:AI$65,Административные!$F$25:$F$65,$F67,Административные!$G$25:$G$65,$G67)</f>
        <v>0</v>
      </c>
      <c r="AK67" s="540"/>
      <c r="AL67" s="540"/>
      <c r="AM67" s="540"/>
      <c r="AN67" s="540"/>
      <c r="AO67" s="540"/>
      <c r="AP67" s="540"/>
      <c r="AQ67" s="540"/>
      <c r="AR67" s="540"/>
      <c r="AS67" s="540"/>
      <c r="AT67" s="170">
        <f ca="1">SUMIFS(Административные!AJ$25:AJ$65,Административные!$F$25:$F$65,$F67,Административные!$G$25:$G$65,$G67)</f>
        <v>0</v>
      </c>
      <c r="AU67" s="540"/>
      <c r="AV67" s="540"/>
      <c r="AW67" s="540"/>
      <c r="AX67" s="540"/>
      <c r="AY67" s="540"/>
      <c r="AZ67" s="540"/>
      <c r="BA67" s="540"/>
      <c r="BB67" s="540"/>
      <c r="BC67" s="540"/>
      <c r="BD67" s="170">
        <f t="shared" ca="1" si="8"/>
        <v>0</v>
      </c>
      <c r="BE67" s="540"/>
      <c r="BF67" s="540"/>
      <c r="BG67" s="540"/>
      <c r="BH67" s="540"/>
      <c r="BI67" s="540"/>
      <c r="BJ67" s="540"/>
      <c r="BK67" s="540"/>
      <c r="BL67" s="540"/>
      <c r="BM67" s="540"/>
      <c r="BN67" s="774"/>
      <c r="BO67" s="778" t="str">
        <f ca="1">IF(IFERROR(INDEX(Административные!$K$26:$L$65,MATCH($F67&amp;"4komm",Административные!$K$26:$K$65,0),2),"")=0,"",IFERROR(INDEX(Административные!$K$26:$L$65,MATCH($F67&amp;"4komm",Административные!$K$26:$K$65,0),2),""))</f>
        <v/>
      </c>
      <c r="BP67" s="774"/>
      <c r="BS67" s="692" t="s">
        <v>1234</v>
      </c>
    </row>
    <row r="68" spans="2:75" ht="14.65" hidden="1" customHeight="1">
      <c r="C68" s="25"/>
      <c r="D68" s="25"/>
      <c r="E68" s="449">
        <v>15</v>
      </c>
      <c r="F68" s="3" cm="1">
        <f t="array" aca="1" ref="F68" ca="1">OFFSET(E68,-1,1)</f>
        <v>0</v>
      </c>
      <c r="G68" s="569" t="s">
        <v>1235</v>
      </c>
      <c r="H68" s="575"/>
      <c r="I68" s="575" t="s">
        <v>2021</v>
      </c>
      <c r="J68" s="25"/>
      <c r="K68" s="276" t="s">
        <v>2021</v>
      </c>
      <c r="L68" s="25" t="s">
        <v>1217</v>
      </c>
      <c r="M68" s="25"/>
      <c r="N68" s="25"/>
      <c r="O68" s="25"/>
      <c r="P68" s="25"/>
      <c r="Q68" s="25"/>
      <c r="R68" s="25"/>
      <c r="S68" s="25"/>
      <c r="T68" s="351" t="b" cm="1">
        <f t="array" ref="T68">T67</f>
        <v>0</v>
      </c>
      <c r="U68" s="25"/>
      <c r="V68" s="25"/>
      <c r="W68" s="25"/>
      <c r="X68" s="1046"/>
      <c r="Z68" s="1008"/>
      <c r="AB68" s="7" t="s">
        <v>2022</v>
      </c>
      <c r="AC68" s="134" t="s">
        <v>2023</v>
      </c>
      <c r="AD68" s="7" t="s">
        <v>859</v>
      </c>
      <c r="AE68" s="170">
        <f ca="1">SUMIFS(Административные!AE$25:AE$65,Административные!$F$25:$F$65,$F68,Административные!$G$25:$G$65,$G68)</f>
        <v>0</v>
      </c>
      <c r="AF68" s="170">
        <f ca="1">SUMIFS(Административные!AF$25:AF$65,Административные!$F$25:$F$65,$F68,Административные!$G$25:$G$65,$G68)</f>
        <v>0</v>
      </c>
      <c r="AG68" s="170">
        <f ca="1">SUMIFS(Административные!AG$25:AG$65,Административные!$F$25:$F$65,$F68,Административные!$G$25:$G$65,$G68)</f>
        <v>0</v>
      </c>
      <c r="AH68" s="170">
        <f t="shared" ca="1" si="7"/>
        <v>0</v>
      </c>
      <c r="AI68" s="170">
        <f ca="1">SUMIFS(Административные!AH$25:AH$65,Административные!$F$25:$F$65,$F68,Административные!$G$25:$G$65,$G68)</f>
        <v>0</v>
      </c>
      <c r="AJ68" s="170">
        <f ca="1">SUMIFS(Административные!AI$25:AI$65,Административные!$F$25:$F$65,$F68,Административные!$G$25:$G$65,$G68)</f>
        <v>0</v>
      </c>
      <c r="AK68" s="540"/>
      <c r="AL68" s="540"/>
      <c r="AM68" s="540"/>
      <c r="AN68" s="540"/>
      <c r="AO68" s="540"/>
      <c r="AP68" s="540"/>
      <c r="AQ68" s="540"/>
      <c r="AR68" s="540"/>
      <c r="AS68" s="540"/>
      <c r="AT68" s="170">
        <f ca="1">SUMIFS(Административные!AJ$25:AJ$65,Административные!$F$25:$F$65,$F68,Административные!$G$25:$G$65,$G68)</f>
        <v>0</v>
      </c>
      <c r="AU68" s="540"/>
      <c r="AV68" s="540"/>
      <c r="AW68" s="540"/>
      <c r="AX68" s="540"/>
      <c r="AY68" s="540"/>
      <c r="AZ68" s="540"/>
      <c r="BA68" s="540"/>
      <c r="BB68" s="540"/>
      <c r="BC68" s="540"/>
      <c r="BD68" s="170">
        <f t="shared" ca="1" si="8"/>
        <v>0</v>
      </c>
      <c r="BE68" s="540"/>
      <c r="BF68" s="540"/>
      <c r="BG68" s="540"/>
      <c r="BH68" s="540"/>
      <c r="BI68" s="540"/>
      <c r="BJ68" s="540"/>
      <c r="BK68" s="540"/>
      <c r="BL68" s="540"/>
      <c r="BM68" s="540"/>
      <c r="BN68" s="774"/>
      <c r="BO68" s="778" t="str">
        <f ca="1">IF(IFERROR(INDEX(Административные!$K$26:$L$65,MATCH($F68&amp;"5komm",Административные!$K$26:$K$65,0),2),"")=0,"",IFERROR(INDEX(Административные!$K$26:$L$65,MATCH($F68&amp;"5komm",Административные!$K$26:$K$65,0),2),""))</f>
        <v/>
      </c>
      <c r="BP68" s="774"/>
      <c r="BS68" s="692" t="s">
        <v>1828</v>
      </c>
    </row>
    <row r="69" spans="2:75" ht="14.65" hidden="1" customHeight="1">
      <c r="C69" s="25"/>
      <c r="D69" s="25"/>
      <c r="E69" s="449">
        <v>15</v>
      </c>
      <c r="F69" s="3" cm="1">
        <f t="array" aca="1" ref="F69" ca="1">OFFSET(E69,-1,1)</f>
        <v>0</v>
      </c>
      <c r="G69" s="569" t="s">
        <v>1238</v>
      </c>
      <c r="H69" s="575"/>
      <c r="I69" s="575" t="s">
        <v>2024</v>
      </c>
      <c r="J69" s="25"/>
      <c r="K69" s="276" t="s">
        <v>2024</v>
      </c>
      <c r="L69" s="25" t="s">
        <v>1222</v>
      </c>
      <c r="M69" s="25"/>
      <c r="N69" s="25"/>
      <c r="O69" s="25"/>
      <c r="P69" s="25"/>
      <c r="Q69" s="25"/>
      <c r="R69" s="25"/>
      <c r="S69" s="25"/>
      <c r="T69" s="351" t="b" cm="1">
        <f t="array" ref="T69">T68</f>
        <v>0</v>
      </c>
      <c r="U69" s="25"/>
      <c r="V69" s="25"/>
      <c r="W69" s="25"/>
      <c r="X69" s="1046"/>
      <c r="Z69" s="1008"/>
      <c r="AB69" s="7" t="s">
        <v>2025</v>
      </c>
      <c r="AC69" s="134" t="s">
        <v>2026</v>
      </c>
      <c r="AD69" s="7" t="s">
        <v>859</v>
      </c>
      <c r="AE69" s="170">
        <f ca="1">SUMIFS(Административные!AE$25:AE$65,Административные!$F$25:$F$65,$F69,Административные!$G$25:$G$65,$G69)</f>
        <v>0</v>
      </c>
      <c r="AF69" s="170">
        <f ca="1">SUMIFS(Административные!AF$25:AF$65,Административные!$F$25:$F$65,$F69,Административные!$G$25:$G$65,$G69)</f>
        <v>0</v>
      </c>
      <c r="AG69" s="170">
        <f ca="1">SUMIFS(Административные!AG$25:AG$65,Административные!$F$25:$F$65,$F69,Административные!$G$25:$G$65,$G69)</f>
        <v>0</v>
      </c>
      <c r="AH69" s="170">
        <f t="shared" ca="1" si="7"/>
        <v>0</v>
      </c>
      <c r="AI69" s="170">
        <f ca="1">SUMIFS(Административные!AH$25:AH$65,Административные!$F$25:$F$65,$F69,Административные!$G$25:$G$65,$G69)</f>
        <v>0</v>
      </c>
      <c r="AJ69" s="170">
        <f ca="1">SUMIFS(Административные!AI$25:AI$65,Административные!$F$25:$F$65,$F69,Административные!$G$25:$G$65,$G69)</f>
        <v>0</v>
      </c>
      <c r="AK69" s="540"/>
      <c r="AL69" s="540"/>
      <c r="AM69" s="540"/>
      <c r="AN69" s="540"/>
      <c r="AO69" s="540"/>
      <c r="AP69" s="540"/>
      <c r="AQ69" s="540"/>
      <c r="AR69" s="540"/>
      <c r="AS69" s="540"/>
      <c r="AT69" s="170">
        <f ca="1">SUMIFS(Административные!AJ$25:AJ$65,Административные!$F$25:$F$65,$F69,Административные!$G$25:$G$65,$G69)</f>
        <v>0</v>
      </c>
      <c r="AU69" s="540"/>
      <c r="AV69" s="540"/>
      <c r="AW69" s="540"/>
      <c r="AX69" s="540"/>
      <c r="AY69" s="540"/>
      <c r="AZ69" s="540"/>
      <c r="BA69" s="540"/>
      <c r="BB69" s="540"/>
      <c r="BC69" s="540"/>
      <c r="BD69" s="170">
        <f t="shared" ca="1" si="8"/>
        <v>0</v>
      </c>
      <c r="BE69" s="540"/>
      <c r="BF69" s="540"/>
      <c r="BG69" s="540"/>
      <c r="BH69" s="540"/>
      <c r="BI69" s="540"/>
      <c r="BJ69" s="540"/>
      <c r="BK69" s="540"/>
      <c r="BL69" s="540"/>
      <c r="BM69" s="540"/>
      <c r="BN69" s="774"/>
      <c r="BO69" s="778" t="str">
        <f ca="1">IF(IFERROR(INDEX(Административные!$K$26:$L$65,MATCH($F69&amp;"6komm",Административные!$K$26:$K$65,0),2),"")=0,"",IFERROR(INDEX(Административные!$K$26:$L$65,MATCH($F69&amp;"6komm",Административные!$K$26:$K$65,0),2),""))</f>
        <v/>
      </c>
      <c r="BP69" s="774"/>
      <c r="BS69" s="692" t="s">
        <v>1830</v>
      </c>
    </row>
    <row r="70" spans="2:75" ht="14.65" hidden="1" customHeight="1">
      <c r="C70" s="25"/>
      <c r="D70" s="25"/>
      <c r="E70" s="449">
        <v>15</v>
      </c>
      <c r="F70" s="3" cm="1">
        <f t="array" aca="1" ref="F70" ca="1">OFFSET(E70,-1,1)</f>
        <v>0</v>
      </c>
      <c r="G70" s="569" t="s">
        <v>1240</v>
      </c>
      <c r="H70" s="575"/>
      <c r="I70" s="575" t="s">
        <v>2027</v>
      </c>
      <c r="J70" s="25"/>
      <c r="K70" s="276" t="s">
        <v>2027</v>
      </c>
      <c r="L70" s="25" t="s">
        <v>1831</v>
      </c>
      <c r="M70" s="25"/>
      <c r="N70" s="25"/>
      <c r="O70" s="25"/>
      <c r="P70" s="25"/>
      <c r="Q70" s="25"/>
      <c r="R70" s="25"/>
      <c r="S70" s="25"/>
      <c r="T70" s="351" t="b" cm="1">
        <f t="array" ref="T70">T69</f>
        <v>0</v>
      </c>
      <c r="U70" s="25"/>
      <c r="V70" s="25"/>
      <c r="W70" s="25"/>
      <c r="X70" s="1046"/>
      <c r="Z70" s="1008"/>
      <c r="AB70" s="7" t="s">
        <v>2028</v>
      </c>
      <c r="AC70" s="541" t="s">
        <v>1833</v>
      </c>
      <c r="AD70" s="7" t="s">
        <v>859</v>
      </c>
      <c r="AE70" s="170">
        <f ca="1">SUMIFS(Административные!AE$25:AE$65,Административные!$F$25:$F$65,$F70,Административные!$G$25:$G$65,$G70)</f>
        <v>0</v>
      </c>
      <c r="AF70" s="170">
        <f ca="1">SUMIFS(Административные!AF$25:AF$65,Административные!$F$25:$F$65,$F70,Административные!$G$25:$G$65,$G70)</f>
        <v>0</v>
      </c>
      <c r="AG70" s="170">
        <f ca="1">SUMIFS(Административные!AG$25:AG$65,Административные!$F$25:$F$65,$F70,Административные!$G$25:$G$65,$G70)</f>
        <v>0</v>
      </c>
      <c r="AH70" s="170">
        <f t="shared" ca="1" si="7"/>
        <v>0</v>
      </c>
      <c r="AI70" s="170">
        <f ca="1">SUMIFS(Административные!AH$25:AH$65,Административные!$F$25:$F$65,$F70,Административные!$G$25:$G$65,$G70)</f>
        <v>0</v>
      </c>
      <c r="AJ70" s="170">
        <f ca="1">SUMIFS(Административные!AI$25:AI$65,Административные!$F$25:$F$65,$F70,Административные!$G$25:$G$65,$G70)</f>
        <v>0</v>
      </c>
      <c r="AK70" s="540"/>
      <c r="AL70" s="540"/>
      <c r="AM70" s="540"/>
      <c r="AN70" s="540"/>
      <c r="AO70" s="540"/>
      <c r="AP70" s="540"/>
      <c r="AQ70" s="540"/>
      <c r="AR70" s="540"/>
      <c r="AS70" s="540"/>
      <c r="AT70" s="170">
        <f ca="1">SUMIFS(Административные!AJ$25:AJ$65,Административные!$F$25:$F$65,$F70,Административные!$G$25:$G$65,$G70)</f>
        <v>0</v>
      </c>
      <c r="AU70" s="540"/>
      <c r="AV70" s="540"/>
      <c r="AW70" s="540"/>
      <c r="AX70" s="540"/>
      <c r="AY70" s="540"/>
      <c r="AZ70" s="540"/>
      <c r="BA70" s="540"/>
      <c r="BB70" s="540"/>
      <c r="BC70" s="540"/>
      <c r="BD70" s="170">
        <f t="shared" ca="1" si="8"/>
        <v>0</v>
      </c>
      <c r="BE70" s="540"/>
      <c r="BF70" s="540"/>
      <c r="BG70" s="540"/>
      <c r="BH70" s="540"/>
      <c r="BI70" s="540"/>
      <c r="BJ70" s="540"/>
      <c r="BK70" s="540"/>
      <c r="BL70" s="540"/>
      <c r="BM70" s="540"/>
      <c r="BN70" s="774"/>
      <c r="BO70" s="778" t="str">
        <f ca="1">IF(IFERROR(INDEX(Административные!$K$26:$L$65,MATCH($F70&amp;"7komm",Административные!$K$26:$K$65,0),2),"")=0,"",IFERROR(INDEX(Административные!$K$26:$L$65,MATCH($F70&amp;"7komm",Административные!$K$26:$K$65,0),2),""))</f>
        <v/>
      </c>
      <c r="BP70" s="774"/>
      <c r="BS70" s="692" t="s">
        <v>1834</v>
      </c>
    </row>
    <row r="71" spans="2:75" ht="14.65" hidden="1" customHeight="1">
      <c r="C71" s="25"/>
      <c r="D71" s="25"/>
      <c r="E71" s="449">
        <v>15</v>
      </c>
      <c r="F71" s="3" cm="1">
        <f t="array" aca="1" ref="F71" ca="1">OFFSET(E71,-1,1)</f>
        <v>0</v>
      </c>
      <c r="G71" s="569" t="s">
        <v>1243</v>
      </c>
      <c r="H71" s="575"/>
      <c r="I71" s="575" t="s">
        <v>2029</v>
      </c>
      <c r="J71" s="25"/>
      <c r="K71" s="276" t="s">
        <v>2029</v>
      </c>
      <c r="L71" s="25" t="s">
        <v>1835</v>
      </c>
      <c r="M71" s="25"/>
      <c r="N71" s="25"/>
      <c r="O71" s="25"/>
      <c r="P71" s="25"/>
      <c r="Q71" s="25"/>
      <c r="R71" s="25"/>
      <c r="S71" s="25"/>
      <c r="T71" s="351" t="b" cm="1">
        <f t="array" ref="T71">T70</f>
        <v>0</v>
      </c>
      <c r="U71" s="25"/>
      <c r="V71" s="25"/>
      <c r="W71" s="25"/>
      <c r="X71" s="1046"/>
      <c r="Z71" s="1008"/>
      <c r="AB71" s="7" t="s">
        <v>2030</v>
      </c>
      <c r="AC71" s="541" t="s">
        <v>1244</v>
      </c>
      <c r="AD71" s="7" t="s">
        <v>859</v>
      </c>
      <c r="AE71" s="170">
        <f ca="1">SUMIFS(Административные!AE$25:AE$65,Административные!$F$25:$F$65,$F71,Административные!$G$25:$G$65,$G71)</f>
        <v>0</v>
      </c>
      <c r="AF71" s="170">
        <f ca="1">SUMIFS(Административные!AF$25:AF$65,Административные!$F$25:$F$65,$F71,Административные!$G$25:$G$65,$G71)</f>
        <v>0</v>
      </c>
      <c r="AG71" s="170">
        <f ca="1">SUMIFS(Административные!AG$25:AG$65,Административные!$F$25:$F$65,$F71,Административные!$G$25:$G$65,$G71)</f>
        <v>0</v>
      </c>
      <c r="AH71" s="170">
        <f t="shared" ca="1" si="7"/>
        <v>0</v>
      </c>
      <c r="AI71" s="170">
        <f ca="1">SUMIFS(Административные!AH$25:AH$65,Административные!$F$25:$F$65,$F71,Административные!$G$25:$G$65,$G71)</f>
        <v>0</v>
      </c>
      <c r="AJ71" s="170">
        <f ca="1">SUMIFS(Административные!AI$25:AI$65,Административные!$F$25:$F$65,$F71,Административные!$G$25:$G$65,$G71)</f>
        <v>0</v>
      </c>
      <c r="AK71" s="540"/>
      <c r="AL71" s="540"/>
      <c r="AM71" s="540"/>
      <c r="AN71" s="540"/>
      <c r="AO71" s="540"/>
      <c r="AP71" s="540"/>
      <c r="AQ71" s="540"/>
      <c r="AR71" s="540"/>
      <c r="AS71" s="540"/>
      <c r="AT71" s="170">
        <f ca="1">SUMIFS(Административные!AJ$25:AJ$65,Административные!$F$25:$F$65,$F71,Административные!$G$25:$G$65,$G71)</f>
        <v>0</v>
      </c>
      <c r="AU71" s="540"/>
      <c r="AV71" s="540"/>
      <c r="AW71" s="540"/>
      <c r="AX71" s="540"/>
      <c r="AY71" s="540"/>
      <c r="AZ71" s="540"/>
      <c r="BA71" s="540"/>
      <c r="BB71" s="540"/>
      <c r="BC71" s="540"/>
      <c r="BD71" s="170">
        <f t="shared" ca="1" si="8"/>
        <v>0</v>
      </c>
      <c r="BE71" s="540"/>
      <c r="BF71" s="540"/>
      <c r="BG71" s="540"/>
      <c r="BH71" s="540"/>
      <c r="BI71" s="540"/>
      <c r="BJ71" s="540"/>
      <c r="BK71" s="540"/>
      <c r="BL71" s="540"/>
      <c r="BM71" s="540"/>
      <c r="BN71" s="774"/>
      <c r="BO71" s="778" t="str">
        <f ca="1">IF(IFERROR(INDEX(Административные!$K$26:$L$65,MATCH($F71&amp;"8komm",Административные!$K$26:$K$65,0),2),"")=0,"",IFERROR(INDEX(Административные!$K$26:$L$65,MATCH($F71&amp;"8komm",Административные!$K$26:$K$65,0),2),""))</f>
        <v/>
      </c>
      <c r="BP71" s="774"/>
      <c r="BS71" s="692" t="s">
        <v>1837</v>
      </c>
    </row>
    <row r="72" spans="2:75" ht="14.65" hidden="1" customHeight="1">
      <c r="C72" s="25"/>
      <c r="D72" s="25"/>
      <c r="E72" s="449">
        <v>15</v>
      </c>
      <c r="F72" s="3" cm="1">
        <f t="array" aca="1" ref="F72" ca="1">OFFSET(E72,-1,1)</f>
        <v>0</v>
      </c>
      <c r="G72" s="25" t="s">
        <v>1246</v>
      </c>
      <c r="H72" s="575"/>
      <c r="I72" s="575" t="s">
        <v>2031</v>
      </c>
      <c r="J72" s="25"/>
      <c r="K72" s="276" t="s">
        <v>2031</v>
      </c>
      <c r="L72" s="25" t="s">
        <v>1838</v>
      </c>
      <c r="M72" s="25"/>
      <c r="N72" s="25"/>
      <c r="O72" s="25"/>
      <c r="P72" s="25"/>
      <c r="Q72" s="25"/>
      <c r="R72" s="25"/>
      <c r="S72" s="25"/>
      <c r="T72" s="351" t="b" cm="1">
        <f t="array" ref="T72">T71</f>
        <v>0</v>
      </c>
      <c r="U72" s="25"/>
      <c r="V72" s="25"/>
      <c r="W72" s="25"/>
      <c r="X72" s="1046"/>
      <c r="Z72" s="1008"/>
      <c r="AB72" s="7" t="s">
        <v>2032</v>
      </c>
      <c r="AC72" s="541" t="s">
        <v>1247</v>
      </c>
      <c r="AD72" s="7" t="s">
        <v>859</v>
      </c>
      <c r="AE72" s="170">
        <f ca="1">SUMIFS(Административные!AE$25:AE$65,Административные!$F$25:$F$65,$F72,Административные!$G$25:$G$65,$G72)</f>
        <v>0</v>
      </c>
      <c r="AF72" s="170">
        <f ca="1">SUMIFS(Административные!AF$25:AF$65,Административные!$F$25:$F$65,$F72,Административные!$G$25:$G$65,$G72)</f>
        <v>0</v>
      </c>
      <c r="AG72" s="170">
        <f ca="1">SUMIFS(Административные!AG$25:AG$65,Административные!$F$25:$F$65,$F72,Административные!$G$25:$G$65,$G72)</f>
        <v>0</v>
      </c>
      <c r="AH72" s="170">
        <f t="shared" ca="1" si="7"/>
        <v>0</v>
      </c>
      <c r="AI72" s="170">
        <f ca="1">SUMIFS(Административные!AH$25:AH$65,Административные!$F$25:$F$65,$F72,Административные!$G$25:$G$65,$G72)</f>
        <v>0</v>
      </c>
      <c r="AJ72" s="170">
        <f ca="1">SUMIFS(Административные!AI$25:AI$65,Административные!$F$25:$F$65,$F72,Административные!$G$25:$G$65,$G72)</f>
        <v>0</v>
      </c>
      <c r="AK72" s="540"/>
      <c r="AL72" s="540"/>
      <c r="AM72" s="540"/>
      <c r="AN72" s="540"/>
      <c r="AO72" s="540"/>
      <c r="AP72" s="540"/>
      <c r="AQ72" s="540"/>
      <c r="AR72" s="540"/>
      <c r="AS72" s="540"/>
      <c r="AT72" s="170">
        <f ca="1">SUMIFS(Административные!AJ$25:AJ$65,Административные!$F$25:$F$65,$F72,Административные!$G$25:$G$65,$G72)</f>
        <v>0</v>
      </c>
      <c r="AU72" s="540"/>
      <c r="AV72" s="540"/>
      <c r="AW72" s="540"/>
      <c r="AX72" s="540"/>
      <c r="AY72" s="540"/>
      <c r="AZ72" s="540"/>
      <c r="BA72" s="540"/>
      <c r="BB72" s="540"/>
      <c r="BC72" s="540"/>
      <c r="BD72" s="170">
        <f t="shared" ca="1" si="8"/>
        <v>0</v>
      </c>
      <c r="BE72" s="540"/>
      <c r="BF72" s="540"/>
      <c r="BG72" s="540"/>
      <c r="BH72" s="540"/>
      <c r="BI72" s="540"/>
      <c r="BJ72" s="540"/>
      <c r="BK72" s="540"/>
      <c r="BL72" s="540"/>
      <c r="BM72" s="540"/>
      <c r="BN72" s="774"/>
      <c r="BO72" s="778" t="str">
        <f ca="1">IF(IFERROR(INDEX(Административные!$K$26:$L$65,MATCH($F72&amp;"9komm",Административные!$K$26:$K$65,0),2),"")=0,"",IFERROR(INDEX(Административные!$K$26:$L$65,MATCH($F72&amp;"9komm",Административные!$K$26:$K$65,0),2),""))</f>
        <v/>
      </c>
      <c r="BP72" s="774"/>
      <c r="BS72" s="692" t="s">
        <v>1840</v>
      </c>
    </row>
    <row r="73" spans="2:75" ht="21.95" hidden="1" customHeight="1">
      <c r="B73" s="328" t="b">
        <f>STATUS_GO="да"</f>
        <v>1</v>
      </c>
      <c r="C73" s="25"/>
      <c r="D73" s="25"/>
      <c r="E73" s="449">
        <v>22.5</v>
      </c>
      <c r="F73" s="3" cm="1">
        <f t="array" aca="1" ref="F73" ca="1">OFFSET(E73,-1,1)</f>
        <v>0</v>
      </c>
      <c r="G73" s="25"/>
      <c r="H73" s="575"/>
      <c r="I73" s="575" t="s">
        <v>948</v>
      </c>
      <c r="J73" s="25"/>
      <c r="K73" s="276" t="s">
        <v>948</v>
      </c>
      <c r="L73" s="25" t="s">
        <v>325</v>
      </c>
      <c r="M73" s="25"/>
      <c r="N73" s="25"/>
      <c r="O73" s="25"/>
      <c r="P73" s="25"/>
      <c r="Q73" s="25"/>
      <c r="R73" s="25"/>
      <c r="S73" s="25"/>
      <c r="T73" s="351" t="b" cm="1">
        <f t="array" ref="T73">T72</f>
        <v>0</v>
      </c>
      <c r="U73" s="25"/>
      <c r="V73" s="25"/>
      <c r="W73" s="25"/>
      <c r="X73" s="1046"/>
      <c r="Z73" s="1008"/>
      <c r="AB73" s="7" t="s">
        <v>949</v>
      </c>
      <c r="AC73" s="127" t="s">
        <v>2033</v>
      </c>
      <c r="AD73" s="7" t="s">
        <v>859</v>
      </c>
      <c r="AE73" s="170">
        <f ca="1">SUMIFS('Сбытовые расходы ГО'!AE$25:AE$51,'Сбытовые расходы ГО'!$F$25:$F$51,$F73,'Сбытовые расходы ГО'!$G$25:$G$51,"L0")-SUMIFS('Сбытовые расходы ГО'!AE$25:AE$51,'Сбытовые расходы ГО'!$F$25:$F$51,$F73,'Сбытовые расходы ГО'!$G$25:$G$51,"L1")</f>
        <v>0</v>
      </c>
      <c r="AF73" s="170">
        <f ca="1">SUMIFS('Сбытовые расходы ГО'!AF$25:AF$51,'Сбытовые расходы ГО'!$F$25:$F$51,$F73,'Сбытовые расходы ГО'!$G$25:$G$51,"L0")-SUMIFS('Сбытовые расходы ГО'!AF$25:AF$51,'Сбытовые расходы ГО'!$F$25:$F$51,$F73,'Сбытовые расходы ГО'!$G$25:$G$51,"L1")</f>
        <v>0</v>
      </c>
      <c r="AG73" s="170">
        <f ca="1">SUMIFS('Сбытовые расходы ГО'!AG$25:AG$51,'Сбытовые расходы ГО'!$F$25:$F$51,$F73,'Сбытовые расходы ГО'!$G$25:$G$51,"L0")-SUMIFS('Сбытовые расходы ГО'!AG$25:AG$51,'Сбытовые расходы ГО'!$F$25:$F$51,$F73,'Сбытовые расходы ГО'!$G$25:$G$51,"L1")</f>
        <v>0</v>
      </c>
      <c r="AH73" s="170">
        <f t="shared" ca="1" si="7"/>
        <v>0</v>
      </c>
      <c r="AI73" s="170">
        <f ca="1">SUMIFS('Сбытовые расходы ГО'!AH$25:AH$51,'Сбытовые расходы ГО'!$F$25:$F$51,$F73,'Сбытовые расходы ГО'!$G$25:$G$51,"L0")-SUMIFS('Сбытовые расходы ГО'!AH$25:AH$51,'Сбытовые расходы ГО'!$F$25:$F$51,$F73,'Сбытовые расходы ГО'!$G$25:$G$51,"L1")</f>
        <v>0</v>
      </c>
      <c r="AJ73" s="170">
        <f ca="1">SUMIFS('Сбытовые расходы ГО'!AI$25:AI$51,'Сбытовые расходы ГО'!$F$25:$F$51,$F73,'Сбытовые расходы ГО'!$G$25:$G$51,"L0")-SUMIFS('Сбытовые расходы ГО'!AI$25:AI$51,'Сбытовые расходы ГО'!$F$25:$F$51,$F73,'Сбытовые расходы ГО'!$G$25:$G$51,"L1")</f>
        <v>0</v>
      </c>
      <c r="AK73" s="540"/>
      <c r="AL73" s="540"/>
      <c r="AM73" s="540"/>
      <c r="AN73" s="540"/>
      <c r="AO73" s="540"/>
      <c r="AP73" s="540"/>
      <c r="AQ73" s="540"/>
      <c r="AR73" s="540"/>
      <c r="AS73" s="540"/>
      <c r="AT73" s="170">
        <f ca="1">SUMIFS('Сбытовые расходы ГО'!AJ$25:AJ$51,'Сбытовые расходы ГО'!$F$25:$F$51,$F73,'Сбытовые расходы ГО'!$G$25:$G$51,"L0")-SUMIFS('Сбытовые расходы ГО'!AJ$25:AJ$51,'Сбытовые расходы ГО'!$F$25:$F$51,$F73,'Сбытовые расходы ГО'!$G$25:$G$51,"L1")</f>
        <v>0</v>
      </c>
      <c r="AU73" s="540"/>
      <c r="AV73" s="540"/>
      <c r="AW73" s="540"/>
      <c r="AX73" s="540"/>
      <c r="AY73" s="540"/>
      <c r="AZ73" s="540"/>
      <c r="BA73" s="540"/>
      <c r="BB73" s="540"/>
      <c r="BC73" s="540"/>
      <c r="BD73" s="170">
        <f t="shared" ca="1" si="8"/>
        <v>0</v>
      </c>
      <c r="BE73" s="540"/>
      <c r="BF73" s="540"/>
      <c r="BG73" s="540"/>
      <c r="BH73" s="540"/>
      <c r="BI73" s="540"/>
      <c r="BJ73" s="540"/>
      <c r="BK73" s="540"/>
      <c r="BL73" s="540"/>
      <c r="BM73" s="540"/>
      <c r="BN73" s="774"/>
      <c r="BO73" s="774"/>
      <c r="BP73" s="774"/>
      <c r="BS73" s="693" t="s">
        <v>1842</v>
      </c>
    </row>
    <row r="74" spans="2:75" ht="14.65" hidden="1" customHeight="1">
      <c r="C74" s="25"/>
      <c r="D74" s="25"/>
      <c r="E74" s="449">
        <v>15</v>
      </c>
      <c r="F74" s="3" cm="1">
        <f t="array" aca="1" ref="F74" ca="1">OFFSET(E74,-1,1)</f>
        <v>0</v>
      </c>
      <c r="G74" s="25"/>
      <c r="H74" s="575"/>
      <c r="I74" s="575" t="s">
        <v>1780</v>
      </c>
      <c r="J74" s="25"/>
      <c r="K74" s="276" t="s">
        <v>1780</v>
      </c>
      <c r="L74" s="25"/>
      <c r="M74" s="25"/>
      <c r="N74" s="25"/>
      <c r="O74" s="25"/>
      <c r="P74" s="25"/>
      <c r="Q74" s="25"/>
      <c r="R74" s="25"/>
      <c r="S74" s="25"/>
      <c r="T74" s="351" t="b" cm="1">
        <f t="array" ref="T74">T73</f>
        <v>0</v>
      </c>
      <c r="U74" s="25"/>
      <c r="V74" s="25"/>
      <c r="W74" s="25"/>
      <c r="X74" s="1046"/>
      <c r="Z74" s="1008"/>
      <c r="AB74" s="7" t="s">
        <v>1781</v>
      </c>
      <c r="AC74" s="127" t="s">
        <v>2034</v>
      </c>
      <c r="AD74" s="7" t="s">
        <v>859</v>
      </c>
      <c r="AE74" s="777"/>
      <c r="AF74" s="777"/>
      <c r="AG74" s="777"/>
      <c r="AH74" s="170">
        <f t="shared" si="7"/>
        <v>0</v>
      </c>
      <c r="AI74" s="777"/>
      <c r="AJ74" s="128"/>
      <c r="AK74" s="540"/>
      <c r="AL74" s="540"/>
      <c r="AM74" s="540"/>
      <c r="AN74" s="540"/>
      <c r="AO74" s="540"/>
      <c r="AP74" s="540"/>
      <c r="AQ74" s="540"/>
      <c r="AR74" s="540"/>
      <c r="AS74" s="540"/>
      <c r="AT74" s="128"/>
      <c r="AU74" s="540"/>
      <c r="AV74" s="540"/>
      <c r="AW74" s="540"/>
      <c r="AX74" s="540"/>
      <c r="AY74" s="540"/>
      <c r="AZ74" s="540"/>
      <c r="BA74" s="540"/>
      <c r="BB74" s="540"/>
      <c r="BC74" s="540"/>
      <c r="BD74" s="170">
        <f t="shared" si="8"/>
        <v>0</v>
      </c>
      <c r="BE74" s="540"/>
      <c r="BF74" s="540"/>
      <c r="BG74" s="540"/>
      <c r="BH74" s="540"/>
      <c r="BI74" s="540"/>
      <c r="BJ74" s="540"/>
      <c r="BK74" s="540"/>
      <c r="BL74" s="540"/>
      <c r="BM74" s="540"/>
      <c r="BN74" s="774"/>
      <c r="BO74" s="774"/>
      <c r="BP74" s="774"/>
      <c r="BS74" s="694" t="s">
        <v>2035</v>
      </c>
    </row>
    <row r="75" spans="2:75" s="76" customFormat="1" ht="20.45" hidden="1" customHeight="1">
      <c r="B75" s="331"/>
      <c r="C75" s="27"/>
      <c r="D75" s="27"/>
      <c r="E75" s="557">
        <v>21</v>
      </c>
      <c r="F75" s="3" cm="1">
        <f t="array" aca="1" ref="F75" ca="1">OFFSET(E75,-1,1)</f>
        <v>0</v>
      </c>
      <c r="G75" s="27"/>
      <c r="H75" s="575"/>
      <c r="I75" s="575" t="s">
        <v>1784</v>
      </c>
      <c r="J75" s="27"/>
      <c r="K75" s="276" t="s">
        <v>1784</v>
      </c>
      <c r="L75" s="27"/>
      <c r="M75" s="27"/>
      <c r="N75" s="27"/>
      <c r="O75" s="27"/>
      <c r="P75" s="27"/>
      <c r="Q75" s="27"/>
      <c r="R75" s="27"/>
      <c r="S75" s="27"/>
      <c r="T75" s="351" t="b">
        <f ca="1">AND(F75&gt;0,method_reg="Метод индексации")</f>
        <v>0</v>
      </c>
      <c r="U75" s="27"/>
      <c r="V75" s="27"/>
      <c r="W75" s="27"/>
      <c r="X75" s="1046"/>
      <c r="Z75" s="1008"/>
      <c r="AB75" s="124" t="s">
        <v>1785</v>
      </c>
      <c r="AC75" s="262" t="s">
        <v>2036</v>
      </c>
      <c r="AD75" s="124" t="s">
        <v>859</v>
      </c>
      <c r="AE75" s="126">
        <f>SUM(AE76:AE77)</f>
        <v>0</v>
      </c>
      <c r="AF75" s="126">
        <f>SUM(AF76:AF77)</f>
        <v>0</v>
      </c>
      <c r="AG75" s="126">
        <f>SUM(AG76:AG77)</f>
        <v>0</v>
      </c>
      <c r="AH75" s="126">
        <f t="shared" si="7"/>
        <v>0</v>
      </c>
      <c r="AI75" s="126">
        <f>SUM(AI76:AI77)</f>
        <v>0</v>
      </c>
      <c r="AJ75" s="126">
        <f>SUM(AJ76:AJ77)</f>
        <v>0</v>
      </c>
      <c r="AK75" s="129"/>
      <c r="AL75" s="129"/>
      <c r="AM75" s="129"/>
      <c r="AN75" s="129"/>
      <c r="AO75" s="129"/>
      <c r="AP75" s="129"/>
      <c r="AQ75" s="129"/>
      <c r="AR75" s="129"/>
      <c r="AS75" s="129"/>
      <c r="AT75" s="126">
        <f>SUM(AT76:AT77)</f>
        <v>0</v>
      </c>
      <c r="AU75" s="129"/>
      <c r="AV75" s="129"/>
      <c r="AW75" s="129"/>
      <c r="AX75" s="129"/>
      <c r="AY75" s="129"/>
      <c r="AZ75" s="129"/>
      <c r="BA75" s="129"/>
      <c r="BB75" s="129"/>
      <c r="BC75" s="129"/>
      <c r="BD75" s="126">
        <f t="shared" si="8"/>
        <v>0</v>
      </c>
      <c r="BE75" s="129"/>
      <c r="BF75" s="129"/>
      <c r="BG75" s="129"/>
      <c r="BH75" s="129"/>
      <c r="BI75" s="129"/>
      <c r="BJ75" s="129"/>
      <c r="BK75" s="129"/>
      <c r="BL75" s="129"/>
      <c r="BM75" s="129"/>
      <c r="BN75" s="776"/>
      <c r="BO75" s="776"/>
      <c r="BP75" s="776"/>
      <c r="BS75" s="700" t="s">
        <v>2037</v>
      </c>
      <c r="BT75" s="700"/>
      <c r="BU75" s="700"/>
      <c r="BV75" s="509"/>
      <c r="BW75" s="509"/>
    </row>
    <row r="76" spans="2:75" ht="14.65" hidden="1" customHeight="1">
      <c r="B76" s="328" t="b">
        <f>method_reg="Метод индексации"</f>
        <v>1</v>
      </c>
      <c r="C76" s="25"/>
      <c r="D76" s="25"/>
      <c r="E76" s="449">
        <v>15</v>
      </c>
      <c r="F76" s="3" cm="1">
        <f t="array" aca="1" ref="F76" ca="1">OFFSET(E76,-1,1)</f>
        <v>0</v>
      </c>
      <c r="G76" s="25"/>
      <c r="H76" s="25"/>
      <c r="I76" s="575" t="s">
        <v>1784</v>
      </c>
      <c r="J76" s="25" cm="1">
        <f t="array" ref="J76">AC76</f>
        <v>0</v>
      </c>
      <c r="K76" s="276" t="s">
        <v>1784</v>
      </c>
      <c r="L76" s="25"/>
      <c r="M76" s="25"/>
      <c r="N76" s="25"/>
      <c r="O76" s="25"/>
      <c r="P76" s="25"/>
      <c r="Q76" s="25"/>
      <c r="R76" s="25"/>
      <c r="S76" s="25"/>
      <c r="T76" s="351" t="b">
        <f ca="1">AND(F76&gt;0,Y76&gt;0)</f>
        <v>0</v>
      </c>
      <c r="U76" s="25"/>
      <c r="V76" s="25"/>
      <c r="W76" s="25" t="s">
        <v>171</v>
      </c>
      <c r="X76" s="1046"/>
      <c r="Y76" s="72">
        <v>0</v>
      </c>
      <c r="Z76" s="1008"/>
      <c r="AA76" s="319" t="s">
        <v>172</v>
      </c>
      <c r="AB76" s="7" t="str">
        <f>"1.7."&amp;Y76</f>
        <v>1.7.0</v>
      </c>
      <c r="AC76" s="779"/>
      <c r="AD76" s="7" t="s">
        <v>859</v>
      </c>
      <c r="AE76" s="777"/>
      <c r="AF76" s="777"/>
      <c r="AG76" s="777"/>
      <c r="AH76" s="170">
        <f t="shared" si="7"/>
        <v>0</v>
      </c>
      <c r="AI76" s="777"/>
      <c r="AJ76" s="128"/>
      <c r="AK76" s="540"/>
      <c r="AL76" s="540"/>
      <c r="AM76" s="540"/>
      <c r="AN76" s="540"/>
      <c r="AO76" s="540"/>
      <c r="AP76" s="540"/>
      <c r="AQ76" s="540"/>
      <c r="AR76" s="540"/>
      <c r="AS76" s="540"/>
      <c r="AT76" s="128"/>
      <c r="AU76" s="540"/>
      <c r="AV76" s="540"/>
      <c r="AW76" s="540"/>
      <c r="AX76" s="540"/>
      <c r="AY76" s="540"/>
      <c r="AZ76" s="540"/>
      <c r="BA76" s="540"/>
      <c r="BB76" s="540"/>
      <c r="BC76" s="540"/>
      <c r="BD76" s="170">
        <f t="shared" si="8"/>
        <v>0</v>
      </c>
      <c r="BE76" s="540"/>
      <c r="BF76" s="540"/>
      <c r="BG76" s="540"/>
      <c r="BH76" s="540"/>
      <c r="BI76" s="540"/>
      <c r="BJ76" s="540"/>
      <c r="BK76" s="540"/>
      <c r="BL76" s="540"/>
      <c r="BM76" s="540"/>
      <c r="BN76" s="774"/>
      <c r="BO76" s="774"/>
      <c r="BP76" s="774"/>
      <c r="BS76" s="694" t="s">
        <v>2037</v>
      </c>
      <c r="BT76" s="694" t="s">
        <v>2038</v>
      </c>
      <c r="BU76" s="694" cm="1">
        <f t="array" ref="BU76">AC76</f>
        <v>0</v>
      </c>
      <c r="BW76" s="505" t="b">
        <v>1</v>
      </c>
    </row>
    <row r="77" spans="2:75" ht="14.65" hidden="1" customHeight="1">
      <c r="B77" s="328" t="b" cm="1">
        <f t="array" ref="B77">B76</f>
        <v>1</v>
      </c>
      <c r="C77" s="25"/>
      <c r="D77" s="25"/>
      <c r="E77" s="449">
        <v>15</v>
      </c>
      <c r="F77" s="3" cm="1">
        <f t="array" aca="1" ref="F77" ca="1">OFFSET(E77,-1,1)</f>
        <v>0</v>
      </c>
      <c r="G77" s="360"/>
      <c r="H77" s="25"/>
      <c r="I77" s="25"/>
      <c r="J77" s="25" t="s">
        <v>2039</v>
      </c>
      <c r="L77" s="25"/>
      <c r="M77" s="25"/>
      <c r="N77" s="25"/>
      <c r="O77" s="25"/>
      <c r="P77" s="25"/>
      <c r="Q77" s="25"/>
      <c r="R77" s="25"/>
      <c r="S77" s="25"/>
      <c r="T77" s="351" t="b">
        <f ca="1">F77&gt;0</f>
        <v>0</v>
      </c>
      <c r="U77" s="25"/>
      <c r="V77" s="25"/>
      <c r="W77" s="504" t="s">
        <v>388</v>
      </c>
      <c r="X77" s="1046"/>
      <c r="Z77" s="1008"/>
      <c r="AB77" s="587"/>
      <c r="AC77" s="171" t="s">
        <v>175</v>
      </c>
      <c r="AD77" s="545"/>
      <c r="AE77" s="545"/>
      <c r="AF77" s="545"/>
      <c r="AG77" s="545"/>
      <c r="AH77" s="545"/>
      <c r="AI77" s="545"/>
      <c r="AJ77" s="545"/>
      <c r="AK77" s="545"/>
      <c r="AL77" s="545"/>
      <c r="AM77" s="545"/>
      <c r="AN77" s="545"/>
      <c r="AO77" s="545"/>
      <c r="AP77" s="545"/>
      <c r="AQ77" s="545"/>
      <c r="AR77" s="545"/>
      <c r="AS77" s="545"/>
      <c r="AT77" s="545"/>
      <c r="AU77" s="545"/>
      <c r="AV77" s="545"/>
      <c r="AW77" s="545"/>
      <c r="AX77" s="545"/>
      <c r="AY77" s="545"/>
      <c r="AZ77" s="545"/>
      <c r="BA77" s="545"/>
      <c r="BB77" s="545"/>
      <c r="BC77" s="545"/>
      <c r="BD77" s="545"/>
      <c r="BE77" s="545"/>
      <c r="BF77" s="545"/>
      <c r="BG77" s="545"/>
      <c r="BH77" s="545"/>
      <c r="BI77" s="545"/>
      <c r="BJ77" s="545"/>
      <c r="BK77" s="545"/>
      <c r="BL77" s="545"/>
      <c r="BM77" s="545"/>
      <c r="BN77" s="545"/>
      <c r="BO77" s="545"/>
      <c r="BP77" s="546"/>
      <c r="BV77" s="505" t="s">
        <v>2038</v>
      </c>
    </row>
    <row r="78" spans="2:75" s="76" customFormat="1" ht="20.45" hidden="1" customHeight="1">
      <c r="B78" s="331"/>
      <c r="C78" s="27"/>
      <c r="D78" s="27"/>
      <c r="E78" s="557">
        <v>21</v>
      </c>
      <c r="F78" s="3" cm="1">
        <f t="array" aca="1" ref="F78" ca="1">OFFSET(E78,-1,1)</f>
        <v>0</v>
      </c>
      <c r="G78" s="27"/>
      <c r="H78" s="25"/>
      <c r="I78" s="25" t="s">
        <v>322</v>
      </c>
      <c r="J78" s="27"/>
      <c r="K78" s="72" t="s">
        <v>322</v>
      </c>
      <c r="L78" s="27"/>
      <c r="M78" s="27"/>
      <c r="N78" s="27"/>
      <c r="O78" s="27"/>
      <c r="P78" s="27"/>
      <c r="Q78" s="27"/>
      <c r="R78" s="27"/>
      <c r="S78" s="27"/>
      <c r="T78" s="351" t="b">
        <f ca="1">F78&gt;0</f>
        <v>0</v>
      </c>
      <c r="U78" s="27"/>
      <c r="V78" s="27"/>
      <c r="W78" s="27"/>
      <c r="X78" s="1046"/>
      <c r="Z78" s="1008"/>
      <c r="AB78" s="147" t="s">
        <v>435</v>
      </c>
      <c r="AC78" s="125" t="s">
        <v>2040</v>
      </c>
      <c r="AD78" s="147" t="s">
        <v>859</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9">AG78-AF78</f>
        <v>0</v>
      </c>
      <c r="AI78" s="126">
        <f t="shared" ref="AI78:BC78" ca="1" si="10">AI79+AI91+AI92++AI103+AI104+AI105+AI107+AI108+AI109+AI110+AI113</f>
        <v>0</v>
      </c>
      <c r="AJ78" s="126">
        <f t="shared" ca="1" si="10"/>
        <v>0</v>
      </c>
      <c r="AK78" s="126">
        <f t="shared" ca="1" si="10"/>
        <v>0</v>
      </c>
      <c r="AL78" s="126">
        <f t="shared" ca="1" si="10"/>
        <v>0</v>
      </c>
      <c r="AM78" s="126">
        <f t="shared" ca="1" si="10"/>
        <v>0</v>
      </c>
      <c r="AN78" s="126">
        <f t="shared" ca="1" si="10"/>
        <v>0</v>
      </c>
      <c r="AO78" s="126">
        <f t="shared" ca="1" si="10"/>
        <v>0</v>
      </c>
      <c r="AP78" s="126">
        <f t="shared" ca="1" si="10"/>
        <v>0</v>
      </c>
      <c r="AQ78" s="126">
        <f t="shared" ca="1" si="10"/>
        <v>0</v>
      </c>
      <c r="AR78" s="126">
        <f t="shared" ca="1" si="10"/>
        <v>0</v>
      </c>
      <c r="AS78" s="126">
        <f t="shared" ca="1" si="10"/>
        <v>0</v>
      </c>
      <c r="AT78" s="126">
        <f t="shared" ca="1" si="10"/>
        <v>0</v>
      </c>
      <c r="AU78" s="126">
        <f t="shared" ca="1" si="10"/>
        <v>0</v>
      </c>
      <c r="AV78" s="126">
        <f t="shared" ca="1" si="10"/>
        <v>0</v>
      </c>
      <c r="AW78" s="126">
        <f t="shared" ca="1" si="10"/>
        <v>0</v>
      </c>
      <c r="AX78" s="126">
        <f t="shared" ca="1" si="10"/>
        <v>0</v>
      </c>
      <c r="AY78" s="126">
        <f t="shared" ca="1" si="10"/>
        <v>0</v>
      </c>
      <c r="AZ78" s="126">
        <f t="shared" ca="1" si="10"/>
        <v>0</v>
      </c>
      <c r="BA78" s="126">
        <f t="shared" ca="1" si="10"/>
        <v>0</v>
      </c>
      <c r="BB78" s="126">
        <f t="shared" ca="1" si="10"/>
        <v>0</v>
      </c>
      <c r="BC78" s="126">
        <f t="shared" ca="1" si="10"/>
        <v>0</v>
      </c>
      <c r="BD78" s="126">
        <f t="shared" ref="BD78:BD123" ca="1" si="11">IF(AI78=0,0,(AT78-AI78)/AI78*100)</f>
        <v>0</v>
      </c>
      <c r="BE78" s="126">
        <f t="shared" ref="BE78:BE123" ca="1" si="12">IF(AT78=0,0,(AU78-AT78)/AT78*100)</f>
        <v>0</v>
      </c>
      <c r="BF78" s="126">
        <f t="shared" ref="BF78:BF123" ca="1" si="13">IF(AU78=0,0,(AV78-AU78)/AU78*100)</f>
        <v>0</v>
      </c>
      <c r="BG78" s="126">
        <f t="shared" ref="BG78:BG123" ca="1" si="14">IF(AV78=0,0,(AW78-AV78)/AV78*100)</f>
        <v>0</v>
      </c>
      <c r="BH78" s="126">
        <f t="shared" ref="BH78:BH123" ca="1" si="15">IF(AW78=0,0,(AX78-AW78)/AW78*100)</f>
        <v>0</v>
      </c>
      <c r="BI78" s="126">
        <f t="shared" ref="BI78:BI123" ca="1" si="16">IF(AX78=0,0,(AY78-AX78)/AX78*100)</f>
        <v>0</v>
      </c>
      <c r="BJ78" s="126">
        <f t="shared" ref="BJ78:BJ123" ca="1" si="17">IF(AY78=0,0,(AZ78-AY78)/AY78*100)</f>
        <v>0</v>
      </c>
      <c r="BK78" s="126">
        <f t="shared" ref="BK78:BK123" ca="1" si="18">IF(AZ78=0,0,(BA78-AZ78)/AZ78*100)</f>
        <v>0</v>
      </c>
      <c r="BL78" s="126">
        <f t="shared" ref="BL78:BL123" ca="1" si="19">IF(BA78=0,0,(BB78-BA78)/BA78*100)</f>
        <v>0</v>
      </c>
      <c r="BM78" s="126">
        <f t="shared" ref="BM78:BM123" ca="1" si="20">IF(BB78=0,0,(BC78-BB78)/BB78*100)</f>
        <v>0</v>
      </c>
      <c r="BN78" s="774"/>
      <c r="BO78" s="774"/>
      <c r="BP78" s="774"/>
      <c r="BQ78" s="74"/>
      <c r="BS78" s="700" t="s">
        <v>2041</v>
      </c>
      <c r="BT78" s="700"/>
      <c r="BU78" s="700"/>
      <c r="BV78" s="509"/>
      <c r="BW78" s="509"/>
    </row>
    <row r="79" spans="2:75" s="76" customFormat="1" ht="21.95" hidden="1" customHeight="1">
      <c r="B79" s="331"/>
      <c r="C79" s="27"/>
      <c r="D79" s="27"/>
      <c r="E79" s="557">
        <v>22.5</v>
      </c>
      <c r="F79" s="3" cm="1">
        <f t="array" aca="1" ref="F79" ca="1">OFFSET(E79,-1,1)</f>
        <v>0</v>
      </c>
      <c r="G79" s="266" cm="1">
        <f t="array" aca="1" ref="G79" ca="1">F78</f>
        <v>0</v>
      </c>
      <c r="H79" s="25"/>
      <c r="I79" s="25" t="s">
        <v>525</v>
      </c>
      <c r="J79" s="27"/>
      <c r="K79" s="72" t="s">
        <v>525</v>
      </c>
      <c r="L79" s="27" t="s">
        <v>511</v>
      </c>
      <c r="M79" s="27"/>
      <c r="N79" s="27"/>
      <c r="O79" s="27"/>
      <c r="P79" s="27"/>
      <c r="Q79" s="27"/>
      <c r="R79" s="27"/>
      <c r="S79" s="27"/>
      <c r="T79" s="351" t="b" cm="1">
        <f t="array" aca="1" ref="T79" ca="1">T78</f>
        <v>0</v>
      </c>
      <c r="U79" s="27"/>
      <c r="V79" s="27"/>
      <c r="W79" s="27"/>
      <c r="X79" s="1046"/>
      <c r="Z79" s="1008"/>
      <c r="AB79" s="124" t="s">
        <v>588</v>
      </c>
      <c r="AC79" s="262" t="s">
        <v>2042</v>
      </c>
      <c r="AD79" s="124" t="s">
        <v>859</v>
      </c>
      <c r="AE79" s="126">
        <f ca="1">SUM(AE80:AE90)</f>
        <v>0</v>
      </c>
      <c r="AF79" s="126">
        <f ca="1">SUM(AF80:AF90)</f>
        <v>0</v>
      </c>
      <c r="AG79" s="126">
        <f ca="1">SUM(AG80:AG90)</f>
        <v>0</v>
      </c>
      <c r="AH79" s="126">
        <f t="shared" ca="1" si="9"/>
        <v>0</v>
      </c>
      <c r="AI79" s="126">
        <f t="shared" ref="AI79:BC79" ca="1" si="21">SUM(AI80:AI90)</f>
        <v>0</v>
      </c>
      <c r="AJ79" s="126">
        <f t="shared" ca="1" si="21"/>
        <v>0</v>
      </c>
      <c r="AK79" s="126">
        <f t="shared" ca="1" si="21"/>
        <v>0</v>
      </c>
      <c r="AL79" s="126">
        <f t="shared" ca="1" si="21"/>
        <v>0</v>
      </c>
      <c r="AM79" s="126">
        <f t="shared" ca="1" si="21"/>
        <v>0</v>
      </c>
      <c r="AN79" s="126">
        <f t="shared" ca="1" si="21"/>
        <v>0</v>
      </c>
      <c r="AO79" s="126">
        <f t="shared" ca="1" si="21"/>
        <v>0</v>
      </c>
      <c r="AP79" s="126">
        <f t="shared" ca="1" si="21"/>
        <v>0</v>
      </c>
      <c r="AQ79" s="126">
        <f t="shared" ca="1" si="21"/>
        <v>0</v>
      </c>
      <c r="AR79" s="126">
        <f t="shared" ca="1" si="21"/>
        <v>0</v>
      </c>
      <c r="AS79" s="126">
        <f t="shared" ca="1" si="21"/>
        <v>0</v>
      </c>
      <c r="AT79" s="126">
        <f t="shared" ca="1" si="21"/>
        <v>0</v>
      </c>
      <c r="AU79" s="126">
        <f t="shared" ca="1" si="21"/>
        <v>0</v>
      </c>
      <c r="AV79" s="126">
        <f t="shared" ca="1" si="21"/>
        <v>0</v>
      </c>
      <c r="AW79" s="126">
        <f t="shared" ca="1" si="21"/>
        <v>0</v>
      </c>
      <c r="AX79" s="126">
        <f t="shared" ca="1" si="21"/>
        <v>0</v>
      </c>
      <c r="AY79" s="126">
        <f t="shared" ca="1" si="21"/>
        <v>0</v>
      </c>
      <c r="AZ79" s="126">
        <f t="shared" ca="1" si="21"/>
        <v>0</v>
      </c>
      <c r="BA79" s="126">
        <f t="shared" ca="1" si="21"/>
        <v>0</v>
      </c>
      <c r="BB79" s="126">
        <f t="shared" ca="1" si="21"/>
        <v>0</v>
      </c>
      <c r="BC79" s="126">
        <f t="shared" ca="1" si="21"/>
        <v>0</v>
      </c>
      <c r="BD79" s="126">
        <f t="shared" ca="1" si="11"/>
        <v>0</v>
      </c>
      <c r="BE79" s="126">
        <f t="shared" ca="1" si="12"/>
        <v>0</v>
      </c>
      <c r="BF79" s="126">
        <f t="shared" ca="1" si="13"/>
        <v>0</v>
      </c>
      <c r="BG79" s="126">
        <f t="shared" ca="1" si="14"/>
        <v>0</v>
      </c>
      <c r="BH79" s="126">
        <f t="shared" ca="1" si="15"/>
        <v>0</v>
      </c>
      <c r="BI79" s="126">
        <f t="shared" ca="1" si="16"/>
        <v>0</v>
      </c>
      <c r="BJ79" s="126">
        <f t="shared" ca="1" si="17"/>
        <v>0</v>
      </c>
      <c r="BK79" s="126">
        <f t="shared" ca="1" si="18"/>
        <v>0</v>
      </c>
      <c r="BL79" s="126">
        <f t="shared" ca="1" si="19"/>
        <v>0</v>
      </c>
      <c r="BM79" s="126">
        <f t="shared" ca="1" si="20"/>
        <v>0</v>
      </c>
      <c r="BN79" s="776"/>
      <c r="BO79" s="776"/>
      <c r="BP79" s="776"/>
      <c r="BS79" s="700" t="s">
        <v>2043</v>
      </c>
      <c r="BT79" s="700"/>
      <c r="BU79" s="700"/>
      <c r="BV79" s="509"/>
      <c r="BW79" s="509"/>
    </row>
    <row r="80" spans="2:75" ht="14.65" hidden="1" customHeight="1">
      <c r="C80" s="25"/>
      <c r="D80" s="25"/>
      <c r="E80" s="449">
        <v>15</v>
      </c>
      <c r="F80" s="3" cm="1">
        <f t="array" aca="1" ref="F80" ca="1">OFFSET(E80,-1,1)</f>
        <v>0</v>
      </c>
      <c r="G80" s="25" t="s">
        <v>1114</v>
      </c>
      <c r="H80" s="25"/>
      <c r="I80" s="25" t="s">
        <v>1604</v>
      </c>
      <c r="J80" s="25"/>
      <c r="K80" s="72" t="s">
        <v>1604</v>
      </c>
      <c r="L80" s="25" t="s">
        <v>1381</v>
      </c>
      <c r="M80" s="25"/>
      <c r="N80" s="25"/>
      <c r="O80" s="25"/>
      <c r="P80" s="25"/>
      <c r="Q80" s="25"/>
      <c r="R80" s="25"/>
      <c r="S80" s="25"/>
      <c r="T80" s="351" t="b" cm="1">
        <f t="array" aca="1" ref="T80" ca="1">T79</f>
        <v>0</v>
      </c>
      <c r="U80" s="25"/>
      <c r="V80" s="25"/>
      <c r="W80" s="25"/>
      <c r="X80" s="1046"/>
      <c r="Z80" s="1008"/>
      <c r="AB80" s="7" t="s">
        <v>533</v>
      </c>
      <c r="AC80" s="134" t="s">
        <v>2044</v>
      </c>
      <c r="AD80" s="7" t="s">
        <v>859</v>
      </c>
      <c r="AE80" s="170">
        <f ca="1">SUMIFS(Покупка!AE$25:AE$87,Покупка!$F$25:$F$87,$F80,Покупка!$AC$25:$AC$87,$G80)</f>
        <v>0</v>
      </c>
      <c r="AF80" s="170">
        <f ca="1">SUMIFS(Покупка!AF$25:AF$87,Покупка!$F$25:$F$87,$F80,Покупка!$AC$25:$AC$87,$G80)</f>
        <v>0</v>
      </c>
      <c r="AG80" s="170">
        <f ca="1">SUMIFS(Покупка!AG$25:AG$87,Покупка!$F$25:$F$87,$F80,Покупка!$AC$25:$AC$87,$G80)</f>
        <v>0</v>
      </c>
      <c r="AH80" s="170">
        <f t="shared" ca="1" si="9"/>
        <v>0</v>
      </c>
      <c r="AI80" s="170">
        <f ca="1">SUMIFS(Покупка!AH$25:AH$87,Покупка!$F$25:$F$87,$F80,Покупка!$AC$25:$AC$87,$G80)</f>
        <v>0</v>
      </c>
      <c r="AJ80" s="170">
        <f ca="1">SUMIFS(Покупка!AI$25:AI$87,Покупка!$F$25:$F$87,$F80,Покупка!$AC$25:$AC$87,$G80)</f>
        <v>0</v>
      </c>
      <c r="AK80" s="170">
        <f ca="1">SUMIFS(Покупка!AJ$25:AJ$87,Покупка!$F$25:$F$87,$F80,Покупка!$AC$25:$AC$87,$G80)</f>
        <v>0</v>
      </c>
      <c r="AL80" s="170">
        <f ca="1">SUMIFS(Покупка!AK$25:AK$87,Покупка!$F$25:$F$87,$F80,Покупка!$AC$25:$AC$87,$G80)</f>
        <v>0</v>
      </c>
      <c r="AM80" s="170">
        <f ca="1">SUMIFS(Покупка!AL$25:AL$87,Покупка!$F$25:$F$87,$F80,Покупка!$AC$25:$AC$87,$G80)</f>
        <v>0</v>
      </c>
      <c r="AN80" s="170">
        <f ca="1">SUMIFS(Покупка!AM$25:AM$87,Покупка!$F$25:$F$87,$F80,Покупка!$AC$25:$AC$87,$G80)</f>
        <v>0</v>
      </c>
      <c r="AO80" s="170">
        <f ca="1">SUMIFS(Покупка!AN$25:AN$87,Покупка!$F$25:$F$87,$F80,Покупка!$AC$25:$AC$87,$G80)</f>
        <v>0</v>
      </c>
      <c r="AP80" s="170">
        <f ca="1">SUMIFS(Покупка!AO$25:AO$87,Покупка!$F$25:$F$87,$F80,Покупка!$AC$25:$AC$87,$G80)</f>
        <v>0</v>
      </c>
      <c r="AQ80" s="170">
        <f ca="1">SUMIFS(Покупка!AP$25:AP$87,Покупка!$F$25:$F$87,$F80,Покупка!$AC$25:$AC$87,$G80)</f>
        <v>0</v>
      </c>
      <c r="AR80" s="170">
        <f ca="1">SUMIFS(Покупка!AQ$25:AQ$87,Покупка!$F$25:$F$87,$F80,Покупка!$AC$25:$AC$87,$G80)</f>
        <v>0</v>
      </c>
      <c r="AS80" s="170">
        <f ca="1">SUMIFS(Покупка!AR$25:AR$87,Покупка!$F$25:$F$87,$F80,Покупка!$AC$25:$AC$87,$G80)</f>
        <v>0</v>
      </c>
      <c r="AT80" s="170">
        <f ca="1">SUMIFS(Покупка!AS$25:AS$87,Покупка!$F$25:$F$87,$F80,Покупка!$AC$25:$AC$87,$G80)</f>
        <v>0</v>
      </c>
      <c r="AU80" s="170">
        <f ca="1">SUMIFS(Покупка!AT$25:AT$87,Покупка!$F$25:$F$87,$F80,Покупка!$AC$25:$AC$87,$G80)</f>
        <v>0</v>
      </c>
      <c r="AV80" s="170">
        <f ca="1">SUMIFS(Покупка!AU$25:AU$87,Покупка!$F$25:$F$87,$F80,Покупка!$AC$25:$AC$87,$G80)</f>
        <v>0</v>
      </c>
      <c r="AW80" s="170">
        <f ca="1">SUMIFS(Покупка!AV$25:AV$87,Покупка!$F$25:$F$87,$F80,Покупка!$AC$25:$AC$87,$G80)</f>
        <v>0</v>
      </c>
      <c r="AX80" s="170">
        <f ca="1">SUMIFS(Покупка!AW$25:AW$87,Покупка!$F$25:$F$87,$F80,Покупка!$AC$25:$AC$87,$G80)</f>
        <v>0</v>
      </c>
      <c r="AY80" s="170">
        <f ca="1">SUMIFS(Покупка!AX$25:AX$87,Покупка!$F$25:$F$87,$F80,Покупка!$AC$25:$AC$87,$G80)</f>
        <v>0</v>
      </c>
      <c r="AZ80" s="170">
        <f ca="1">SUMIFS(Покупка!AY$25:AY$87,Покупка!$F$25:$F$87,$F80,Покупка!$AC$25:$AC$87,$G80)</f>
        <v>0</v>
      </c>
      <c r="BA80" s="170">
        <f ca="1">SUMIFS(Покупка!AZ$25:AZ$87,Покупка!$F$25:$F$87,$F80,Покупка!$AC$25:$AC$87,$G80)</f>
        <v>0</v>
      </c>
      <c r="BB80" s="170">
        <f ca="1">SUMIFS(Покупка!BA$25:BA$87,Покупка!$F$25:$F$87,$F80,Покупка!$AC$25:$AC$87,$G80)</f>
        <v>0</v>
      </c>
      <c r="BC80" s="170">
        <f ca="1">SUMIFS(Покупка!BB$25:BB$87,Покупка!$F$25:$F$87,$F80,Покупка!$AC$25:$AC$87,$G80)</f>
        <v>0</v>
      </c>
      <c r="BD80" s="170">
        <f t="shared" ca="1" si="11"/>
        <v>0</v>
      </c>
      <c r="BE80" s="170">
        <f t="shared" ca="1" si="12"/>
        <v>0</v>
      </c>
      <c r="BF80" s="170">
        <f t="shared" ca="1" si="13"/>
        <v>0</v>
      </c>
      <c r="BG80" s="170">
        <f t="shared" ca="1" si="14"/>
        <v>0</v>
      </c>
      <c r="BH80" s="170">
        <f t="shared" ca="1" si="15"/>
        <v>0</v>
      </c>
      <c r="BI80" s="170">
        <f t="shared" ca="1" si="16"/>
        <v>0</v>
      </c>
      <c r="BJ80" s="170">
        <f t="shared" ca="1" si="17"/>
        <v>0</v>
      </c>
      <c r="BK80" s="170">
        <f t="shared" ca="1" si="18"/>
        <v>0</v>
      </c>
      <c r="BL80" s="170">
        <f t="shared" ca="1" si="19"/>
        <v>0</v>
      </c>
      <c r="BM80" s="170">
        <f t="shared" ca="1" si="20"/>
        <v>0</v>
      </c>
      <c r="BN80" s="774"/>
      <c r="BO80" s="778" t="str">
        <f ca="1">IF(IFERROR(INDEX(Покупка!$K$26:$L$87,MATCH($F80&amp;"6komm",Покупка!$K$26:$K$87,0),2),"")=0,"",IFERROR(INDEX(Покупка!$K$26:$L$87,MATCH($F80&amp;"6komm",Покупка!$K$26:$K$87,0),2),""))</f>
        <v/>
      </c>
      <c r="BP80" s="774"/>
      <c r="BS80" s="694" t="s">
        <v>1115</v>
      </c>
    </row>
    <row r="81" spans="2:75" ht="14.65" hidden="1" customHeight="1">
      <c r="C81" s="25"/>
      <c r="D81" s="25"/>
      <c r="E81" s="449">
        <v>15</v>
      </c>
      <c r="F81" s="3" cm="1">
        <f t="array" aca="1" ref="F81" ca="1">OFFSET(E81,-1,1)</f>
        <v>0</v>
      </c>
      <c r="G81" s="25" t="s">
        <v>1116</v>
      </c>
      <c r="H81" s="25"/>
      <c r="I81" s="25" t="s">
        <v>1608</v>
      </c>
      <c r="J81" s="25"/>
      <c r="K81" s="25" t="s">
        <v>1608</v>
      </c>
      <c r="L81" s="25" t="s">
        <v>1385</v>
      </c>
      <c r="M81" s="25"/>
      <c r="N81" s="25"/>
      <c r="O81" s="25"/>
      <c r="P81" s="25"/>
      <c r="Q81" s="25"/>
      <c r="R81" s="25"/>
      <c r="S81" s="25"/>
      <c r="T81" s="351" t="b" cm="1">
        <f t="array" aca="1" ref="T81" ca="1">T80</f>
        <v>0</v>
      </c>
      <c r="U81" s="25"/>
      <c r="V81" s="25"/>
      <c r="W81" s="25"/>
      <c r="X81" s="1046"/>
      <c r="Z81" s="1008"/>
      <c r="AB81" s="7" t="s">
        <v>2045</v>
      </c>
      <c r="AC81" s="134" t="s">
        <v>2046</v>
      </c>
      <c r="AD81" s="7" t="s">
        <v>859</v>
      </c>
      <c r="AE81" s="170">
        <f ca="1">SUMIFS(Покупка!AE$25:AE$87,Покупка!$F$25:$F$87,$F81,Покупка!$AC$25:$AC$87,$G81)</f>
        <v>0</v>
      </c>
      <c r="AF81" s="170">
        <f ca="1">SUMIFS(Покупка!AF$25:AF$87,Покупка!$F$25:$F$87,$F81,Покупка!$AC$25:$AC$87,$G81)</f>
        <v>0</v>
      </c>
      <c r="AG81" s="170">
        <f ca="1">SUMIFS(Покупка!AG$25:AG$87,Покупка!$F$25:$F$87,$F81,Покупка!$AC$25:$AC$87,$G81)</f>
        <v>0</v>
      </c>
      <c r="AH81" s="170">
        <f t="shared" ca="1" si="9"/>
        <v>0</v>
      </c>
      <c r="AI81" s="170">
        <f ca="1">SUMIFS(Покупка!AH$25:AH$87,Покупка!$F$25:$F$87,$F81,Покупка!$AC$25:$AC$87,$G81)</f>
        <v>0</v>
      </c>
      <c r="AJ81" s="170">
        <f ca="1">SUMIFS(Покупка!AI$25:AI$87,Покупка!$F$25:$F$87,$F81,Покупка!$AC$25:$AC$87,$G81)</f>
        <v>0</v>
      </c>
      <c r="AK81" s="170">
        <f ca="1">SUMIFS(Покупка!AJ$25:AJ$87,Покупка!$F$25:$F$87,$F81,Покупка!$AC$25:$AC$87,$G81)</f>
        <v>0</v>
      </c>
      <c r="AL81" s="170">
        <f ca="1">SUMIFS(Покупка!AK$25:AK$87,Покупка!$F$25:$F$87,$F81,Покупка!$AC$25:$AC$87,$G81)</f>
        <v>0</v>
      </c>
      <c r="AM81" s="170">
        <f ca="1">SUMIFS(Покупка!AL$25:AL$87,Покупка!$F$25:$F$87,$F81,Покупка!$AC$25:$AC$87,$G81)</f>
        <v>0</v>
      </c>
      <c r="AN81" s="170">
        <f ca="1">SUMIFS(Покупка!AM$25:AM$87,Покупка!$F$25:$F$87,$F81,Покупка!$AC$25:$AC$87,$G81)</f>
        <v>0</v>
      </c>
      <c r="AO81" s="170">
        <f ca="1">SUMIFS(Покупка!AN$25:AN$87,Покупка!$F$25:$F$87,$F81,Покупка!$AC$25:$AC$87,$G81)</f>
        <v>0</v>
      </c>
      <c r="AP81" s="170">
        <f ca="1">SUMIFS(Покупка!AO$25:AO$87,Покупка!$F$25:$F$87,$F81,Покупка!$AC$25:$AC$87,$G81)</f>
        <v>0</v>
      </c>
      <c r="AQ81" s="170">
        <f ca="1">SUMIFS(Покупка!AP$25:AP$87,Покупка!$F$25:$F$87,$F81,Покупка!$AC$25:$AC$87,$G81)</f>
        <v>0</v>
      </c>
      <c r="AR81" s="170">
        <f ca="1">SUMIFS(Покупка!AQ$25:AQ$87,Покупка!$F$25:$F$87,$F81,Покупка!$AC$25:$AC$87,$G81)</f>
        <v>0</v>
      </c>
      <c r="AS81" s="170">
        <f ca="1">SUMIFS(Покупка!AR$25:AR$87,Покупка!$F$25:$F$87,$F81,Покупка!$AC$25:$AC$87,$G81)</f>
        <v>0</v>
      </c>
      <c r="AT81" s="170">
        <f ca="1">SUMIFS(Покупка!AS$25:AS$87,Покупка!$F$25:$F$87,$F81,Покупка!$AC$25:$AC$87,$G81)</f>
        <v>0</v>
      </c>
      <c r="AU81" s="170">
        <f ca="1">SUMIFS(Покупка!AT$25:AT$87,Покупка!$F$25:$F$87,$F81,Покупка!$AC$25:$AC$87,$G81)</f>
        <v>0</v>
      </c>
      <c r="AV81" s="170">
        <f ca="1">SUMIFS(Покупка!AU$25:AU$87,Покупка!$F$25:$F$87,$F81,Покупка!$AC$25:$AC$87,$G81)</f>
        <v>0</v>
      </c>
      <c r="AW81" s="170">
        <f ca="1">SUMIFS(Покупка!AV$25:AV$87,Покупка!$F$25:$F$87,$F81,Покупка!$AC$25:$AC$87,$G81)</f>
        <v>0</v>
      </c>
      <c r="AX81" s="170">
        <f ca="1">SUMIFS(Покупка!AW$25:AW$87,Покупка!$F$25:$F$87,$F81,Покупка!$AC$25:$AC$87,$G81)</f>
        <v>0</v>
      </c>
      <c r="AY81" s="170">
        <f ca="1">SUMIFS(Покупка!AX$25:AX$87,Покупка!$F$25:$F$87,$F81,Покупка!$AC$25:$AC$87,$G81)</f>
        <v>0</v>
      </c>
      <c r="AZ81" s="170">
        <f ca="1">SUMIFS(Покупка!AY$25:AY$87,Покупка!$F$25:$F$87,$F81,Покупка!$AC$25:$AC$87,$G81)</f>
        <v>0</v>
      </c>
      <c r="BA81" s="170">
        <f ca="1">SUMIFS(Покупка!AZ$25:AZ$87,Покупка!$F$25:$F$87,$F81,Покупка!$AC$25:$AC$87,$G81)</f>
        <v>0</v>
      </c>
      <c r="BB81" s="170">
        <f ca="1">SUMIFS(Покупка!BA$25:BA$87,Покупка!$F$25:$F$87,$F81,Покупка!$AC$25:$AC$87,$G81)</f>
        <v>0</v>
      </c>
      <c r="BC81" s="170">
        <f ca="1">SUMIFS(Покупка!BB$25:BB$87,Покупка!$F$25:$F$87,$F81,Покупка!$AC$25:$AC$87,$G81)</f>
        <v>0</v>
      </c>
      <c r="BD81" s="170">
        <f t="shared" ca="1" si="11"/>
        <v>0</v>
      </c>
      <c r="BE81" s="170">
        <f t="shared" ca="1" si="12"/>
        <v>0</v>
      </c>
      <c r="BF81" s="170">
        <f t="shared" ca="1" si="13"/>
        <v>0</v>
      </c>
      <c r="BG81" s="170">
        <f t="shared" ca="1" si="14"/>
        <v>0</v>
      </c>
      <c r="BH81" s="170">
        <f t="shared" ca="1" si="15"/>
        <v>0</v>
      </c>
      <c r="BI81" s="170">
        <f t="shared" ca="1" si="16"/>
        <v>0</v>
      </c>
      <c r="BJ81" s="170">
        <f t="shared" ca="1" si="17"/>
        <v>0</v>
      </c>
      <c r="BK81" s="170">
        <f t="shared" ca="1" si="18"/>
        <v>0</v>
      </c>
      <c r="BL81" s="170">
        <f t="shared" ca="1" si="19"/>
        <v>0</v>
      </c>
      <c r="BM81" s="170">
        <f t="shared" ca="1" si="20"/>
        <v>0</v>
      </c>
      <c r="BN81" s="774"/>
      <c r="BO81" s="778" t="str">
        <f ca="1">IF(IFERROR(INDEX(Покупка!$K$26:$L$87,MATCH($F81&amp;"7komm",Покупка!$K$26:$K$87,0),2),"")=0,"",IFERROR(INDEX(Покупка!$K$26:$L$87,MATCH($F81&amp;"7komm",Покупка!$K$26:$K$87,0),2),""))</f>
        <v/>
      </c>
      <c r="BP81" s="774"/>
      <c r="BS81" s="694" t="s">
        <v>1117</v>
      </c>
    </row>
    <row r="82" spans="2:75" ht="14.65" hidden="1" customHeight="1">
      <c r="C82" s="25"/>
      <c r="D82" s="25"/>
      <c r="E82" s="449">
        <v>15</v>
      </c>
      <c r="F82" s="3" cm="1">
        <f t="array" aca="1" ref="F82" ca="1">OFFSET(E82,-1,1)</f>
        <v>0</v>
      </c>
      <c r="G82" s="25" t="s">
        <v>1091</v>
      </c>
      <c r="H82" s="25"/>
      <c r="I82" s="25" t="s">
        <v>1684</v>
      </c>
      <c r="J82" s="25"/>
      <c r="K82" s="25" t="s">
        <v>1684</v>
      </c>
      <c r="L82" s="25" t="s">
        <v>1553</v>
      </c>
      <c r="M82" s="25"/>
      <c r="N82" s="25"/>
      <c r="O82" s="25"/>
      <c r="P82" s="25"/>
      <c r="Q82" s="25"/>
      <c r="R82" s="25"/>
      <c r="S82" s="25"/>
      <c r="T82" s="351" t="b" cm="1">
        <f t="array" aca="1" ref="T82" ca="1">T81</f>
        <v>0</v>
      </c>
      <c r="U82" s="25"/>
      <c r="V82" s="25"/>
      <c r="W82" s="25"/>
      <c r="X82" s="1046"/>
      <c r="Z82" s="1008"/>
      <c r="AB82" s="7" t="s">
        <v>2047</v>
      </c>
      <c r="AC82" s="134" t="s">
        <v>2048</v>
      </c>
      <c r="AD82" s="7" t="s">
        <v>859</v>
      </c>
      <c r="AE82" s="170">
        <f ca="1">SUMIFS(Покупка!AE$25:AE$87,Покупка!$F$25:$F$87,$F82,Покупка!$AC$25:$AC$87,$G82)</f>
        <v>0</v>
      </c>
      <c r="AF82" s="170">
        <f ca="1">SUMIFS(Покупка!AF$25:AF$87,Покупка!$F$25:$F$87,$F82,Покупка!$AC$25:$AC$87,$G82)</f>
        <v>0</v>
      </c>
      <c r="AG82" s="170">
        <f ca="1">SUMIFS(Покупка!AG$25:AG$87,Покупка!$F$25:$F$87,$F82,Покупка!$AC$25:$AC$87,$G82)</f>
        <v>0</v>
      </c>
      <c r="AH82" s="170">
        <f t="shared" ca="1" si="9"/>
        <v>0</v>
      </c>
      <c r="AI82" s="170">
        <f ca="1">SUMIFS(Покупка!AH$25:AH$87,Покупка!$F$25:$F$87,$F82,Покупка!$AC$25:$AC$87,$G82)</f>
        <v>0</v>
      </c>
      <c r="AJ82" s="170">
        <f ca="1">SUMIFS(Покупка!AI$25:AI$87,Покупка!$F$25:$F$87,$F82,Покупка!$AC$25:$AC$87,$G82)</f>
        <v>0</v>
      </c>
      <c r="AK82" s="170">
        <f ca="1">SUMIFS(Покупка!AJ$25:AJ$87,Покупка!$F$25:$F$87,$F82,Покупка!$AC$25:$AC$87,$G82)</f>
        <v>0</v>
      </c>
      <c r="AL82" s="170">
        <f ca="1">SUMIFS(Покупка!AK$25:AK$87,Покупка!$F$25:$F$87,$F82,Покупка!$AC$25:$AC$87,$G82)</f>
        <v>0</v>
      </c>
      <c r="AM82" s="170">
        <f ca="1">SUMIFS(Покупка!AL$25:AL$87,Покупка!$F$25:$F$87,$F82,Покупка!$AC$25:$AC$87,$G82)</f>
        <v>0</v>
      </c>
      <c r="AN82" s="170">
        <f ca="1">SUMIFS(Покупка!AM$25:AM$87,Покупка!$F$25:$F$87,$F82,Покупка!$AC$25:$AC$87,$G82)</f>
        <v>0</v>
      </c>
      <c r="AO82" s="170">
        <f ca="1">SUMIFS(Покупка!AN$25:AN$87,Покупка!$F$25:$F$87,$F82,Покупка!$AC$25:$AC$87,$G82)</f>
        <v>0</v>
      </c>
      <c r="AP82" s="170">
        <f ca="1">SUMIFS(Покупка!AO$25:AO$87,Покупка!$F$25:$F$87,$F82,Покупка!$AC$25:$AC$87,$G82)</f>
        <v>0</v>
      </c>
      <c r="AQ82" s="170">
        <f ca="1">SUMIFS(Покупка!AP$25:AP$87,Покупка!$F$25:$F$87,$F82,Покупка!$AC$25:$AC$87,$G82)</f>
        <v>0</v>
      </c>
      <c r="AR82" s="170">
        <f ca="1">SUMIFS(Покупка!AQ$25:AQ$87,Покупка!$F$25:$F$87,$F82,Покупка!$AC$25:$AC$87,$G82)</f>
        <v>0</v>
      </c>
      <c r="AS82" s="170">
        <f ca="1">SUMIFS(Покупка!AR$25:AR$87,Покупка!$F$25:$F$87,$F82,Покупка!$AC$25:$AC$87,$G82)</f>
        <v>0</v>
      </c>
      <c r="AT82" s="170">
        <f ca="1">SUMIFS(Покупка!AS$25:AS$87,Покупка!$F$25:$F$87,$F82,Покупка!$AC$25:$AC$87,$G82)</f>
        <v>0</v>
      </c>
      <c r="AU82" s="170">
        <f ca="1">SUMIFS(Покупка!AT$25:AT$87,Покупка!$F$25:$F$87,$F82,Покупка!$AC$25:$AC$87,$G82)</f>
        <v>0</v>
      </c>
      <c r="AV82" s="170">
        <f ca="1">SUMIFS(Покупка!AU$25:AU$87,Покупка!$F$25:$F$87,$F82,Покупка!$AC$25:$AC$87,$G82)</f>
        <v>0</v>
      </c>
      <c r="AW82" s="170">
        <f ca="1">SUMIFS(Покупка!AV$25:AV$87,Покупка!$F$25:$F$87,$F82,Покупка!$AC$25:$AC$87,$G82)</f>
        <v>0</v>
      </c>
      <c r="AX82" s="170">
        <f ca="1">SUMIFS(Покупка!AW$25:AW$87,Покупка!$F$25:$F$87,$F82,Покупка!$AC$25:$AC$87,$G82)</f>
        <v>0</v>
      </c>
      <c r="AY82" s="170">
        <f ca="1">SUMIFS(Покупка!AX$25:AX$87,Покупка!$F$25:$F$87,$F82,Покупка!$AC$25:$AC$87,$G82)</f>
        <v>0</v>
      </c>
      <c r="AZ82" s="170">
        <f ca="1">SUMIFS(Покупка!AY$25:AY$87,Покупка!$F$25:$F$87,$F82,Покупка!$AC$25:$AC$87,$G82)</f>
        <v>0</v>
      </c>
      <c r="BA82" s="170">
        <f ca="1">SUMIFS(Покупка!AZ$25:AZ$87,Покупка!$F$25:$F$87,$F82,Покупка!$AC$25:$AC$87,$G82)</f>
        <v>0</v>
      </c>
      <c r="BB82" s="170">
        <f ca="1">SUMIFS(Покупка!BA$25:BA$87,Покупка!$F$25:$F$87,$F82,Покупка!$AC$25:$AC$87,$G82)</f>
        <v>0</v>
      </c>
      <c r="BC82" s="170">
        <f ca="1">SUMIFS(Покупка!BB$25:BB$87,Покупка!$F$25:$F$87,$F82,Покупка!$AC$25:$AC$87,$G82)</f>
        <v>0</v>
      </c>
      <c r="BD82" s="170">
        <f t="shared" ca="1" si="11"/>
        <v>0</v>
      </c>
      <c r="BE82" s="170">
        <f t="shared" ca="1" si="12"/>
        <v>0</v>
      </c>
      <c r="BF82" s="170">
        <f t="shared" ca="1" si="13"/>
        <v>0</v>
      </c>
      <c r="BG82" s="170">
        <f t="shared" ca="1" si="14"/>
        <v>0</v>
      </c>
      <c r="BH82" s="170">
        <f t="shared" ca="1" si="15"/>
        <v>0</v>
      </c>
      <c r="BI82" s="170">
        <f t="shared" ca="1" si="16"/>
        <v>0</v>
      </c>
      <c r="BJ82" s="170">
        <f t="shared" ca="1" si="17"/>
        <v>0</v>
      </c>
      <c r="BK82" s="170">
        <f t="shared" ca="1" si="18"/>
        <v>0</v>
      </c>
      <c r="BL82" s="170">
        <f t="shared" ca="1" si="19"/>
        <v>0</v>
      </c>
      <c r="BM82" s="170">
        <f t="shared" ca="1" si="20"/>
        <v>0</v>
      </c>
      <c r="BN82" s="774"/>
      <c r="BO82" s="778" t="str">
        <f ca="1">IF(IFERROR(INDEX(Покупка!$K$26:$L$87,MATCH($F82&amp;"2komm",Покупка!$K$26:$K$87,0),2),"")=0,"",IFERROR(INDEX(Покупка!$K$26:$L$87,MATCH($F82&amp;"2komm",Покупка!$K$26:$K$87,0),2),""))</f>
        <v/>
      </c>
      <c r="BP82" s="774"/>
      <c r="BS82" s="694" t="s">
        <v>2049</v>
      </c>
    </row>
    <row r="83" spans="2:75" ht="14.65" hidden="1" customHeight="1">
      <c r="C83" s="25"/>
      <c r="D83" s="25"/>
      <c r="E83" s="449">
        <v>15</v>
      </c>
      <c r="F83" s="3" cm="1">
        <f t="array" aca="1" ref="F83" ca="1">OFFSET(E83,-1,1)</f>
        <v>0</v>
      </c>
      <c r="G83" s="25" t="s">
        <v>1082</v>
      </c>
      <c r="H83" s="25"/>
      <c r="I83" s="25" t="s">
        <v>1686</v>
      </c>
      <c r="J83" s="25"/>
      <c r="K83" s="25" t="s">
        <v>1686</v>
      </c>
      <c r="L83" s="25" t="s">
        <v>1548</v>
      </c>
      <c r="M83" s="25"/>
      <c r="N83" s="25"/>
      <c r="O83" s="25"/>
      <c r="P83" s="25"/>
      <c r="Q83" s="25"/>
      <c r="R83" s="25"/>
      <c r="S83" s="25"/>
      <c r="T83" s="351" t="b" cm="1">
        <f t="array" aca="1" ref="T83" ca="1">T82</f>
        <v>0</v>
      </c>
      <c r="U83" s="25"/>
      <c r="V83" s="25"/>
      <c r="W83" s="25"/>
      <c r="X83" s="1046"/>
      <c r="Z83" s="1008"/>
      <c r="AB83" s="7" t="s">
        <v>2050</v>
      </c>
      <c r="AC83" s="134" t="s">
        <v>2051</v>
      </c>
      <c r="AD83" s="7" t="s">
        <v>859</v>
      </c>
      <c r="AE83" s="170">
        <f ca="1">SUMIFS(Покупка!AE$25:AE$87,Покупка!$F$25:$F$87,$F83,Покупка!$AC$25:$AC$87,$G83)</f>
        <v>0</v>
      </c>
      <c r="AF83" s="170">
        <f ca="1">SUMIFS(Покупка!AF$25:AF$87,Покупка!$F$25:$F$87,$F83,Покупка!$AC$25:$AC$87,$G83)</f>
        <v>0</v>
      </c>
      <c r="AG83" s="170">
        <f ca="1">SUMIFS(Покупка!AG$25:AG$87,Покупка!$F$25:$F$87,$F83,Покупка!$AC$25:$AC$87,$G83)</f>
        <v>0</v>
      </c>
      <c r="AH83" s="170">
        <f t="shared" ca="1" si="9"/>
        <v>0</v>
      </c>
      <c r="AI83" s="170">
        <f ca="1">SUMIFS(Покупка!AH$25:AH$87,Покупка!$F$25:$F$87,$F83,Покупка!$AC$25:$AC$87,$G83)</f>
        <v>0</v>
      </c>
      <c r="AJ83" s="170">
        <f ca="1">SUMIFS(Покупка!AI$25:AI$87,Покупка!$F$25:$F$87,$F83,Покупка!$AC$25:$AC$87,$G83)</f>
        <v>0</v>
      </c>
      <c r="AK83" s="170">
        <f ca="1">SUMIFS(Покупка!AJ$25:AJ$87,Покупка!$F$25:$F$87,$F83,Покупка!$AC$25:$AC$87,$G83)</f>
        <v>0</v>
      </c>
      <c r="AL83" s="170">
        <f ca="1">SUMIFS(Покупка!AK$25:AK$87,Покупка!$F$25:$F$87,$F83,Покупка!$AC$25:$AC$87,$G83)</f>
        <v>0</v>
      </c>
      <c r="AM83" s="170">
        <f ca="1">SUMIFS(Покупка!AL$25:AL$87,Покупка!$F$25:$F$87,$F83,Покупка!$AC$25:$AC$87,$G83)</f>
        <v>0</v>
      </c>
      <c r="AN83" s="170">
        <f ca="1">SUMIFS(Покупка!AM$25:AM$87,Покупка!$F$25:$F$87,$F83,Покупка!$AC$25:$AC$87,$G83)</f>
        <v>0</v>
      </c>
      <c r="AO83" s="170">
        <f ca="1">SUMIFS(Покупка!AN$25:AN$87,Покупка!$F$25:$F$87,$F83,Покупка!$AC$25:$AC$87,$G83)</f>
        <v>0</v>
      </c>
      <c r="AP83" s="170">
        <f ca="1">SUMIFS(Покупка!AO$25:AO$87,Покупка!$F$25:$F$87,$F83,Покупка!$AC$25:$AC$87,$G83)</f>
        <v>0</v>
      </c>
      <c r="AQ83" s="170">
        <f ca="1">SUMIFS(Покупка!AP$25:AP$87,Покупка!$F$25:$F$87,$F83,Покупка!$AC$25:$AC$87,$G83)</f>
        <v>0</v>
      </c>
      <c r="AR83" s="170">
        <f ca="1">SUMIFS(Покупка!AQ$25:AQ$87,Покупка!$F$25:$F$87,$F83,Покупка!$AC$25:$AC$87,$G83)</f>
        <v>0</v>
      </c>
      <c r="AS83" s="170">
        <f ca="1">SUMIFS(Покупка!AR$25:AR$87,Покупка!$F$25:$F$87,$F83,Покупка!$AC$25:$AC$87,$G83)</f>
        <v>0</v>
      </c>
      <c r="AT83" s="170">
        <f ca="1">SUMIFS(Покупка!AS$25:AS$87,Покупка!$F$25:$F$87,$F83,Покупка!$AC$25:$AC$87,$G83)</f>
        <v>0</v>
      </c>
      <c r="AU83" s="170">
        <f ca="1">SUMIFS(Покупка!AT$25:AT$87,Покупка!$F$25:$F$87,$F83,Покупка!$AC$25:$AC$87,$G83)</f>
        <v>0</v>
      </c>
      <c r="AV83" s="170">
        <f ca="1">SUMIFS(Покупка!AU$25:AU$87,Покупка!$F$25:$F$87,$F83,Покупка!$AC$25:$AC$87,$G83)</f>
        <v>0</v>
      </c>
      <c r="AW83" s="170">
        <f ca="1">SUMIFS(Покупка!AV$25:AV$87,Покупка!$F$25:$F$87,$F83,Покупка!$AC$25:$AC$87,$G83)</f>
        <v>0</v>
      </c>
      <c r="AX83" s="170">
        <f ca="1">SUMIFS(Покупка!AW$25:AW$87,Покупка!$F$25:$F$87,$F83,Покупка!$AC$25:$AC$87,$G83)</f>
        <v>0</v>
      </c>
      <c r="AY83" s="170">
        <f ca="1">SUMIFS(Покупка!AX$25:AX$87,Покупка!$F$25:$F$87,$F83,Покупка!$AC$25:$AC$87,$G83)</f>
        <v>0</v>
      </c>
      <c r="AZ83" s="170">
        <f ca="1">SUMIFS(Покупка!AY$25:AY$87,Покупка!$F$25:$F$87,$F83,Покупка!$AC$25:$AC$87,$G83)</f>
        <v>0</v>
      </c>
      <c r="BA83" s="170">
        <f ca="1">SUMIFS(Покупка!AZ$25:AZ$87,Покупка!$F$25:$F$87,$F83,Покупка!$AC$25:$AC$87,$G83)</f>
        <v>0</v>
      </c>
      <c r="BB83" s="170">
        <f ca="1">SUMIFS(Покупка!BA$25:BA$87,Покупка!$F$25:$F$87,$F83,Покупка!$AC$25:$AC$87,$G83)</f>
        <v>0</v>
      </c>
      <c r="BC83" s="170">
        <f ca="1">SUMIFS(Покупка!BB$25:BB$87,Покупка!$F$25:$F$87,$F83,Покупка!$AC$25:$AC$87,$G83)</f>
        <v>0</v>
      </c>
      <c r="BD83" s="170">
        <f t="shared" ca="1" si="11"/>
        <v>0</v>
      </c>
      <c r="BE83" s="170">
        <f t="shared" ca="1" si="12"/>
        <v>0</v>
      </c>
      <c r="BF83" s="170">
        <f t="shared" ca="1" si="13"/>
        <v>0</v>
      </c>
      <c r="BG83" s="170">
        <f t="shared" ca="1" si="14"/>
        <v>0</v>
      </c>
      <c r="BH83" s="170">
        <f t="shared" ca="1" si="15"/>
        <v>0</v>
      </c>
      <c r="BI83" s="170">
        <f t="shared" ca="1" si="16"/>
        <v>0</v>
      </c>
      <c r="BJ83" s="170">
        <f t="shared" ca="1" si="17"/>
        <v>0</v>
      </c>
      <c r="BK83" s="170">
        <f t="shared" ca="1" si="18"/>
        <v>0</v>
      </c>
      <c r="BL83" s="170">
        <f t="shared" ca="1" si="19"/>
        <v>0</v>
      </c>
      <c r="BM83" s="170">
        <f t="shared" ca="1" si="20"/>
        <v>0</v>
      </c>
      <c r="BN83" s="774"/>
      <c r="BO83" s="778" t="str">
        <f ca="1">IF(IFERROR(INDEX(Покупка!$K$26:$L$87,MATCH($F83&amp;"1komm",Покупка!$K$26:$K$87,0),2),"")=0,"",IFERROR(INDEX(Покупка!$K$26:$L$87,MATCH($F83&amp;"1komm",Покупка!$K$26:$K$87,0),2),""))</f>
        <v/>
      </c>
      <c r="BP83" s="774"/>
      <c r="BS83" s="694" t="s">
        <v>2052</v>
      </c>
    </row>
    <row r="84" spans="2:75" ht="14.65" hidden="1" customHeight="1">
      <c r="C84" s="25"/>
      <c r="D84" s="25"/>
      <c r="E84" s="449">
        <v>15</v>
      </c>
      <c r="F84" s="3" cm="1">
        <f t="array" aca="1" ref="F84" ca="1">OFFSET(E84,-1,1)</f>
        <v>0</v>
      </c>
      <c r="G84" s="25" t="s">
        <v>1118</v>
      </c>
      <c r="H84" s="25"/>
      <c r="I84" s="25" t="s">
        <v>1689</v>
      </c>
      <c r="J84" s="25"/>
      <c r="K84" s="25" t="s">
        <v>1689</v>
      </c>
      <c r="L84" s="25"/>
      <c r="M84" s="25"/>
      <c r="N84" s="25"/>
      <c r="O84" s="25"/>
      <c r="P84" s="25"/>
      <c r="Q84" s="25"/>
      <c r="R84" s="25"/>
      <c r="S84" s="25"/>
      <c r="T84" s="351" t="b" cm="1">
        <f t="array" aca="1" ref="T84" ca="1">T83</f>
        <v>0</v>
      </c>
      <c r="U84" s="25"/>
      <c r="V84" s="25"/>
      <c r="W84" s="25"/>
      <c r="X84" s="1046"/>
      <c r="Z84" s="1008"/>
      <c r="AB84" s="7" t="s">
        <v>2053</v>
      </c>
      <c r="AC84" s="134" t="s">
        <v>2054</v>
      </c>
      <c r="AD84" s="7" t="s">
        <v>859</v>
      </c>
      <c r="AE84" s="170">
        <f ca="1">SUMIFS(Покупка!AE$25:AE$87,Покупка!$F$25:$F$87,$F84,Покупка!$AC$25:$AC$87,$G84)</f>
        <v>0</v>
      </c>
      <c r="AF84" s="170">
        <f ca="1">SUMIFS(Покупка!AF$25:AF$87,Покупка!$F$25:$F$87,$F84,Покупка!$AC$25:$AC$87,$G84)</f>
        <v>0</v>
      </c>
      <c r="AG84" s="170">
        <f ca="1">SUMIFS(Покупка!AG$25:AG$87,Покупка!$F$25:$F$87,$F84,Покупка!$AC$25:$AC$87,$G84)</f>
        <v>0</v>
      </c>
      <c r="AH84" s="170">
        <f t="shared" ca="1" si="9"/>
        <v>0</v>
      </c>
      <c r="AI84" s="170">
        <f ca="1">SUMIFS(Покупка!AH$25:AH$87,Покупка!$F$25:$F$87,$F84,Покупка!$AC$25:$AC$87,$G84)</f>
        <v>0</v>
      </c>
      <c r="AJ84" s="170">
        <f ca="1">SUMIFS(Покупка!AI$25:AI$87,Покупка!$F$25:$F$87,$F84,Покупка!$AC$25:$AC$87,$G84)</f>
        <v>0</v>
      </c>
      <c r="AK84" s="170">
        <f ca="1">SUMIFS(Покупка!AJ$25:AJ$87,Покупка!$F$25:$F$87,$F84,Покупка!$AC$25:$AC$87,$G84)</f>
        <v>0</v>
      </c>
      <c r="AL84" s="170">
        <f ca="1">SUMIFS(Покупка!AK$25:AK$87,Покупка!$F$25:$F$87,$F84,Покупка!$AC$25:$AC$87,$G84)</f>
        <v>0</v>
      </c>
      <c r="AM84" s="170">
        <f ca="1">SUMIFS(Покупка!AL$25:AL$87,Покупка!$F$25:$F$87,$F84,Покупка!$AC$25:$AC$87,$G84)</f>
        <v>0</v>
      </c>
      <c r="AN84" s="170">
        <f ca="1">SUMIFS(Покупка!AM$25:AM$87,Покупка!$F$25:$F$87,$F84,Покупка!$AC$25:$AC$87,$G84)</f>
        <v>0</v>
      </c>
      <c r="AO84" s="170">
        <f ca="1">SUMIFS(Покупка!AN$25:AN$87,Покупка!$F$25:$F$87,$F84,Покупка!$AC$25:$AC$87,$G84)</f>
        <v>0</v>
      </c>
      <c r="AP84" s="170">
        <f ca="1">SUMIFS(Покупка!AO$25:AO$87,Покупка!$F$25:$F$87,$F84,Покупка!$AC$25:$AC$87,$G84)</f>
        <v>0</v>
      </c>
      <c r="AQ84" s="170">
        <f ca="1">SUMIFS(Покупка!AP$25:AP$87,Покупка!$F$25:$F$87,$F84,Покупка!$AC$25:$AC$87,$G84)</f>
        <v>0</v>
      </c>
      <c r="AR84" s="170">
        <f ca="1">SUMIFS(Покупка!AQ$25:AQ$87,Покупка!$F$25:$F$87,$F84,Покупка!$AC$25:$AC$87,$G84)</f>
        <v>0</v>
      </c>
      <c r="AS84" s="170">
        <f ca="1">SUMIFS(Покупка!AR$25:AR$87,Покупка!$F$25:$F$87,$F84,Покупка!$AC$25:$AC$87,$G84)</f>
        <v>0</v>
      </c>
      <c r="AT84" s="170">
        <f ca="1">SUMIFS(Покупка!AS$25:AS$87,Покупка!$F$25:$F$87,$F84,Покупка!$AC$25:$AC$87,$G84)</f>
        <v>0</v>
      </c>
      <c r="AU84" s="170">
        <f ca="1">SUMIFS(Покупка!AT$25:AT$87,Покупка!$F$25:$F$87,$F84,Покупка!$AC$25:$AC$87,$G84)</f>
        <v>0</v>
      </c>
      <c r="AV84" s="170">
        <f ca="1">SUMIFS(Покупка!AU$25:AU$87,Покупка!$F$25:$F$87,$F84,Покупка!$AC$25:$AC$87,$G84)</f>
        <v>0</v>
      </c>
      <c r="AW84" s="170">
        <f ca="1">SUMIFS(Покупка!AV$25:AV$87,Покупка!$F$25:$F$87,$F84,Покупка!$AC$25:$AC$87,$G84)</f>
        <v>0</v>
      </c>
      <c r="AX84" s="170">
        <f ca="1">SUMIFS(Покупка!AW$25:AW$87,Покупка!$F$25:$F$87,$F84,Покупка!$AC$25:$AC$87,$G84)</f>
        <v>0</v>
      </c>
      <c r="AY84" s="170">
        <f ca="1">SUMIFS(Покупка!AX$25:AX$87,Покупка!$F$25:$F$87,$F84,Покупка!$AC$25:$AC$87,$G84)</f>
        <v>0</v>
      </c>
      <c r="AZ84" s="170">
        <f ca="1">SUMIFS(Покупка!AY$25:AY$87,Покупка!$F$25:$F$87,$F84,Покупка!$AC$25:$AC$87,$G84)</f>
        <v>0</v>
      </c>
      <c r="BA84" s="170">
        <f ca="1">SUMIFS(Покупка!AZ$25:AZ$87,Покупка!$F$25:$F$87,$F84,Покупка!$AC$25:$AC$87,$G84)</f>
        <v>0</v>
      </c>
      <c r="BB84" s="170">
        <f ca="1">SUMIFS(Покупка!BA$25:BA$87,Покупка!$F$25:$F$87,$F84,Покупка!$AC$25:$AC$87,$G84)</f>
        <v>0</v>
      </c>
      <c r="BC84" s="170">
        <f ca="1">SUMIFS(Покупка!BB$25:BB$87,Покупка!$F$25:$F$87,$F84,Покупка!$AC$25:$AC$87,$G84)</f>
        <v>0</v>
      </c>
      <c r="BD84" s="170">
        <f t="shared" ca="1" si="11"/>
        <v>0</v>
      </c>
      <c r="BE84" s="170">
        <f t="shared" ca="1" si="12"/>
        <v>0</v>
      </c>
      <c r="BF84" s="170">
        <f t="shared" ca="1" si="13"/>
        <v>0</v>
      </c>
      <c r="BG84" s="170">
        <f t="shared" ca="1" si="14"/>
        <v>0</v>
      </c>
      <c r="BH84" s="170">
        <f t="shared" ca="1" si="15"/>
        <v>0</v>
      </c>
      <c r="BI84" s="170">
        <f t="shared" ca="1" si="16"/>
        <v>0</v>
      </c>
      <c r="BJ84" s="170">
        <f t="shared" ca="1" si="17"/>
        <v>0</v>
      </c>
      <c r="BK84" s="170">
        <f t="shared" ca="1" si="18"/>
        <v>0</v>
      </c>
      <c r="BL84" s="170">
        <f t="shared" ca="1" si="19"/>
        <v>0</v>
      </c>
      <c r="BM84" s="170">
        <f t="shared" ca="1" si="20"/>
        <v>0</v>
      </c>
      <c r="BN84" s="774"/>
      <c r="BO84" s="778" t="str">
        <f ca="1">IF(IFERROR(INDEX(Покупка!$K$26:$L$87,MATCH($F84&amp;"8komm",Покупка!$K$26:$K$87,0),2),"")=0,"",IFERROR(INDEX(Покупка!$K$26:$L$87,MATCH($F84&amp;"8komm",Покупка!$K$26:$K$87,0),2),""))</f>
        <v/>
      </c>
      <c r="BP84" s="774"/>
      <c r="BS84" s="694" t="s">
        <v>1119</v>
      </c>
    </row>
    <row r="85" spans="2:75" ht="14.65" hidden="1" customHeight="1">
      <c r="C85" s="25"/>
      <c r="D85" s="25"/>
      <c r="E85" s="449">
        <v>15</v>
      </c>
      <c r="F85" s="3" cm="1">
        <f t="array" aca="1" ref="F85" ca="1">OFFSET(E85,-1,1)</f>
        <v>0</v>
      </c>
      <c r="G85" s="25"/>
      <c r="H85" s="25"/>
      <c r="I85" s="25" t="s">
        <v>2055</v>
      </c>
      <c r="J85" s="25"/>
      <c r="K85" s="25" t="s">
        <v>2055</v>
      </c>
      <c r="L85" s="25"/>
      <c r="M85" s="25"/>
      <c r="N85" s="25"/>
      <c r="O85" s="25"/>
      <c r="P85" s="25"/>
      <c r="Q85" s="25"/>
      <c r="R85" s="25"/>
      <c r="S85" s="25"/>
      <c r="T85" s="351" t="b" cm="1">
        <f t="array" aca="1" ref="T85" ca="1">T84</f>
        <v>0</v>
      </c>
      <c r="U85" s="25"/>
      <c r="V85" s="25"/>
      <c r="W85" s="25"/>
      <c r="X85" s="1046"/>
      <c r="Z85" s="1008"/>
      <c r="AB85" s="7" t="s">
        <v>2056</v>
      </c>
      <c r="AC85" s="134" t="s">
        <v>2057</v>
      </c>
      <c r="AD85" s="7" t="s">
        <v>859</v>
      </c>
      <c r="AE85" s="777"/>
      <c r="AF85" s="777"/>
      <c r="AG85" s="777"/>
      <c r="AH85" s="170">
        <f t="shared" si="9"/>
        <v>0</v>
      </c>
      <c r="AI85" s="777"/>
      <c r="AJ85" s="128"/>
      <c r="AK85" s="128"/>
      <c r="AL85" s="128"/>
      <c r="AM85" s="777"/>
      <c r="AN85" s="777"/>
      <c r="AO85" s="777"/>
      <c r="AP85" s="777"/>
      <c r="AQ85" s="777"/>
      <c r="AR85" s="777"/>
      <c r="AS85" s="777"/>
      <c r="AT85" s="128"/>
      <c r="AU85" s="128"/>
      <c r="AV85" s="128"/>
      <c r="AW85" s="777"/>
      <c r="AX85" s="777"/>
      <c r="AY85" s="777"/>
      <c r="AZ85" s="777"/>
      <c r="BA85" s="777"/>
      <c r="BB85" s="777"/>
      <c r="BC85" s="777"/>
      <c r="BD85" s="170">
        <f t="shared" si="11"/>
        <v>0</v>
      </c>
      <c r="BE85" s="170">
        <f t="shared" si="12"/>
        <v>0</v>
      </c>
      <c r="BF85" s="170">
        <f t="shared" si="13"/>
        <v>0</v>
      </c>
      <c r="BG85" s="170">
        <f t="shared" si="14"/>
        <v>0</v>
      </c>
      <c r="BH85" s="170">
        <f t="shared" si="15"/>
        <v>0</v>
      </c>
      <c r="BI85" s="170">
        <f t="shared" si="16"/>
        <v>0</v>
      </c>
      <c r="BJ85" s="170">
        <f t="shared" si="17"/>
        <v>0</v>
      </c>
      <c r="BK85" s="170">
        <f t="shared" si="18"/>
        <v>0</v>
      </c>
      <c r="BL85" s="170">
        <f t="shared" si="19"/>
        <v>0</v>
      </c>
      <c r="BM85" s="170">
        <f t="shared" si="20"/>
        <v>0</v>
      </c>
      <c r="BN85" s="774"/>
      <c r="BO85" s="774"/>
      <c r="BP85" s="774"/>
      <c r="BS85" s="694" t="s">
        <v>2058</v>
      </c>
    </row>
    <row r="86" spans="2:75" ht="14.65" hidden="1" customHeight="1">
      <c r="C86" s="25"/>
      <c r="D86" s="25"/>
      <c r="E86" s="449">
        <v>15</v>
      </c>
      <c r="F86" s="3" cm="1">
        <f t="array" aca="1" ref="F86" ca="1">OFFSET(E86,-1,1)</f>
        <v>0</v>
      </c>
      <c r="G86" s="25"/>
      <c r="H86" s="25"/>
      <c r="I86" s="25" t="s">
        <v>2059</v>
      </c>
      <c r="J86" s="25"/>
      <c r="K86" s="25" t="s">
        <v>2059</v>
      </c>
      <c r="L86" s="25"/>
      <c r="M86" s="25"/>
      <c r="N86" s="25"/>
      <c r="O86" s="25"/>
      <c r="P86" s="25"/>
      <c r="Q86" s="25"/>
      <c r="R86" s="25"/>
      <c r="S86" s="25"/>
      <c r="T86" s="351" t="b" cm="1">
        <f t="array" aca="1" ref="T86" ca="1">T85</f>
        <v>0</v>
      </c>
      <c r="U86" s="25"/>
      <c r="V86" s="25"/>
      <c r="W86" s="25"/>
      <c r="X86" s="1046"/>
      <c r="Z86" s="1008"/>
      <c r="AB86" s="7" t="s">
        <v>2060</v>
      </c>
      <c r="AC86" s="134" t="s">
        <v>2061</v>
      </c>
      <c r="AD86" s="7" t="s">
        <v>859</v>
      </c>
      <c r="AE86" s="777"/>
      <c r="AF86" s="777"/>
      <c r="AG86" s="777"/>
      <c r="AH86" s="170">
        <f t="shared" si="9"/>
        <v>0</v>
      </c>
      <c r="AI86" s="777"/>
      <c r="AJ86" s="128"/>
      <c r="AK86" s="128"/>
      <c r="AL86" s="128"/>
      <c r="AM86" s="777"/>
      <c r="AN86" s="777"/>
      <c r="AO86" s="777"/>
      <c r="AP86" s="777"/>
      <c r="AQ86" s="777"/>
      <c r="AR86" s="777"/>
      <c r="AS86" s="777"/>
      <c r="AT86" s="128"/>
      <c r="AU86" s="128"/>
      <c r="AV86" s="128"/>
      <c r="AW86" s="777"/>
      <c r="AX86" s="777"/>
      <c r="AY86" s="777"/>
      <c r="AZ86" s="777"/>
      <c r="BA86" s="777"/>
      <c r="BB86" s="777"/>
      <c r="BC86" s="777"/>
      <c r="BD86" s="170">
        <f t="shared" si="11"/>
        <v>0</v>
      </c>
      <c r="BE86" s="170">
        <f t="shared" si="12"/>
        <v>0</v>
      </c>
      <c r="BF86" s="170">
        <f t="shared" si="13"/>
        <v>0</v>
      </c>
      <c r="BG86" s="170">
        <f t="shared" si="14"/>
        <v>0</v>
      </c>
      <c r="BH86" s="170">
        <f t="shared" si="15"/>
        <v>0</v>
      </c>
      <c r="BI86" s="170">
        <f t="shared" si="16"/>
        <v>0</v>
      </c>
      <c r="BJ86" s="170">
        <f t="shared" si="17"/>
        <v>0</v>
      </c>
      <c r="BK86" s="170">
        <f t="shared" si="18"/>
        <v>0</v>
      </c>
      <c r="BL86" s="170">
        <f t="shared" si="19"/>
        <v>0</v>
      </c>
      <c r="BM86" s="170">
        <f t="shared" si="20"/>
        <v>0</v>
      </c>
      <c r="BN86" s="774"/>
      <c r="BO86" s="774"/>
      <c r="BP86" s="774"/>
      <c r="BS86" s="694" t="s">
        <v>2062</v>
      </c>
    </row>
    <row r="87" spans="2:75" ht="14.65" hidden="1" customHeight="1">
      <c r="C87" s="25"/>
      <c r="D87" s="25"/>
      <c r="E87" s="449">
        <v>15</v>
      </c>
      <c r="F87" s="3" cm="1">
        <f t="array" aca="1" ref="F87" ca="1">OFFSET(E87,-1,1)</f>
        <v>0</v>
      </c>
      <c r="G87" s="25" t="s">
        <v>1096</v>
      </c>
      <c r="H87" s="25"/>
      <c r="I87" s="25" t="s">
        <v>2063</v>
      </c>
      <c r="J87" s="25"/>
      <c r="K87" s="25" t="s">
        <v>2063</v>
      </c>
      <c r="L87" s="25" t="s">
        <v>1562</v>
      </c>
      <c r="M87" s="25"/>
      <c r="N87" s="25"/>
      <c r="O87" s="25"/>
      <c r="P87" s="25"/>
      <c r="Q87" s="25"/>
      <c r="R87" s="25"/>
      <c r="S87" s="25"/>
      <c r="T87" s="351" t="b" cm="1">
        <f t="array" aca="1" ref="T87" ca="1">T86</f>
        <v>0</v>
      </c>
      <c r="U87" s="25"/>
      <c r="V87" s="25"/>
      <c r="W87" s="25"/>
      <c r="X87" s="1046"/>
      <c r="Z87" s="1008"/>
      <c r="AB87" s="7" t="s">
        <v>2064</v>
      </c>
      <c r="AC87" s="134" t="s">
        <v>2065</v>
      </c>
      <c r="AD87" s="7" t="s">
        <v>859</v>
      </c>
      <c r="AE87" s="170">
        <f ca="1">SUMIFS(Покупка!AE$25:AE$87,Покупка!$F$25:$F$87,$F87,Покупка!$AC$25:$AC$87,$G87)</f>
        <v>0</v>
      </c>
      <c r="AF87" s="170">
        <f ca="1">SUMIFS(Покупка!AF$25:AF$87,Покупка!$F$25:$F$87,$F87,Покупка!$AC$25:$AC$87,$G87)</f>
        <v>0</v>
      </c>
      <c r="AG87" s="170">
        <f ca="1">SUMIFS(Покупка!AG$25:AG$87,Покупка!$F$25:$F$87,$F87,Покупка!$AC$25:$AC$87,$G87)</f>
        <v>0</v>
      </c>
      <c r="AH87" s="170">
        <f t="shared" ca="1" si="9"/>
        <v>0</v>
      </c>
      <c r="AI87" s="170">
        <f ca="1">SUMIFS(Покупка!AH$25:AH$87,Покупка!$F$25:$F$87,$F87,Покупка!$AC$25:$AC$87,$G87)</f>
        <v>0</v>
      </c>
      <c r="AJ87" s="170">
        <f ca="1">SUMIFS(Покупка!AI$25:AI$87,Покупка!$F$25:$F$87,$F87,Покупка!$AC$25:$AC$87,$G87)</f>
        <v>0</v>
      </c>
      <c r="AK87" s="170">
        <f ca="1">SUMIFS(Покупка!AJ$25:AJ$87,Покупка!$F$25:$F$87,$F87,Покупка!$AC$25:$AC$87,$G87)</f>
        <v>0</v>
      </c>
      <c r="AL87" s="170">
        <f ca="1">SUMIFS(Покупка!AK$25:AK$87,Покупка!$F$25:$F$87,$F87,Покупка!$AC$25:$AC$87,$G87)</f>
        <v>0</v>
      </c>
      <c r="AM87" s="170">
        <f ca="1">SUMIFS(Покупка!AL$25:AL$87,Покупка!$F$25:$F$87,$F87,Покупка!$AC$25:$AC$87,$G87)</f>
        <v>0</v>
      </c>
      <c r="AN87" s="170">
        <f ca="1">SUMIFS(Покупка!AM$25:AM$87,Покупка!$F$25:$F$87,$F87,Покупка!$AC$25:$AC$87,$G87)</f>
        <v>0</v>
      </c>
      <c r="AO87" s="170">
        <f ca="1">SUMIFS(Покупка!AN$25:AN$87,Покупка!$F$25:$F$87,$F87,Покупка!$AC$25:$AC$87,$G87)</f>
        <v>0</v>
      </c>
      <c r="AP87" s="170">
        <f ca="1">SUMIFS(Покупка!AO$25:AO$87,Покупка!$F$25:$F$87,$F87,Покупка!$AC$25:$AC$87,$G87)</f>
        <v>0</v>
      </c>
      <c r="AQ87" s="170">
        <f ca="1">SUMIFS(Покупка!AP$25:AP$87,Покупка!$F$25:$F$87,$F87,Покупка!$AC$25:$AC$87,$G87)</f>
        <v>0</v>
      </c>
      <c r="AR87" s="170">
        <f ca="1">SUMIFS(Покупка!AQ$25:AQ$87,Покупка!$F$25:$F$87,$F87,Покупка!$AC$25:$AC$87,$G87)</f>
        <v>0</v>
      </c>
      <c r="AS87" s="170">
        <f ca="1">SUMIFS(Покупка!AR$25:AR$87,Покупка!$F$25:$F$87,$F87,Покупка!$AC$25:$AC$87,$G87)</f>
        <v>0</v>
      </c>
      <c r="AT87" s="170">
        <f ca="1">SUMIFS(Покупка!AS$25:AS$87,Покупка!$F$25:$F$87,$F87,Покупка!$AC$25:$AC$87,$G87)</f>
        <v>0</v>
      </c>
      <c r="AU87" s="170">
        <f ca="1">SUMIFS(Покупка!AT$25:AT$87,Покупка!$F$25:$F$87,$F87,Покупка!$AC$25:$AC$87,$G87)</f>
        <v>0</v>
      </c>
      <c r="AV87" s="170">
        <f ca="1">SUMIFS(Покупка!AU$25:AU$87,Покупка!$F$25:$F$87,$F87,Покупка!$AC$25:$AC$87,$G87)</f>
        <v>0</v>
      </c>
      <c r="AW87" s="170">
        <f ca="1">SUMIFS(Покупка!AV$25:AV$87,Покупка!$F$25:$F$87,$F87,Покупка!$AC$25:$AC$87,$G87)</f>
        <v>0</v>
      </c>
      <c r="AX87" s="170">
        <f ca="1">SUMIFS(Покупка!AW$25:AW$87,Покупка!$F$25:$F$87,$F87,Покупка!$AC$25:$AC$87,$G87)</f>
        <v>0</v>
      </c>
      <c r="AY87" s="170">
        <f ca="1">SUMIFS(Покупка!AX$25:AX$87,Покупка!$F$25:$F$87,$F87,Покупка!$AC$25:$AC$87,$G87)</f>
        <v>0</v>
      </c>
      <c r="AZ87" s="170">
        <f ca="1">SUMIFS(Покупка!AY$25:AY$87,Покупка!$F$25:$F$87,$F87,Покупка!$AC$25:$AC$87,$G87)</f>
        <v>0</v>
      </c>
      <c r="BA87" s="170">
        <f ca="1">SUMIFS(Покупка!AZ$25:AZ$87,Покупка!$F$25:$F$87,$F87,Покупка!$AC$25:$AC$87,$G87)</f>
        <v>0</v>
      </c>
      <c r="BB87" s="170">
        <f ca="1">SUMIFS(Покупка!BA$25:BA$87,Покупка!$F$25:$F$87,$F87,Покупка!$AC$25:$AC$87,$G87)</f>
        <v>0</v>
      </c>
      <c r="BC87" s="170">
        <f ca="1">SUMIFS(Покупка!BB$25:BB$87,Покупка!$F$25:$F$87,$F87,Покупка!$AC$25:$AC$87,$G87)</f>
        <v>0</v>
      </c>
      <c r="BD87" s="170">
        <f t="shared" ca="1" si="11"/>
        <v>0</v>
      </c>
      <c r="BE87" s="170">
        <f t="shared" ca="1" si="12"/>
        <v>0</v>
      </c>
      <c r="BF87" s="170">
        <f t="shared" ca="1" si="13"/>
        <v>0</v>
      </c>
      <c r="BG87" s="170">
        <f t="shared" ca="1" si="14"/>
        <v>0</v>
      </c>
      <c r="BH87" s="170">
        <f t="shared" ca="1" si="15"/>
        <v>0</v>
      </c>
      <c r="BI87" s="170">
        <f t="shared" ca="1" si="16"/>
        <v>0</v>
      </c>
      <c r="BJ87" s="170">
        <f t="shared" ca="1" si="17"/>
        <v>0</v>
      </c>
      <c r="BK87" s="170">
        <f t="shared" ca="1" si="18"/>
        <v>0</v>
      </c>
      <c r="BL87" s="170">
        <f t="shared" ca="1" si="19"/>
        <v>0</v>
      </c>
      <c r="BM87" s="170">
        <f t="shared" ca="1" si="20"/>
        <v>0</v>
      </c>
      <c r="BN87" s="774"/>
      <c r="BO87" s="778" t="str">
        <f ca="1">IF(IFERROR(INDEX(Покупка!$K$26:$L$87,MATCH($F87&amp;"3komm",Покупка!$K$26:$K$87,0),2),"")=0,"",IFERROR(INDEX(Покупка!$K$26:$L$87,MATCH($F87&amp;"3komm",Покупка!$K$26:$K$87,0),2),""))</f>
        <v/>
      </c>
      <c r="BP87" s="774"/>
      <c r="BS87" s="694" t="s">
        <v>1764</v>
      </c>
    </row>
    <row r="88" spans="2:75" ht="14.65" hidden="1" customHeight="1">
      <c r="C88" s="25"/>
      <c r="D88" s="25"/>
      <c r="E88" s="449">
        <v>15</v>
      </c>
      <c r="F88" s="3" cm="1">
        <f t="array" aca="1" ref="F88" ca="1">OFFSET(E88,-1,1)</f>
        <v>0</v>
      </c>
      <c r="G88" s="25" t="s">
        <v>1102</v>
      </c>
      <c r="H88" s="25"/>
      <c r="I88" s="25" t="s">
        <v>2066</v>
      </c>
      <c r="J88" s="25"/>
      <c r="K88" s="25" t="s">
        <v>2066</v>
      </c>
      <c r="L88" s="25" t="s">
        <v>1567</v>
      </c>
      <c r="M88" s="25"/>
      <c r="N88" s="25"/>
      <c r="O88" s="25"/>
      <c r="P88" s="25"/>
      <c r="Q88" s="25"/>
      <c r="R88" s="25"/>
      <c r="S88" s="25"/>
      <c r="T88" s="351" t="b" cm="1">
        <f t="array" aca="1" ref="T88" ca="1">T87</f>
        <v>0</v>
      </c>
      <c r="U88" s="25"/>
      <c r="V88" s="25"/>
      <c r="W88" s="25"/>
      <c r="X88" s="1046"/>
      <c r="Z88" s="1008"/>
      <c r="AB88" s="7" t="s">
        <v>2067</v>
      </c>
      <c r="AC88" s="134" t="s">
        <v>2068</v>
      </c>
      <c r="AD88" s="7" t="s">
        <v>859</v>
      </c>
      <c r="AE88" s="170">
        <f ca="1">SUMIFS(Покупка!AE$25:AE$87,Покупка!$F$25:$F$87,$F88,Покупка!$AC$25:$AC$87,$G88)</f>
        <v>0</v>
      </c>
      <c r="AF88" s="170">
        <f ca="1">SUMIFS(Покупка!AF$25:AF$87,Покупка!$F$25:$F$87,$F88,Покупка!$AC$25:$AC$87,$G88)</f>
        <v>0</v>
      </c>
      <c r="AG88" s="170">
        <f ca="1">SUMIFS(Покупка!AG$25:AG$87,Покупка!$F$25:$F$87,$F88,Покупка!$AC$25:$AC$87,$G88)</f>
        <v>0</v>
      </c>
      <c r="AH88" s="170">
        <f t="shared" ca="1" si="9"/>
        <v>0</v>
      </c>
      <c r="AI88" s="170">
        <f ca="1">SUMIFS(Покупка!AH$25:AH$87,Покупка!$F$25:$F$87,$F88,Покупка!$AC$25:$AC$87,$G88)</f>
        <v>0</v>
      </c>
      <c r="AJ88" s="170">
        <f ca="1">SUMIFS(Покупка!AI$25:AI$87,Покупка!$F$25:$F$87,$F88,Покупка!$AC$25:$AC$87,$G88)</f>
        <v>0</v>
      </c>
      <c r="AK88" s="170">
        <f ca="1">SUMIFS(Покупка!AJ$25:AJ$87,Покупка!$F$25:$F$87,$F88,Покупка!$AC$25:$AC$87,$G88)</f>
        <v>0</v>
      </c>
      <c r="AL88" s="170">
        <f ca="1">SUMIFS(Покупка!AK$25:AK$87,Покупка!$F$25:$F$87,$F88,Покупка!$AC$25:$AC$87,$G88)</f>
        <v>0</v>
      </c>
      <c r="AM88" s="170">
        <f ca="1">SUMIFS(Покупка!AL$25:AL$87,Покупка!$F$25:$F$87,$F88,Покупка!$AC$25:$AC$87,$G88)</f>
        <v>0</v>
      </c>
      <c r="AN88" s="170">
        <f ca="1">SUMIFS(Покупка!AM$25:AM$87,Покупка!$F$25:$F$87,$F88,Покупка!$AC$25:$AC$87,$G88)</f>
        <v>0</v>
      </c>
      <c r="AO88" s="170">
        <f ca="1">SUMIFS(Покупка!AN$25:AN$87,Покупка!$F$25:$F$87,$F88,Покупка!$AC$25:$AC$87,$G88)</f>
        <v>0</v>
      </c>
      <c r="AP88" s="170">
        <f ca="1">SUMIFS(Покупка!AO$25:AO$87,Покупка!$F$25:$F$87,$F88,Покупка!$AC$25:$AC$87,$G88)</f>
        <v>0</v>
      </c>
      <c r="AQ88" s="170">
        <f ca="1">SUMIFS(Покупка!AP$25:AP$87,Покупка!$F$25:$F$87,$F88,Покупка!$AC$25:$AC$87,$G88)</f>
        <v>0</v>
      </c>
      <c r="AR88" s="170">
        <f ca="1">SUMIFS(Покупка!AQ$25:AQ$87,Покупка!$F$25:$F$87,$F88,Покупка!$AC$25:$AC$87,$G88)</f>
        <v>0</v>
      </c>
      <c r="AS88" s="170">
        <f ca="1">SUMIFS(Покупка!AR$25:AR$87,Покупка!$F$25:$F$87,$F88,Покупка!$AC$25:$AC$87,$G88)</f>
        <v>0</v>
      </c>
      <c r="AT88" s="170">
        <f ca="1">SUMIFS(Покупка!AS$25:AS$87,Покупка!$F$25:$F$87,$F88,Покупка!$AC$25:$AC$87,$G88)</f>
        <v>0</v>
      </c>
      <c r="AU88" s="170">
        <f ca="1">SUMIFS(Покупка!AT$25:AT$87,Покупка!$F$25:$F$87,$F88,Покупка!$AC$25:$AC$87,$G88)</f>
        <v>0</v>
      </c>
      <c r="AV88" s="170">
        <f ca="1">SUMIFS(Покупка!AU$25:AU$87,Покупка!$F$25:$F$87,$F88,Покупка!$AC$25:$AC$87,$G88)</f>
        <v>0</v>
      </c>
      <c r="AW88" s="170">
        <f ca="1">SUMIFS(Покупка!AV$25:AV$87,Покупка!$F$25:$F$87,$F88,Покупка!$AC$25:$AC$87,$G88)</f>
        <v>0</v>
      </c>
      <c r="AX88" s="170">
        <f ca="1">SUMIFS(Покупка!AW$25:AW$87,Покупка!$F$25:$F$87,$F88,Покупка!$AC$25:$AC$87,$G88)</f>
        <v>0</v>
      </c>
      <c r="AY88" s="170">
        <f ca="1">SUMIFS(Покупка!AX$25:AX$87,Покупка!$F$25:$F$87,$F88,Покупка!$AC$25:$AC$87,$G88)</f>
        <v>0</v>
      </c>
      <c r="AZ88" s="170">
        <f ca="1">SUMIFS(Покупка!AY$25:AY$87,Покупка!$F$25:$F$87,$F88,Покупка!$AC$25:$AC$87,$G88)</f>
        <v>0</v>
      </c>
      <c r="BA88" s="170">
        <f ca="1">SUMIFS(Покупка!AZ$25:AZ$87,Покупка!$F$25:$F$87,$F88,Покупка!$AC$25:$AC$87,$G88)</f>
        <v>0</v>
      </c>
      <c r="BB88" s="170">
        <f ca="1">SUMIFS(Покупка!BA$25:BA$87,Покупка!$F$25:$F$87,$F88,Покупка!$AC$25:$AC$87,$G88)</f>
        <v>0</v>
      </c>
      <c r="BC88" s="170">
        <f ca="1">SUMIFS(Покупка!BB$25:BB$87,Покупка!$F$25:$F$87,$F88,Покупка!$AC$25:$AC$87,$G88)</f>
        <v>0</v>
      </c>
      <c r="BD88" s="170">
        <f t="shared" ca="1" si="11"/>
        <v>0</v>
      </c>
      <c r="BE88" s="170">
        <f t="shared" ca="1" si="12"/>
        <v>0</v>
      </c>
      <c r="BF88" s="170">
        <f t="shared" ca="1" si="13"/>
        <v>0</v>
      </c>
      <c r="BG88" s="170">
        <f t="shared" ca="1" si="14"/>
        <v>0</v>
      </c>
      <c r="BH88" s="170">
        <f t="shared" ca="1" si="15"/>
        <v>0</v>
      </c>
      <c r="BI88" s="170">
        <f t="shared" ca="1" si="16"/>
        <v>0</v>
      </c>
      <c r="BJ88" s="170">
        <f t="shared" ca="1" si="17"/>
        <v>0</v>
      </c>
      <c r="BK88" s="170">
        <f t="shared" ca="1" si="18"/>
        <v>0</v>
      </c>
      <c r="BL88" s="170">
        <f t="shared" ca="1" si="19"/>
        <v>0</v>
      </c>
      <c r="BM88" s="170">
        <f t="shared" ca="1" si="20"/>
        <v>0</v>
      </c>
      <c r="BN88" s="774"/>
      <c r="BO88" s="778" t="str">
        <f ca="1">IF(IFERROR(INDEX(Покупка!$K$26:$L$87,MATCH($F88&amp;"4komm",Покупка!$K$26:$K$87,0),2),"")=0,"",IFERROR(INDEX(Покупка!$K$26:$L$87,MATCH($F87&amp;"3komm",Покупка!$K$26:$K$87,0),2),""))</f>
        <v/>
      </c>
      <c r="BP88" s="774"/>
      <c r="BS88" s="694" t="s">
        <v>1767</v>
      </c>
    </row>
    <row r="89" spans="2:75" ht="14.65" hidden="1" customHeight="1">
      <c r="C89" s="25"/>
      <c r="D89" s="25"/>
      <c r="E89" s="449">
        <v>15</v>
      </c>
      <c r="F89" s="3" cm="1">
        <f t="array" aca="1" ref="F89" ca="1">OFFSET(E89,-1,1)</f>
        <v>0</v>
      </c>
      <c r="G89" s="25" t="s">
        <v>1108</v>
      </c>
      <c r="H89" s="25"/>
      <c r="I89" s="25" t="s">
        <v>2069</v>
      </c>
      <c r="J89" s="25"/>
      <c r="K89" s="25" t="s">
        <v>2069</v>
      </c>
      <c r="L89" s="25" t="s">
        <v>1577</v>
      </c>
      <c r="M89" s="25"/>
      <c r="N89" s="25"/>
      <c r="O89" s="25"/>
      <c r="P89" s="25"/>
      <c r="Q89" s="25"/>
      <c r="R89" s="25"/>
      <c r="S89" s="25"/>
      <c r="T89" s="351" t="b" cm="1">
        <f t="array" aca="1" ref="T89" ca="1">T88</f>
        <v>0</v>
      </c>
      <c r="U89" s="25"/>
      <c r="V89" s="25"/>
      <c r="W89" s="25"/>
      <c r="X89" s="1046"/>
      <c r="Z89" s="1008"/>
      <c r="AB89" s="7" t="s">
        <v>2070</v>
      </c>
      <c r="AC89" s="134" t="s">
        <v>2071</v>
      </c>
      <c r="AD89" s="7" t="s">
        <v>859</v>
      </c>
      <c r="AE89" s="170">
        <f ca="1">SUMIFS(Покупка!AE$25:AE$87,Покупка!$F$25:$F$87,$F89,Покупка!$AC$25:$AC$87,$G89)</f>
        <v>0</v>
      </c>
      <c r="AF89" s="170">
        <f ca="1">SUMIFS(Покупка!AF$25:AF$87,Покупка!$F$25:$F$87,$F89,Покупка!$AC$25:$AC$87,$G89)</f>
        <v>0</v>
      </c>
      <c r="AG89" s="170">
        <f ca="1">SUMIFS(Покупка!AG$25:AG$87,Покупка!$F$25:$F$87,$F89,Покупка!$AC$25:$AC$87,$G89)</f>
        <v>0</v>
      </c>
      <c r="AH89" s="170">
        <f t="shared" ca="1" si="9"/>
        <v>0</v>
      </c>
      <c r="AI89" s="170">
        <f ca="1">SUMIFS(Покупка!AH$25:AH$87,Покупка!$F$25:$F$87,$F89,Покупка!$AC$25:$AC$87,$G89)</f>
        <v>0</v>
      </c>
      <c r="AJ89" s="170">
        <f ca="1">SUMIFS(Покупка!AI$25:AI$87,Покупка!$F$25:$F$87,$F89,Покупка!$AC$25:$AC$87,$G89)</f>
        <v>0</v>
      </c>
      <c r="AK89" s="170">
        <f ca="1">SUMIFS(Покупка!AJ$25:AJ$87,Покупка!$F$25:$F$87,$F89,Покупка!$AC$25:$AC$87,$G89)</f>
        <v>0</v>
      </c>
      <c r="AL89" s="170">
        <f ca="1">SUMIFS(Покупка!AK$25:AK$87,Покупка!$F$25:$F$87,$F89,Покупка!$AC$25:$AC$87,$G89)</f>
        <v>0</v>
      </c>
      <c r="AM89" s="170">
        <f ca="1">SUMIFS(Покупка!AL$25:AL$87,Покупка!$F$25:$F$87,$F89,Покупка!$AC$25:$AC$87,$G89)</f>
        <v>0</v>
      </c>
      <c r="AN89" s="170">
        <f ca="1">SUMIFS(Покупка!AM$25:AM$87,Покупка!$F$25:$F$87,$F89,Покупка!$AC$25:$AC$87,$G89)</f>
        <v>0</v>
      </c>
      <c r="AO89" s="170">
        <f ca="1">SUMIFS(Покупка!AN$25:AN$87,Покупка!$F$25:$F$87,$F89,Покупка!$AC$25:$AC$87,$G89)</f>
        <v>0</v>
      </c>
      <c r="AP89" s="170">
        <f ca="1">SUMIFS(Покупка!AO$25:AO$87,Покупка!$F$25:$F$87,$F89,Покупка!$AC$25:$AC$87,$G89)</f>
        <v>0</v>
      </c>
      <c r="AQ89" s="170">
        <f ca="1">SUMIFS(Покупка!AP$25:AP$87,Покупка!$F$25:$F$87,$F89,Покупка!$AC$25:$AC$87,$G89)</f>
        <v>0</v>
      </c>
      <c r="AR89" s="170">
        <f ca="1">SUMIFS(Покупка!AQ$25:AQ$87,Покупка!$F$25:$F$87,$F89,Покупка!$AC$25:$AC$87,$G89)</f>
        <v>0</v>
      </c>
      <c r="AS89" s="170">
        <f ca="1">SUMIFS(Покупка!AR$25:AR$87,Покупка!$F$25:$F$87,$F89,Покупка!$AC$25:$AC$87,$G89)</f>
        <v>0</v>
      </c>
      <c r="AT89" s="170">
        <f ca="1">SUMIFS(Покупка!AS$25:AS$87,Покупка!$F$25:$F$87,$F89,Покупка!$AC$25:$AC$87,$G89)</f>
        <v>0</v>
      </c>
      <c r="AU89" s="170">
        <f ca="1">SUMIFS(Покупка!AT$25:AT$87,Покупка!$F$25:$F$87,$F89,Покупка!$AC$25:$AC$87,$G89)</f>
        <v>0</v>
      </c>
      <c r="AV89" s="170">
        <f ca="1">SUMIFS(Покупка!AU$25:AU$87,Покупка!$F$25:$F$87,$F89,Покупка!$AC$25:$AC$87,$G89)</f>
        <v>0</v>
      </c>
      <c r="AW89" s="170">
        <f ca="1">SUMIFS(Покупка!AV$25:AV$87,Покупка!$F$25:$F$87,$F89,Покупка!$AC$25:$AC$87,$G89)</f>
        <v>0</v>
      </c>
      <c r="AX89" s="170">
        <f ca="1">SUMIFS(Покупка!AW$25:AW$87,Покупка!$F$25:$F$87,$F89,Покупка!$AC$25:$AC$87,$G89)</f>
        <v>0</v>
      </c>
      <c r="AY89" s="170">
        <f ca="1">SUMIFS(Покупка!AX$25:AX$87,Покупка!$F$25:$F$87,$F89,Покупка!$AC$25:$AC$87,$G89)</f>
        <v>0</v>
      </c>
      <c r="AZ89" s="170">
        <f ca="1">SUMIFS(Покупка!AY$25:AY$87,Покупка!$F$25:$F$87,$F89,Покупка!$AC$25:$AC$87,$G89)</f>
        <v>0</v>
      </c>
      <c r="BA89" s="170">
        <f ca="1">SUMIFS(Покупка!AZ$25:AZ$87,Покупка!$F$25:$F$87,$F89,Покупка!$AC$25:$AC$87,$G89)</f>
        <v>0</v>
      </c>
      <c r="BB89" s="170">
        <f ca="1">SUMIFS(Покупка!BA$25:BA$87,Покупка!$F$25:$F$87,$F89,Покупка!$AC$25:$AC$87,$G89)</f>
        <v>0</v>
      </c>
      <c r="BC89" s="170">
        <f ca="1">SUMIFS(Покупка!BB$25:BB$87,Покупка!$F$25:$F$87,$F89,Покупка!$AC$25:$AC$87,$G89)</f>
        <v>0</v>
      </c>
      <c r="BD89" s="170">
        <f t="shared" ca="1" si="11"/>
        <v>0</v>
      </c>
      <c r="BE89" s="170">
        <f t="shared" ca="1" si="12"/>
        <v>0</v>
      </c>
      <c r="BF89" s="170">
        <f t="shared" ca="1" si="13"/>
        <v>0</v>
      </c>
      <c r="BG89" s="170">
        <f t="shared" ca="1" si="14"/>
        <v>0</v>
      </c>
      <c r="BH89" s="170">
        <f t="shared" ca="1" si="15"/>
        <v>0</v>
      </c>
      <c r="BI89" s="170">
        <f t="shared" ca="1" si="16"/>
        <v>0</v>
      </c>
      <c r="BJ89" s="170">
        <f t="shared" ca="1" si="17"/>
        <v>0</v>
      </c>
      <c r="BK89" s="170">
        <f t="shared" ca="1" si="18"/>
        <v>0</v>
      </c>
      <c r="BL89" s="170">
        <f t="shared" ca="1" si="19"/>
        <v>0</v>
      </c>
      <c r="BM89" s="170">
        <f t="shared" ca="1" si="20"/>
        <v>0</v>
      </c>
      <c r="BN89" s="774"/>
      <c r="BO89" s="778" t="str">
        <f ca="1">IF(IFERROR(INDEX(Покупка!$K$26:$L$87,MATCH($F89&amp;"5komm",Покупка!$K$26:$K$87,0),2),"")=0,"",IFERROR(INDEX(Покупка!$K$26:$L$87,MATCH($F89&amp;"5komm",Покупка!$K$26:$K$87,0),2),""))</f>
        <v/>
      </c>
      <c r="BP89" s="774"/>
      <c r="BS89" s="694" t="s">
        <v>1770</v>
      </c>
    </row>
    <row r="90" spans="2:75" ht="14.65" hidden="1" customHeight="1">
      <c r="C90" s="25"/>
      <c r="D90" s="25"/>
      <c r="E90" s="449">
        <v>15</v>
      </c>
      <c r="F90" s="3" cm="1">
        <f t="array" aca="1" ref="F90" ca="1">OFFSET(E90,-1,1)</f>
        <v>0</v>
      </c>
      <c r="G90" s="25" t="s">
        <v>1120</v>
      </c>
      <c r="H90" s="25"/>
      <c r="I90" s="25"/>
      <c r="J90" s="25"/>
      <c r="K90" s="25"/>
      <c r="L90" s="25" t="s">
        <v>1544</v>
      </c>
      <c r="M90" s="25"/>
      <c r="N90" s="25"/>
      <c r="O90" s="25"/>
      <c r="P90" s="25"/>
      <c r="Q90" s="25"/>
      <c r="R90" s="25"/>
      <c r="S90" s="25"/>
      <c r="T90" s="351" t="b" cm="1">
        <f t="array" aca="1" ref="T90" ca="1">T89</f>
        <v>0</v>
      </c>
      <c r="U90" s="25"/>
      <c r="V90" s="25"/>
      <c r="W90" s="25"/>
      <c r="X90" s="1046"/>
      <c r="Z90" s="1008"/>
      <c r="AB90" s="7" t="s">
        <v>2072</v>
      </c>
      <c r="AC90" s="134" t="s">
        <v>2073</v>
      </c>
      <c r="AD90" s="7" t="s">
        <v>859</v>
      </c>
      <c r="AE90" s="170">
        <f ca="1">SUMIFS(Покупка!AE$25:AE$87,Покупка!$F$25:$F$87,$F90,Покупка!$AC$25:$AC$87,$G90)</f>
        <v>0</v>
      </c>
      <c r="AF90" s="170">
        <f ca="1">SUMIFS(Покупка!AF$25:AF$87,Покупка!$F$25:$F$87,$F90,Покупка!$AC$25:$AC$87,$G90)</f>
        <v>0</v>
      </c>
      <c r="AG90" s="170">
        <f ca="1">SUMIFS(Покупка!AG$25:AG$87,Покупка!$F$25:$F$87,$F90,Покупка!$AC$25:$AC$87,$G90)</f>
        <v>0</v>
      </c>
      <c r="AH90" s="170">
        <f t="shared" ca="1" si="9"/>
        <v>0</v>
      </c>
      <c r="AI90" s="170">
        <f ca="1">SUMIFS(Покупка!AH$25:AH$87,Покупка!$F$25:$F$87,$F90,Покупка!$AC$25:$AC$87,$G90)</f>
        <v>0</v>
      </c>
      <c r="AJ90" s="170">
        <f ca="1">SUMIFS(Покупка!AI$25:AI$87,Покупка!$F$25:$F$87,$F90,Покупка!$AC$25:$AC$87,$G90)</f>
        <v>0</v>
      </c>
      <c r="AK90" s="170">
        <f ca="1">SUMIFS(Покупка!AJ$25:AJ$87,Покупка!$F$25:$F$87,$F90,Покупка!$AC$25:$AC$87,$G90)</f>
        <v>0</v>
      </c>
      <c r="AL90" s="170">
        <f ca="1">SUMIFS(Покупка!AK$25:AK$87,Покупка!$F$25:$F$87,$F90,Покупка!$AC$25:$AC$87,$G90)</f>
        <v>0</v>
      </c>
      <c r="AM90" s="170">
        <f ca="1">SUMIFS(Покупка!AL$25:AL$87,Покупка!$F$25:$F$87,$F90,Покупка!$AC$25:$AC$87,$G90)</f>
        <v>0</v>
      </c>
      <c r="AN90" s="170">
        <f ca="1">SUMIFS(Покупка!AM$25:AM$87,Покупка!$F$25:$F$87,$F90,Покупка!$AC$25:$AC$87,$G90)</f>
        <v>0</v>
      </c>
      <c r="AO90" s="170">
        <f ca="1">SUMIFS(Покупка!AN$25:AN$87,Покупка!$F$25:$F$87,$F90,Покупка!$AC$25:$AC$87,$G90)</f>
        <v>0</v>
      </c>
      <c r="AP90" s="170">
        <f ca="1">SUMIFS(Покупка!AO$25:AO$87,Покупка!$F$25:$F$87,$F90,Покупка!$AC$25:$AC$87,$G90)</f>
        <v>0</v>
      </c>
      <c r="AQ90" s="170">
        <f ca="1">SUMIFS(Покупка!AP$25:AP$87,Покупка!$F$25:$F$87,$F90,Покупка!$AC$25:$AC$87,$G90)</f>
        <v>0</v>
      </c>
      <c r="AR90" s="170">
        <f ca="1">SUMIFS(Покупка!AQ$25:AQ$87,Покупка!$F$25:$F$87,$F90,Покупка!$AC$25:$AC$87,$G90)</f>
        <v>0</v>
      </c>
      <c r="AS90" s="170">
        <f ca="1">SUMIFS(Покупка!AR$25:AR$87,Покупка!$F$25:$F$87,$F90,Покупка!$AC$25:$AC$87,$G90)</f>
        <v>0</v>
      </c>
      <c r="AT90" s="170">
        <f ca="1">SUMIFS(Покупка!AS$25:AS$87,Покупка!$F$25:$F$87,$F90,Покупка!$AC$25:$AC$87,$G90)</f>
        <v>0</v>
      </c>
      <c r="AU90" s="170">
        <f ca="1">SUMIFS(Покупка!AT$25:AT$87,Покупка!$F$25:$F$87,$F90,Покупка!$AC$25:$AC$87,$G90)</f>
        <v>0</v>
      </c>
      <c r="AV90" s="170">
        <f ca="1">SUMIFS(Покупка!AU$25:AU$87,Покупка!$F$25:$F$87,$F90,Покупка!$AC$25:$AC$87,$G90)</f>
        <v>0</v>
      </c>
      <c r="AW90" s="170">
        <f ca="1">SUMIFS(Покупка!AV$25:AV$87,Покупка!$F$25:$F$87,$F90,Покупка!$AC$25:$AC$87,$G90)</f>
        <v>0</v>
      </c>
      <c r="AX90" s="170">
        <f ca="1">SUMIFS(Покупка!AW$25:AW$87,Покупка!$F$25:$F$87,$F90,Покупка!$AC$25:$AC$87,$G90)</f>
        <v>0</v>
      </c>
      <c r="AY90" s="170">
        <f ca="1">SUMIFS(Покупка!AX$25:AX$87,Покупка!$F$25:$F$87,$F90,Покупка!$AC$25:$AC$87,$G90)</f>
        <v>0</v>
      </c>
      <c r="AZ90" s="170">
        <f ca="1">SUMIFS(Покупка!AY$25:AY$87,Покупка!$F$25:$F$87,$F90,Покупка!$AC$25:$AC$87,$G90)</f>
        <v>0</v>
      </c>
      <c r="BA90" s="170">
        <f ca="1">SUMIFS(Покупка!AZ$25:AZ$87,Покупка!$F$25:$F$87,$F90,Покупка!$AC$25:$AC$87,$G90)</f>
        <v>0</v>
      </c>
      <c r="BB90" s="170">
        <f ca="1">SUMIFS(Покупка!BA$25:BA$87,Покупка!$F$25:$F$87,$F90,Покупка!$AC$25:$AC$87,$G90)</f>
        <v>0</v>
      </c>
      <c r="BC90" s="170">
        <f ca="1">SUMIFS(Покупка!BB$25:BB$87,Покупка!$F$25:$F$87,$F90,Покупка!$AC$25:$AC$87,$G90)</f>
        <v>0</v>
      </c>
      <c r="BD90" s="170">
        <f t="shared" ca="1" si="11"/>
        <v>0</v>
      </c>
      <c r="BE90" s="170">
        <f t="shared" ca="1" si="12"/>
        <v>0</v>
      </c>
      <c r="BF90" s="170">
        <f t="shared" ca="1" si="13"/>
        <v>0</v>
      </c>
      <c r="BG90" s="170">
        <f t="shared" ca="1" si="14"/>
        <v>0</v>
      </c>
      <c r="BH90" s="170">
        <f t="shared" ca="1" si="15"/>
        <v>0</v>
      </c>
      <c r="BI90" s="170">
        <f t="shared" ca="1" si="16"/>
        <v>0</v>
      </c>
      <c r="BJ90" s="170">
        <f t="shared" ca="1" si="17"/>
        <v>0</v>
      </c>
      <c r="BK90" s="170">
        <f t="shared" ca="1" si="18"/>
        <v>0</v>
      </c>
      <c r="BL90" s="170">
        <f t="shared" ca="1" si="19"/>
        <v>0</v>
      </c>
      <c r="BM90" s="170">
        <f t="shared" ca="1" si="20"/>
        <v>0</v>
      </c>
      <c r="BN90" s="774"/>
      <c r="BO90" s="778" t="str">
        <f ca="1">IF(IFERROR(INDEX(Покупка!$K$26:$L$87,MATCH($F90&amp;"9komm",Покупка!$K$26:$K$87,0),2),"")=0,"",IFERROR(INDEX(Покупка!$K$26:$L$87,MATCH($F90&amp;"9komm",Покупка!$K$26:$K$87,0),2),""))</f>
        <v/>
      </c>
      <c r="BP90" s="774"/>
      <c r="BS90" s="694" t="s">
        <v>1121</v>
      </c>
    </row>
    <row r="91" spans="2:75" ht="14.65" hidden="1" customHeight="1">
      <c r="C91" s="25"/>
      <c r="D91" s="25"/>
      <c r="E91" s="449">
        <v>15</v>
      </c>
      <c r="F91" s="3" cm="1">
        <f t="array" aca="1" ref="F91" ca="1">OFFSET(E91,-1,1)</f>
        <v>0</v>
      </c>
      <c r="G91" s="25"/>
      <c r="H91" s="25"/>
      <c r="I91" s="25" t="s">
        <v>528</v>
      </c>
      <c r="J91" s="25"/>
      <c r="K91" s="25" t="s">
        <v>528</v>
      </c>
      <c r="L91" s="25"/>
      <c r="M91" s="25"/>
      <c r="N91" s="25"/>
      <c r="O91" s="25"/>
      <c r="P91" s="25"/>
      <c r="Q91" s="25"/>
      <c r="R91" s="25"/>
      <c r="S91" s="25"/>
      <c r="T91" s="351" t="b" cm="1">
        <f t="array" aca="1" ref="T91" ca="1">T90</f>
        <v>0</v>
      </c>
      <c r="U91" s="25"/>
      <c r="V91" s="25"/>
      <c r="W91" s="25"/>
      <c r="X91" s="1046"/>
      <c r="Z91" s="1008"/>
      <c r="AB91" s="7" t="s">
        <v>592</v>
      </c>
      <c r="AC91" s="127" t="s">
        <v>2074</v>
      </c>
      <c r="AD91" s="99" t="s">
        <v>859</v>
      </c>
      <c r="AE91" s="170">
        <f ca="1">SUMIFS('Сырье и материалы'!AE$25:AE$36,'Сырье и материалы'!$F$25:$F$36,$F91,'Сырье и материалы'!$AC$25:$AC$36,"Всего по тарифу")</f>
        <v>0</v>
      </c>
      <c r="AF91" s="170">
        <f ca="1">SUMIFS('Сырье и материалы'!AF$25:AF$36,'Сырье и материалы'!$F$25:$F$36,$F91,'Сырье и материалы'!$AC$25:$AC$36,"Всего по тарифу")</f>
        <v>0</v>
      </c>
      <c r="AG91" s="170">
        <f ca="1">SUMIFS('Сырье и материалы'!AG$25:AG$36,'Сырье и материалы'!$F$25:$F$36,$F91,'Сырье и материалы'!$AC$25:$AC$36,"Всего по тарифу")</f>
        <v>0</v>
      </c>
      <c r="AH91" s="170">
        <f t="shared" ca="1" si="9"/>
        <v>0</v>
      </c>
      <c r="AI91" s="170">
        <f ca="1">SUMIFS('Сырье и материалы'!AH$25:AH$36,'Сырье и материалы'!$F$25:$F$36,$F91,'Сырье и материалы'!$AC$25:$AC$36,"Всего по тарифу")</f>
        <v>0</v>
      </c>
      <c r="AJ91" s="170">
        <f ca="1">SUMIFS('Сырье и материалы'!AI$25:AI$36,'Сырье и материалы'!$F$25:$F$36,$F91,'Сырье и материалы'!$AC$25:$AC$36,"Всего по тарифу")</f>
        <v>0</v>
      </c>
      <c r="AK91" s="170">
        <f ca="1">SUMIFS('Сырье и материалы'!AJ$25:AJ$36,'Сырье и материалы'!$F$25:$F$36,$F91,'Сырье и материалы'!$AC$25:$AC$36,"Всего по тарифу")</f>
        <v>0</v>
      </c>
      <c r="AL91" s="170">
        <f ca="1">SUMIFS('Сырье и материалы'!AK$25:AK$36,'Сырье и материалы'!$F$25:$F$36,$F91,'Сырье и материалы'!$AC$25:$AC$36,"Всего по тарифу")</f>
        <v>0</v>
      </c>
      <c r="AM91" s="170">
        <f ca="1">SUMIFS('Сырье и материалы'!AL$25:AL$36,'Сырье и материалы'!$F$25:$F$36,$F91,'Сырье и материалы'!$AC$25:$AC$36,"Всего по тарифу")</f>
        <v>0</v>
      </c>
      <c r="AN91" s="170">
        <f ca="1">SUMIFS('Сырье и материалы'!AM$25:AM$36,'Сырье и материалы'!$F$25:$F$36,$F91,'Сырье и материалы'!$AC$25:$AC$36,"Всего по тарифу")</f>
        <v>0</v>
      </c>
      <c r="AO91" s="170">
        <f ca="1">SUMIFS('Сырье и материалы'!AN$25:AN$36,'Сырье и материалы'!$F$25:$F$36,$F91,'Сырье и материалы'!$AC$25:$AC$36,"Всего по тарифу")</f>
        <v>0</v>
      </c>
      <c r="AP91" s="170">
        <f ca="1">SUMIFS('Сырье и материалы'!AO$25:AO$36,'Сырье и материалы'!$F$25:$F$36,$F91,'Сырье и материалы'!$AC$25:$AC$36,"Всего по тарифу")</f>
        <v>0</v>
      </c>
      <c r="AQ91" s="170">
        <f ca="1">SUMIFS('Сырье и материалы'!AP$25:AP$36,'Сырье и материалы'!$F$25:$F$36,$F91,'Сырье и материалы'!$AC$25:$AC$36,"Всего по тарифу")</f>
        <v>0</v>
      </c>
      <c r="AR91" s="170">
        <f ca="1">SUMIFS('Сырье и материалы'!AQ$25:AQ$36,'Сырье и материалы'!$F$25:$F$36,$F91,'Сырье и материалы'!$AC$25:$AC$36,"Всего по тарифу")</f>
        <v>0</v>
      </c>
      <c r="AS91" s="170">
        <f ca="1">SUMIFS('Сырье и материалы'!AR$25:AR$36,'Сырье и материалы'!$F$25:$F$36,$F91,'Сырье и материалы'!$AC$25:$AC$36,"Всего по тарифу")</f>
        <v>0</v>
      </c>
      <c r="AT91" s="170">
        <f ca="1">SUMIFS('Сырье и материалы'!AS$25:AS$36,'Сырье и материалы'!$F$25:$F$36,$F91,'Сырье и материалы'!$AC$25:$AC$36,"Всего по тарифу")</f>
        <v>0</v>
      </c>
      <c r="AU91" s="170">
        <f ca="1">SUMIFS('Сырье и материалы'!AT$25:AT$36,'Сырье и материалы'!$F$25:$F$36,$F91,'Сырье и материалы'!$AC$25:$AC$36,"Всего по тарифу")</f>
        <v>0</v>
      </c>
      <c r="AV91" s="170">
        <f ca="1">SUMIFS('Сырье и материалы'!AU$25:AU$36,'Сырье и материалы'!$F$25:$F$36,$F91,'Сырье и материалы'!$AC$25:$AC$36,"Всего по тарифу")</f>
        <v>0</v>
      </c>
      <c r="AW91" s="170">
        <f ca="1">SUMIFS('Сырье и материалы'!AV$25:AV$36,'Сырье и материалы'!$F$25:$F$36,$F91,'Сырье и материалы'!$AC$25:$AC$36,"Всего по тарифу")</f>
        <v>0</v>
      </c>
      <c r="AX91" s="170">
        <f ca="1">SUMIFS('Сырье и материалы'!AW$25:AW$36,'Сырье и материалы'!$F$25:$F$36,$F91,'Сырье и материалы'!$AC$25:$AC$36,"Всего по тарифу")</f>
        <v>0</v>
      </c>
      <c r="AY91" s="170">
        <f ca="1">SUMIFS('Сырье и материалы'!AX$25:AX$36,'Сырье и материалы'!$F$25:$F$36,$F91,'Сырье и материалы'!$AC$25:$AC$36,"Всего по тарифу")</f>
        <v>0</v>
      </c>
      <c r="AZ91" s="170">
        <f ca="1">SUMIFS('Сырье и материалы'!AY$25:AY$36,'Сырье и материалы'!$F$25:$F$36,$F91,'Сырье и материалы'!$AC$25:$AC$36,"Всего по тарифу")</f>
        <v>0</v>
      </c>
      <c r="BA91" s="170">
        <f ca="1">SUMIFS('Сырье и материалы'!AZ$25:AZ$36,'Сырье и материалы'!$F$25:$F$36,$F91,'Сырье и материалы'!$AC$25:$AC$36,"Всего по тарифу")</f>
        <v>0</v>
      </c>
      <c r="BB91" s="170">
        <f ca="1">SUMIFS('Сырье и материалы'!BA$25:BA$36,'Сырье и материалы'!$F$25:$F$36,$F91,'Сырье и материалы'!$AC$25:$AC$36,"Всего по тарифу")</f>
        <v>0</v>
      </c>
      <c r="BC91" s="170">
        <f ca="1">SUMIFS('Сырье и материалы'!BB$25:BB$36,'Сырье и материалы'!$F$25:$F$36,$F91,'Сырье и материалы'!$AC$25:$AC$36,"Всего по тарифу")</f>
        <v>0</v>
      </c>
      <c r="BD91" s="170">
        <f t="shared" ca="1" si="11"/>
        <v>0</v>
      </c>
      <c r="BE91" s="170">
        <f t="shared" ca="1" si="12"/>
        <v>0</v>
      </c>
      <c r="BF91" s="170">
        <f t="shared" ca="1" si="13"/>
        <v>0</v>
      </c>
      <c r="BG91" s="170">
        <f t="shared" ca="1" si="14"/>
        <v>0</v>
      </c>
      <c r="BH91" s="170">
        <f t="shared" ca="1" si="15"/>
        <v>0</v>
      </c>
      <c r="BI91" s="170">
        <f t="shared" ca="1" si="16"/>
        <v>0</v>
      </c>
      <c r="BJ91" s="170">
        <f t="shared" ca="1" si="17"/>
        <v>0</v>
      </c>
      <c r="BK91" s="170">
        <f t="shared" ca="1" si="18"/>
        <v>0</v>
      </c>
      <c r="BL91" s="170">
        <f t="shared" ca="1" si="19"/>
        <v>0</v>
      </c>
      <c r="BM91" s="170">
        <f t="shared" ca="1" si="20"/>
        <v>0</v>
      </c>
      <c r="BN91" s="774"/>
      <c r="BO91" s="778" t="str">
        <f ca="1">IF(IFERROR(INDEX('Сырье и материалы'!$K$26:$L$36,MATCH($F91&amp;"komm",'Сырье и материалы'!$K$26:$K$36,0),2),"")=0,"",IFERROR(INDEX('Сырье и материалы'!$K$26:$L$36,MATCH($F91&amp;"komm",'Сырье и материалы'!$K$26:$K$36,0),2),""))</f>
        <v/>
      </c>
      <c r="BP91" s="774"/>
      <c r="BS91" s="694" t="s">
        <v>1743</v>
      </c>
    </row>
    <row r="92" spans="2:75" s="76" customFormat="1" ht="20.45" hidden="1" customHeight="1">
      <c r="B92" s="331"/>
      <c r="C92" s="27"/>
      <c r="D92" s="27"/>
      <c r="E92" s="557">
        <v>21</v>
      </c>
      <c r="F92" s="3" cm="1">
        <f t="array" aca="1" ref="F92" ca="1">OFFSET(E92,-1,1)</f>
        <v>0</v>
      </c>
      <c r="G92" s="27"/>
      <c r="H92" s="25"/>
      <c r="I92" s="25" t="s">
        <v>956</v>
      </c>
      <c r="J92" s="27"/>
      <c r="K92" s="25" t="s">
        <v>956</v>
      </c>
      <c r="L92" s="27" t="s">
        <v>560</v>
      </c>
      <c r="M92" s="27"/>
      <c r="N92" s="27"/>
      <c r="O92" s="27"/>
      <c r="P92" s="27"/>
      <c r="Q92" s="27"/>
      <c r="R92" s="27"/>
      <c r="S92" s="27"/>
      <c r="T92" s="351" t="b" cm="1">
        <f t="array" aca="1" ref="T92" ca="1">T91</f>
        <v>0</v>
      </c>
      <c r="U92" s="27"/>
      <c r="V92" s="27"/>
      <c r="W92" s="27"/>
      <c r="X92" s="1046"/>
      <c r="Z92" s="1008"/>
      <c r="AB92" s="124" t="s">
        <v>596</v>
      </c>
      <c r="AC92" s="262" t="s">
        <v>2075</v>
      </c>
      <c r="AD92" s="124" t="s">
        <v>859</v>
      </c>
      <c r="AE92" s="126">
        <f ca="1">SUM(AE93:AE102)</f>
        <v>0</v>
      </c>
      <c r="AF92" s="126">
        <f ca="1">SUM(AF93:AF102)</f>
        <v>0</v>
      </c>
      <c r="AG92" s="126">
        <f ca="1">SUM(AG93:AG102)</f>
        <v>0</v>
      </c>
      <c r="AH92" s="126">
        <f t="shared" ca="1" si="9"/>
        <v>0</v>
      </c>
      <c r="AI92" s="126">
        <f t="shared" ref="AI92:BC92" ca="1" si="22">SUM(AI93:AI102)</f>
        <v>0</v>
      </c>
      <c r="AJ92" s="126">
        <f t="shared" ca="1" si="22"/>
        <v>0</v>
      </c>
      <c r="AK92" s="126">
        <f t="shared" ca="1" si="22"/>
        <v>0</v>
      </c>
      <c r="AL92" s="126">
        <f t="shared" ca="1" si="22"/>
        <v>0</v>
      </c>
      <c r="AM92" s="126">
        <f t="shared" ca="1" si="22"/>
        <v>0</v>
      </c>
      <c r="AN92" s="126">
        <f t="shared" ca="1" si="22"/>
        <v>0</v>
      </c>
      <c r="AO92" s="126">
        <f t="shared" ca="1" si="22"/>
        <v>0</v>
      </c>
      <c r="AP92" s="126">
        <f t="shared" ca="1" si="22"/>
        <v>0</v>
      </c>
      <c r="AQ92" s="126">
        <f t="shared" ca="1" si="22"/>
        <v>0</v>
      </c>
      <c r="AR92" s="126">
        <f t="shared" ca="1" si="22"/>
        <v>0</v>
      </c>
      <c r="AS92" s="126">
        <f t="shared" ca="1" si="22"/>
        <v>0</v>
      </c>
      <c r="AT92" s="126">
        <f t="shared" ca="1" si="22"/>
        <v>0</v>
      </c>
      <c r="AU92" s="126">
        <f t="shared" ca="1" si="22"/>
        <v>0</v>
      </c>
      <c r="AV92" s="126">
        <f t="shared" ca="1" si="22"/>
        <v>0</v>
      </c>
      <c r="AW92" s="126">
        <f t="shared" ca="1" si="22"/>
        <v>0</v>
      </c>
      <c r="AX92" s="126">
        <f t="shared" ca="1" si="22"/>
        <v>0</v>
      </c>
      <c r="AY92" s="126">
        <f t="shared" ca="1" si="22"/>
        <v>0</v>
      </c>
      <c r="AZ92" s="126">
        <f t="shared" ca="1" si="22"/>
        <v>0</v>
      </c>
      <c r="BA92" s="126">
        <f t="shared" ca="1" si="22"/>
        <v>0</v>
      </c>
      <c r="BB92" s="126">
        <f t="shared" ca="1" si="22"/>
        <v>0</v>
      </c>
      <c r="BC92" s="126">
        <f t="shared" ca="1" si="22"/>
        <v>0</v>
      </c>
      <c r="BD92" s="126">
        <f t="shared" ca="1" si="11"/>
        <v>0</v>
      </c>
      <c r="BE92" s="126">
        <f t="shared" ca="1" si="12"/>
        <v>0</v>
      </c>
      <c r="BF92" s="126">
        <f t="shared" ca="1" si="13"/>
        <v>0</v>
      </c>
      <c r="BG92" s="126">
        <f t="shared" ca="1" si="14"/>
        <v>0</v>
      </c>
      <c r="BH92" s="126">
        <f t="shared" ca="1" si="15"/>
        <v>0</v>
      </c>
      <c r="BI92" s="126">
        <f t="shared" ca="1" si="16"/>
        <v>0</v>
      </c>
      <c r="BJ92" s="126">
        <f t="shared" ca="1" si="17"/>
        <v>0</v>
      </c>
      <c r="BK92" s="126">
        <f t="shared" ca="1" si="18"/>
        <v>0</v>
      </c>
      <c r="BL92" s="126">
        <f t="shared" ca="1" si="19"/>
        <v>0</v>
      </c>
      <c r="BM92" s="126">
        <f t="shared" ca="1" si="20"/>
        <v>0</v>
      </c>
      <c r="BN92" s="776"/>
      <c r="BO92" s="778" t="str">
        <f ca="1">IF(IFERROR(INDEX(Налоги!$K$26:$L$55,MATCH($F92&amp;"komm",Налоги!$K$26:$K$55,0),2),"")=0,"",IFERROR(INDEX(Налоги!$K$26:$L$55,MATCH($F92&amp;"komm",Налоги!$K$26:$K$55,0),2),""))</f>
        <v/>
      </c>
      <c r="BP92" s="776"/>
      <c r="BS92" s="700" t="s">
        <v>1294</v>
      </c>
      <c r="BT92" s="700"/>
      <c r="BU92" s="700"/>
      <c r="BV92" s="509"/>
      <c r="BW92" s="509"/>
    </row>
    <row r="93" spans="2:75" ht="14.65" hidden="1" customHeight="1">
      <c r="C93" s="25"/>
      <c r="D93" s="25"/>
      <c r="E93" s="449">
        <v>15</v>
      </c>
      <c r="F93" s="3" cm="1">
        <f t="array" aca="1" ref="F93" ca="1">OFFSET(E93,-1,1)</f>
        <v>0</v>
      </c>
      <c r="G93" s="609">
        <v>7</v>
      </c>
      <c r="H93" s="25"/>
      <c r="I93" s="25" t="s">
        <v>2076</v>
      </c>
      <c r="J93" s="25"/>
      <c r="K93" s="25" t="s">
        <v>2076</v>
      </c>
      <c r="L93" s="25"/>
      <c r="M93" s="25"/>
      <c r="N93" s="25"/>
      <c r="O93" s="25"/>
      <c r="P93" s="25"/>
      <c r="Q93" s="25"/>
      <c r="R93" s="25"/>
      <c r="S93" s="25"/>
      <c r="T93" s="351" t="b" cm="1">
        <f t="array" aca="1" ref="T93" ca="1">T92</f>
        <v>0</v>
      </c>
      <c r="U93" s="25"/>
      <c r="V93" s="25"/>
      <c r="W93" s="25"/>
      <c r="X93" s="1046"/>
      <c r="Z93" s="1008"/>
      <c r="AB93" s="7" t="s">
        <v>544</v>
      </c>
      <c r="AC93" s="134" t="s">
        <v>1308</v>
      </c>
      <c r="AD93" s="7" t="s">
        <v>859</v>
      </c>
      <c r="AE93" s="170">
        <f ca="1">SUMIFS(Налоги!AE$25:AE$55,Налоги!$F$25:$F$55,$F93,Налоги!$AB$25:$AB$55,$G93)</f>
        <v>0</v>
      </c>
      <c r="AF93" s="170">
        <f ca="1">SUMIFS(Налоги!AF$25:AF$55,Налоги!$F$25:$F$55,$F93,Налоги!$AB$25:$AB$55,$G93)</f>
        <v>0</v>
      </c>
      <c r="AG93" s="170">
        <f ca="1">SUMIFS(Налоги!AG$25:AG$55,Налоги!$F$25:$F$55,$F93,Налоги!$AB$25:$AB$55,$G93)</f>
        <v>0</v>
      </c>
      <c r="AH93" s="170">
        <f t="shared" ca="1" si="9"/>
        <v>0</v>
      </c>
      <c r="AI93" s="170">
        <f ca="1">SUMIFS(Налоги!AH$25:AH$55,Налоги!$F$25:$F$55,$F93,Налоги!$AB$25:$AB$55,$G93)</f>
        <v>0</v>
      </c>
      <c r="AJ93" s="170">
        <f ca="1">SUMIFS(Налоги!AI$25:AI$55,Налоги!$F$25:$F$55,$F93,Налоги!$AB$25:$AB$55,$G93)</f>
        <v>0</v>
      </c>
      <c r="AK93" s="170">
        <f ca="1">SUMIFS(Налоги!AJ$25:AJ$55,Налоги!$F$25:$F$55,$F93,Налоги!$AB$25:$AB$55,$G93)</f>
        <v>0</v>
      </c>
      <c r="AL93" s="170">
        <f ca="1">SUMIFS(Налоги!AK$25:AK$55,Налоги!$F$25:$F$55,$F93,Налоги!$AB$25:$AB$55,$G93)</f>
        <v>0</v>
      </c>
      <c r="AM93" s="170">
        <f ca="1">SUMIFS(Налоги!AL$25:AL$55,Налоги!$F$25:$F$55,$F93,Налоги!$AB$25:$AB$55,$G93)</f>
        <v>0</v>
      </c>
      <c r="AN93" s="170">
        <f ca="1">SUMIFS(Налоги!AM$25:AM$55,Налоги!$F$25:$F$55,$F93,Налоги!$AB$25:$AB$55,$G93)</f>
        <v>0</v>
      </c>
      <c r="AO93" s="170">
        <f ca="1">SUMIFS(Налоги!AN$25:AN$55,Налоги!$F$25:$F$55,$F93,Налоги!$AB$25:$AB$55,$G93)</f>
        <v>0</v>
      </c>
      <c r="AP93" s="170">
        <f ca="1">SUMIFS(Налоги!AO$25:AO$55,Налоги!$F$25:$F$55,$F93,Налоги!$AB$25:$AB$55,$G93)</f>
        <v>0</v>
      </c>
      <c r="AQ93" s="170">
        <f ca="1">SUMIFS(Налоги!AP$25:AP$55,Налоги!$F$25:$F$55,$F93,Налоги!$AB$25:$AB$55,$G93)</f>
        <v>0</v>
      </c>
      <c r="AR93" s="170">
        <f ca="1">SUMIFS(Налоги!AQ$25:AQ$55,Налоги!$F$25:$F$55,$F93,Налоги!$AB$25:$AB$55,$G93)</f>
        <v>0</v>
      </c>
      <c r="AS93" s="170">
        <f ca="1">SUMIFS(Налоги!AR$25:AR$55,Налоги!$F$25:$F$55,$F93,Налоги!$AB$25:$AB$55,$G93)</f>
        <v>0</v>
      </c>
      <c r="AT93" s="170">
        <f ca="1">SUMIFS(Налоги!AS$25:AS$55,Налоги!$F$25:$F$55,$F93,Налоги!$AB$25:$AB$55,$G93)</f>
        <v>0</v>
      </c>
      <c r="AU93" s="170">
        <f ca="1">SUMIFS(Налоги!AT$25:AT$55,Налоги!$F$25:$F$55,$F93,Налоги!$AB$25:$AB$55,$G93)</f>
        <v>0</v>
      </c>
      <c r="AV93" s="170">
        <f ca="1">SUMIFS(Налоги!AU$25:AU$55,Налоги!$F$25:$F$55,$F93,Налоги!$AB$25:$AB$55,$G93)</f>
        <v>0</v>
      </c>
      <c r="AW93" s="170">
        <f ca="1">SUMIFS(Налоги!AV$25:AV$55,Налоги!$F$25:$F$55,$F93,Налоги!$AB$25:$AB$55,$G93)</f>
        <v>0</v>
      </c>
      <c r="AX93" s="170">
        <f ca="1">SUMIFS(Налоги!AW$25:AW$55,Налоги!$F$25:$F$55,$F93,Налоги!$AB$25:$AB$55,$G93)</f>
        <v>0</v>
      </c>
      <c r="AY93" s="170">
        <f ca="1">SUMIFS(Налоги!AX$25:AX$55,Налоги!$F$25:$F$55,$F93,Налоги!$AB$25:$AB$55,$G93)</f>
        <v>0</v>
      </c>
      <c r="AZ93" s="170">
        <f ca="1">SUMIFS(Налоги!AY$25:AY$55,Налоги!$F$25:$F$55,$F93,Налоги!$AB$25:$AB$55,$G93)</f>
        <v>0</v>
      </c>
      <c r="BA93" s="170">
        <f ca="1">SUMIFS(Налоги!AZ$25:AZ$55,Налоги!$F$25:$F$55,$F93,Налоги!$AB$25:$AB$55,$G93)</f>
        <v>0</v>
      </c>
      <c r="BB93" s="170">
        <f ca="1">SUMIFS(Налоги!BA$25:BA$55,Налоги!$F$25:$F$55,$F93,Налоги!$AB$25:$AB$55,$G93)</f>
        <v>0</v>
      </c>
      <c r="BC93" s="170">
        <f ca="1">SUMIFS(Налоги!BB$25:BB$55,Налоги!$F$25:$F$55,$F93,Налоги!$AB$25:$AB$55,$G93)</f>
        <v>0</v>
      </c>
      <c r="BD93" s="170">
        <f t="shared" ca="1" si="11"/>
        <v>0</v>
      </c>
      <c r="BE93" s="170">
        <f t="shared" ca="1" si="12"/>
        <v>0</v>
      </c>
      <c r="BF93" s="170">
        <f t="shared" ca="1" si="13"/>
        <v>0</v>
      </c>
      <c r="BG93" s="170">
        <f t="shared" ca="1" si="14"/>
        <v>0</v>
      </c>
      <c r="BH93" s="170">
        <f t="shared" ca="1" si="15"/>
        <v>0</v>
      </c>
      <c r="BI93" s="170">
        <f t="shared" ca="1" si="16"/>
        <v>0</v>
      </c>
      <c r="BJ93" s="170">
        <f t="shared" ca="1" si="17"/>
        <v>0</v>
      </c>
      <c r="BK93" s="170">
        <f t="shared" ca="1" si="18"/>
        <v>0</v>
      </c>
      <c r="BL93" s="170">
        <f t="shared" ca="1" si="19"/>
        <v>0</v>
      </c>
      <c r="BM93" s="170">
        <f t="shared" ca="1" si="20"/>
        <v>0</v>
      </c>
      <c r="BN93" s="774"/>
      <c r="BO93" s="778" t="str">
        <f ca="1">IF(IFERROR(INDEX(Налоги!$K$26:$L$55,MATCH($F93&amp;"7komm",Налоги!$K$26:$K$55,0),2),"")=0,"",IFERROR(INDEX(Налоги!$K$26:$L$55,MATCH($F93&amp;"7komm",Налоги!$K$26:$K$55,0),2),""))</f>
        <v/>
      </c>
      <c r="BP93" s="774"/>
      <c r="BS93" s="694" t="s">
        <v>2077</v>
      </c>
    </row>
    <row r="94" spans="2:75" ht="14.65" hidden="1" customHeight="1">
      <c r="C94" s="25"/>
      <c r="D94" s="25"/>
      <c r="E94" s="449">
        <v>15</v>
      </c>
      <c r="F94" s="3" cm="1">
        <f t="array" aca="1" ref="F94" ca="1">OFFSET(E94,-1,1)</f>
        <v>0</v>
      </c>
      <c r="G94" s="609">
        <v>6</v>
      </c>
      <c r="H94" s="25"/>
      <c r="I94" s="25" t="s">
        <v>2078</v>
      </c>
      <c r="J94" s="25"/>
      <c r="K94" s="25" t="s">
        <v>2078</v>
      </c>
      <c r="L94" s="25"/>
      <c r="M94" s="25"/>
      <c r="N94" s="25"/>
      <c r="O94" s="25"/>
      <c r="P94" s="25"/>
      <c r="Q94" s="25"/>
      <c r="R94" s="25"/>
      <c r="S94" s="25"/>
      <c r="T94" s="351" t="b" cm="1">
        <f t="array" aca="1" ref="T94" ca="1">T93</f>
        <v>0</v>
      </c>
      <c r="U94" s="25"/>
      <c r="V94" s="25"/>
      <c r="W94" s="25"/>
      <c r="X94" s="1046"/>
      <c r="Z94" s="1008"/>
      <c r="AB94" s="7" t="s">
        <v>1534</v>
      </c>
      <c r="AC94" s="134" t="s">
        <v>2079</v>
      </c>
      <c r="AD94" s="7" t="s">
        <v>859</v>
      </c>
      <c r="AE94" s="170">
        <f ca="1">SUMIFS(Налоги!AE$25:AE$55,Налоги!$F$25:$F$55,$F94,Налоги!$AB$25:$AB$55,$G94)</f>
        <v>0</v>
      </c>
      <c r="AF94" s="170">
        <f ca="1">SUMIFS(Налоги!AF$25:AF$55,Налоги!$F$25:$F$55,$F94,Налоги!$AB$25:$AB$55,$G94)</f>
        <v>0</v>
      </c>
      <c r="AG94" s="170">
        <f ca="1">SUMIFS(Налоги!AG$25:AG$55,Налоги!$F$25:$F$55,$F94,Налоги!$AB$25:$AB$55,$G94)</f>
        <v>0</v>
      </c>
      <c r="AH94" s="170">
        <f t="shared" ca="1" si="9"/>
        <v>0</v>
      </c>
      <c r="AI94" s="170">
        <f ca="1">SUMIFS(Налоги!AH$25:AH$55,Налоги!$F$25:$F$55,$F94,Налоги!$AB$25:$AB$55,$G94)</f>
        <v>0</v>
      </c>
      <c r="AJ94" s="170">
        <f ca="1">SUMIFS(Налоги!AI$25:AI$55,Налоги!$F$25:$F$55,$F94,Налоги!$AB$25:$AB$55,$G94)</f>
        <v>0</v>
      </c>
      <c r="AK94" s="170">
        <f ca="1">SUMIFS(Налоги!AJ$25:AJ$55,Налоги!$F$25:$F$55,$F94,Налоги!$AB$25:$AB$55,$G94)</f>
        <v>0</v>
      </c>
      <c r="AL94" s="170">
        <f ca="1">SUMIFS(Налоги!AK$25:AK$55,Налоги!$F$25:$F$55,$F94,Налоги!$AB$25:$AB$55,$G94)</f>
        <v>0</v>
      </c>
      <c r="AM94" s="170">
        <f ca="1">SUMIFS(Налоги!AL$25:AL$55,Налоги!$F$25:$F$55,$F94,Налоги!$AB$25:$AB$55,$G94)</f>
        <v>0</v>
      </c>
      <c r="AN94" s="170">
        <f ca="1">SUMIFS(Налоги!AM$25:AM$55,Налоги!$F$25:$F$55,$F94,Налоги!$AB$25:$AB$55,$G94)</f>
        <v>0</v>
      </c>
      <c r="AO94" s="170">
        <f ca="1">SUMIFS(Налоги!AN$25:AN$55,Налоги!$F$25:$F$55,$F94,Налоги!$AB$25:$AB$55,$G94)</f>
        <v>0</v>
      </c>
      <c r="AP94" s="170">
        <f ca="1">SUMIFS(Налоги!AO$25:AO$55,Налоги!$F$25:$F$55,$F94,Налоги!$AB$25:$AB$55,$G94)</f>
        <v>0</v>
      </c>
      <c r="AQ94" s="170">
        <f ca="1">SUMIFS(Налоги!AP$25:AP$55,Налоги!$F$25:$F$55,$F94,Налоги!$AB$25:$AB$55,$G94)</f>
        <v>0</v>
      </c>
      <c r="AR94" s="170">
        <f ca="1">SUMIFS(Налоги!AQ$25:AQ$55,Налоги!$F$25:$F$55,$F94,Налоги!$AB$25:$AB$55,$G94)</f>
        <v>0</v>
      </c>
      <c r="AS94" s="170">
        <f ca="1">SUMIFS(Налоги!AR$25:AR$55,Налоги!$F$25:$F$55,$F94,Налоги!$AB$25:$AB$55,$G94)</f>
        <v>0</v>
      </c>
      <c r="AT94" s="170">
        <f ca="1">SUMIFS(Налоги!AS$25:AS$55,Налоги!$F$25:$F$55,$F94,Налоги!$AB$25:$AB$55,$G94)</f>
        <v>0</v>
      </c>
      <c r="AU94" s="170">
        <f ca="1">SUMIFS(Налоги!AT$25:AT$55,Налоги!$F$25:$F$55,$F94,Налоги!$AB$25:$AB$55,$G94)</f>
        <v>0</v>
      </c>
      <c r="AV94" s="170">
        <f ca="1">SUMIFS(Налоги!AU$25:AU$55,Налоги!$F$25:$F$55,$F94,Налоги!$AB$25:$AB$55,$G94)</f>
        <v>0</v>
      </c>
      <c r="AW94" s="170">
        <f ca="1">SUMIFS(Налоги!AV$25:AV$55,Налоги!$F$25:$F$55,$F94,Налоги!$AB$25:$AB$55,$G94)</f>
        <v>0</v>
      </c>
      <c r="AX94" s="170">
        <f ca="1">SUMIFS(Налоги!AW$25:AW$55,Налоги!$F$25:$F$55,$F94,Налоги!$AB$25:$AB$55,$G94)</f>
        <v>0</v>
      </c>
      <c r="AY94" s="170">
        <f ca="1">SUMIFS(Налоги!AX$25:AX$55,Налоги!$F$25:$F$55,$F94,Налоги!$AB$25:$AB$55,$G94)</f>
        <v>0</v>
      </c>
      <c r="AZ94" s="170">
        <f ca="1">SUMIFS(Налоги!AY$25:AY$55,Налоги!$F$25:$F$55,$F94,Налоги!$AB$25:$AB$55,$G94)</f>
        <v>0</v>
      </c>
      <c r="BA94" s="170">
        <f ca="1">SUMIFS(Налоги!AZ$25:AZ$55,Налоги!$F$25:$F$55,$F94,Налоги!$AB$25:$AB$55,$G94)</f>
        <v>0</v>
      </c>
      <c r="BB94" s="170">
        <f ca="1">SUMIFS(Налоги!BA$25:BA$55,Налоги!$F$25:$F$55,$F94,Налоги!$AB$25:$AB$55,$G94)</f>
        <v>0</v>
      </c>
      <c r="BC94" s="170">
        <f ca="1">SUMIFS(Налоги!BB$25:BB$55,Налоги!$F$25:$F$55,$F94,Налоги!$AB$25:$AB$55,$G94)</f>
        <v>0</v>
      </c>
      <c r="BD94" s="170">
        <f t="shared" ca="1" si="11"/>
        <v>0</v>
      </c>
      <c r="BE94" s="170">
        <f t="shared" ca="1" si="12"/>
        <v>0</v>
      </c>
      <c r="BF94" s="170">
        <f t="shared" ca="1" si="13"/>
        <v>0</v>
      </c>
      <c r="BG94" s="170">
        <f t="shared" ca="1" si="14"/>
        <v>0</v>
      </c>
      <c r="BH94" s="170">
        <f t="shared" ca="1" si="15"/>
        <v>0</v>
      </c>
      <c r="BI94" s="170">
        <f t="shared" ca="1" si="16"/>
        <v>0</v>
      </c>
      <c r="BJ94" s="170">
        <f t="shared" ca="1" si="17"/>
        <v>0</v>
      </c>
      <c r="BK94" s="170">
        <f t="shared" ca="1" si="18"/>
        <v>0</v>
      </c>
      <c r="BL94" s="170">
        <f t="shared" ca="1" si="19"/>
        <v>0</v>
      </c>
      <c r="BM94" s="170">
        <f t="shared" ca="1" si="20"/>
        <v>0</v>
      </c>
      <c r="BN94" s="774"/>
      <c r="BO94" s="778" t="str">
        <f ca="1">IF(IFERROR(INDEX(Налоги!$K$26:$L$55,MATCH($F94&amp;"6komm",Налоги!$K$26:$K$55,0),2),"")=0,"",IFERROR(INDEX(Налоги!$K$26:$L$55,MATCH($F94&amp;"6komm",Налоги!$K$26:$K$55,0),2),""))</f>
        <v/>
      </c>
      <c r="BP94" s="774"/>
      <c r="BS94" s="694" t="s">
        <v>2080</v>
      </c>
    </row>
    <row r="95" spans="2:75" ht="14.65" hidden="1" customHeight="1">
      <c r="C95" s="25"/>
      <c r="D95" s="25"/>
      <c r="E95" s="449">
        <v>15</v>
      </c>
      <c r="F95" s="3" cm="1">
        <f t="array" aca="1" ref="F95" ca="1">OFFSET(E95,-1,1)</f>
        <v>0</v>
      </c>
      <c r="G95" s="609">
        <v>2</v>
      </c>
      <c r="H95" s="25"/>
      <c r="I95" s="25" t="s">
        <v>2081</v>
      </c>
      <c r="J95" s="25"/>
      <c r="K95" s="25" t="s">
        <v>2081</v>
      </c>
      <c r="L95" s="25"/>
      <c r="M95" s="25"/>
      <c r="N95" s="25"/>
      <c r="O95" s="25"/>
      <c r="P95" s="25"/>
      <c r="Q95" s="25"/>
      <c r="R95" s="25"/>
      <c r="S95" s="25"/>
      <c r="T95" s="351" t="b" cm="1">
        <f t="array" aca="1" ref="T95" ca="1">T94</f>
        <v>0</v>
      </c>
      <c r="U95" s="25"/>
      <c r="V95" s="25"/>
      <c r="W95" s="25"/>
      <c r="X95" s="1046"/>
      <c r="Z95" s="1008"/>
      <c r="AB95" s="7" t="s">
        <v>1539</v>
      </c>
      <c r="AC95" s="134" t="s">
        <v>2082</v>
      </c>
      <c r="AD95" s="7" t="s">
        <v>859</v>
      </c>
      <c r="AE95" s="170">
        <f ca="1">SUMIFS(Налоги!AE$25:AE$55,Налоги!$F$25:$F$55,$F95,Налоги!$AB$25:$AB$55,$G95)</f>
        <v>0</v>
      </c>
      <c r="AF95" s="170">
        <f ca="1">SUMIFS(Налоги!AF$25:AF$55,Налоги!$F$25:$F$55,$F95,Налоги!$AB$25:$AB$55,$G95)</f>
        <v>0</v>
      </c>
      <c r="AG95" s="170">
        <f ca="1">SUMIFS(Налоги!AG$25:AG$55,Налоги!$F$25:$F$55,$F95,Налоги!$AB$25:$AB$55,$G95)</f>
        <v>0</v>
      </c>
      <c r="AH95" s="170">
        <f t="shared" ca="1" si="9"/>
        <v>0</v>
      </c>
      <c r="AI95" s="170">
        <f ca="1">SUMIFS(Налоги!AH$25:AH$55,Налоги!$F$25:$F$55,$F95,Налоги!$AB$25:$AB$55,$G95)</f>
        <v>0</v>
      </c>
      <c r="AJ95" s="170">
        <f ca="1">SUMIFS(Налоги!AI$25:AI$55,Налоги!$F$25:$F$55,$F95,Налоги!$AB$25:$AB$55,$G95)</f>
        <v>0</v>
      </c>
      <c r="AK95" s="170">
        <f ca="1">SUMIFS(Налоги!AJ$25:AJ$55,Налоги!$F$25:$F$55,$F95,Налоги!$AB$25:$AB$55,$G95)</f>
        <v>0</v>
      </c>
      <c r="AL95" s="170">
        <f ca="1">SUMIFS(Налоги!AK$25:AK$55,Налоги!$F$25:$F$55,$F95,Налоги!$AB$25:$AB$55,$G95)</f>
        <v>0</v>
      </c>
      <c r="AM95" s="170">
        <f ca="1">SUMIFS(Налоги!AL$25:AL$55,Налоги!$F$25:$F$55,$F95,Налоги!$AB$25:$AB$55,$G95)</f>
        <v>0</v>
      </c>
      <c r="AN95" s="170">
        <f ca="1">SUMIFS(Налоги!AM$25:AM$55,Налоги!$F$25:$F$55,$F95,Налоги!$AB$25:$AB$55,$G95)</f>
        <v>0</v>
      </c>
      <c r="AO95" s="170">
        <f ca="1">SUMIFS(Налоги!AN$25:AN$55,Налоги!$F$25:$F$55,$F95,Налоги!$AB$25:$AB$55,$G95)</f>
        <v>0</v>
      </c>
      <c r="AP95" s="170">
        <f ca="1">SUMIFS(Налоги!AO$25:AO$55,Налоги!$F$25:$F$55,$F95,Налоги!$AB$25:$AB$55,$G95)</f>
        <v>0</v>
      </c>
      <c r="AQ95" s="170">
        <f ca="1">SUMIFS(Налоги!AP$25:AP$55,Налоги!$F$25:$F$55,$F95,Налоги!$AB$25:$AB$55,$G95)</f>
        <v>0</v>
      </c>
      <c r="AR95" s="170">
        <f ca="1">SUMIFS(Налоги!AQ$25:AQ$55,Налоги!$F$25:$F$55,$F95,Налоги!$AB$25:$AB$55,$G95)</f>
        <v>0</v>
      </c>
      <c r="AS95" s="170">
        <f ca="1">SUMIFS(Налоги!AR$25:AR$55,Налоги!$F$25:$F$55,$F95,Налоги!$AB$25:$AB$55,$G95)</f>
        <v>0</v>
      </c>
      <c r="AT95" s="170">
        <f ca="1">SUMIFS(Налоги!AS$25:AS$55,Налоги!$F$25:$F$55,$F95,Налоги!$AB$25:$AB$55,$G95)</f>
        <v>0</v>
      </c>
      <c r="AU95" s="170">
        <f ca="1">SUMIFS(Налоги!AT$25:AT$55,Налоги!$F$25:$F$55,$F95,Налоги!$AB$25:$AB$55,$G95)</f>
        <v>0</v>
      </c>
      <c r="AV95" s="170">
        <f ca="1">SUMIFS(Налоги!AU$25:AU$55,Налоги!$F$25:$F$55,$F95,Налоги!$AB$25:$AB$55,$G95)</f>
        <v>0</v>
      </c>
      <c r="AW95" s="170">
        <f ca="1">SUMIFS(Налоги!AV$25:AV$55,Налоги!$F$25:$F$55,$F95,Налоги!$AB$25:$AB$55,$G95)</f>
        <v>0</v>
      </c>
      <c r="AX95" s="170">
        <f ca="1">SUMIFS(Налоги!AW$25:AW$55,Налоги!$F$25:$F$55,$F95,Налоги!$AB$25:$AB$55,$G95)</f>
        <v>0</v>
      </c>
      <c r="AY95" s="170">
        <f ca="1">SUMIFS(Налоги!AX$25:AX$55,Налоги!$F$25:$F$55,$F95,Налоги!$AB$25:$AB$55,$G95)</f>
        <v>0</v>
      </c>
      <c r="AZ95" s="170">
        <f ca="1">SUMIFS(Налоги!AY$25:AY$55,Налоги!$F$25:$F$55,$F95,Налоги!$AB$25:$AB$55,$G95)</f>
        <v>0</v>
      </c>
      <c r="BA95" s="170">
        <f ca="1">SUMIFS(Налоги!AZ$25:AZ$55,Налоги!$F$25:$F$55,$F95,Налоги!$AB$25:$AB$55,$G95)</f>
        <v>0</v>
      </c>
      <c r="BB95" s="170">
        <f ca="1">SUMIFS(Налоги!BA$25:BA$55,Налоги!$F$25:$F$55,$F95,Налоги!$AB$25:$AB$55,$G95)</f>
        <v>0</v>
      </c>
      <c r="BC95" s="170">
        <f ca="1">SUMIFS(Налоги!BB$25:BB$55,Налоги!$F$25:$F$55,$F95,Налоги!$AB$25:$AB$55,$G95)</f>
        <v>0</v>
      </c>
      <c r="BD95" s="170">
        <f t="shared" ca="1" si="11"/>
        <v>0</v>
      </c>
      <c r="BE95" s="170">
        <f t="shared" ca="1" si="12"/>
        <v>0</v>
      </c>
      <c r="BF95" s="170">
        <f t="shared" ca="1" si="13"/>
        <v>0</v>
      </c>
      <c r="BG95" s="170">
        <f t="shared" ca="1" si="14"/>
        <v>0</v>
      </c>
      <c r="BH95" s="170">
        <f t="shared" ca="1" si="15"/>
        <v>0</v>
      </c>
      <c r="BI95" s="170">
        <f t="shared" ca="1" si="16"/>
        <v>0</v>
      </c>
      <c r="BJ95" s="170">
        <f t="shared" ca="1" si="17"/>
        <v>0</v>
      </c>
      <c r="BK95" s="170">
        <f t="shared" ca="1" si="18"/>
        <v>0</v>
      </c>
      <c r="BL95" s="170">
        <f t="shared" ca="1" si="19"/>
        <v>0</v>
      </c>
      <c r="BM95" s="170">
        <f t="shared" ca="1" si="20"/>
        <v>0</v>
      </c>
      <c r="BN95" s="774"/>
      <c r="BO95" s="778" t="str">
        <f ca="1">IF(IFERROR(INDEX(Налоги!$K$26:$L$55,MATCH($F95&amp;"2komm",Налоги!$K$26:$K$55,0),2),"")=0,"",IFERROR(INDEX(Налоги!$K$26:$L$55,MATCH($F95&amp;"2komm",Налоги!$K$26:$K$55,0),2),""))</f>
        <v/>
      </c>
      <c r="BP95" s="774"/>
      <c r="BS95" s="694" t="s">
        <v>2083</v>
      </c>
    </row>
    <row r="96" spans="2:75" ht="14.65" hidden="1" customHeight="1">
      <c r="C96" s="25"/>
      <c r="D96" s="25"/>
      <c r="E96" s="449">
        <v>15</v>
      </c>
      <c r="F96" s="3" cm="1">
        <f t="array" aca="1" ref="F96" ca="1">OFFSET(E96,-1,1)</f>
        <v>0</v>
      </c>
      <c r="G96" s="609">
        <v>4</v>
      </c>
      <c r="H96" s="25"/>
      <c r="I96" s="25" t="s">
        <v>2084</v>
      </c>
      <c r="J96" s="25"/>
      <c r="K96" s="25" t="s">
        <v>2084</v>
      </c>
      <c r="L96" s="25"/>
      <c r="M96" s="25"/>
      <c r="N96" s="25"/>
      <c r="O96" s="25"/>
      <c r="P96" s="25"/>
      <c r="Q96" s="25"/>
      <c r="R96" s="25"/>
      <c r="S96" s="25"/>
      <c r="T96" s="351" t="b" cm="1">
        <f t="array" aca="1" ref="T96" ca="1">T95</f>
        <v>0</v>
      </c>
      <c r="U96" s="25"/>
      <c r="V96" s="25"/>
      <c r="W96" s="25"/>
      <c r="X96" s="1046"/>
      <c r="Z96" s="1008"/>
      <c r="AB96" s="7" t="s">
        <v>2085</v>
      </c>
      <c r="AC96" s="134" t="s">
        <v>2086</v>
      </c>
      <c r="AD96" s="7" t="s">
        <v>859</v>
      </c>
      <c r="AE96" s="170">
        <f ca="1">SUMIFS(Налоги!AE$25:AE$55,Налоги!$F$25:$F$55,$F96,Налоги!$AB$25:$AB$55,$G96)</f>
        <v>0</v>
      </c>
      <c r="AF96" s="170">
        <f ca="1">SUMIFS(Налоги!AF$25:AF$55,Налоги!$F$25:$F$55,$F96,Налоги!$AB$25:$AB$55,$G96)</f>
        <v>0</v>
      </c>
      <c r="AG96" s="170">
        <f ca="1">SUMIFS(Налоги!AG$25:AG$55,Налоги!$F$25:$F$55,$F96,Налоги!$AB$25:$AB$55,$G96)</f>
        <v>0</v>
      </c>
      <c r="AH96" s="170">
        <f t="shared" ca="1" si="9"/>
        <v>0</v>
      </c>
      <c r="AI96" s="170">
        <f ca="1">SUMIFS(Налоги!AH$25:AH$55,Налоги!$F$25:$F$55,$F96,Налоги!$AB$25:$AB$55,$G96)</f>
        <v>0</v>
      </c>
      <c r="AJ96" s="170">
        <f ca="1">SUMIFS(Налоги!AI$25:AI$55,Налоги!$F$25:$F$55,$F96,Налоги!$AB$25:$AB$55,$G96)</f>
        <v>0</v>
      </c>
      <c r="AK96" s="170">
        <f ca="1">SUMIFS(Налоги!AJ$25:AJ$55,Налоги!$F$25:$F$55,$F96,Налоги!$AB$25:$AB$55,$G96)</f>
        <v>0</v>
      </c>
      <c r="AL96" s="170">
        <f ca="1">SUMIFS(Налоги!AK$25:AK$55,Налоги!$F$25:$F$55,$F96,Налоги!$AB$25:$AB$55,$G96)</f>
        <v>0</v>
      </c>
      <c r="AM96" s="170">
        <f ca="1">SUMIFS(Налоги!AL$25:AL$55,Налоги!$F$25:$F$55,$F96,Налоги!$AB$25:$AB$55,$G96)</f>
        <v>0</v>
      </c>
      <c r="AN96" s="170">
        <f ca="1">SUMIFS(Налоги!AM$25:AM$55,Налоги!$F$25:$F$55,$F96,Налоги!$AB$25:$AB$55,$G96)</f>
        <v>0</v>
      </c>
      <c r="AO96" s="170">
        <f ca="1">SUMIFS(Налоги!AN$25:AN$55,Налоги!$F$25:$F$55,$F96,Налоги!$AB$25:$AB$55,$G96)</f>
        <v>0</v>
      </c>
      <c r="AP96" s="170">
        <f ca="1">SUMIFS(Налоги!AO$25:AO$55,Налоги!$F$25:$F$55,$F96,Налоги!$AB$25:$AB$55,$G96)</f>
        <v>0</v>
      </c>
      <c r="AQ96" s="170">
        <f ca="1">SUMIFS(Налоги!AP$25:AP$55,Налоги!$F$25:$F$55,$F96,Налоги!$AB$25:$AB$55,$G96)</f>
        <v>0</v>
      </c>
      <c r="AR96" s="170">
        <f ca="1">SUMIFS(Налоги!AQ$25:AQ$55,Налоги!$F$25:$F$55,$F96,Налоги!$AB$25:$AB$55,$G96)</f>
        <v>0</v>
      </c>
      <c r="AS96" s="170">
        <f ca="1">SUMIFS(Налоги!AR$25:AR$55,Налоги!$F$25:$F$55,$F96,Налоги!$AB$25:$AB$55,$G96)</f>
        <v>0</v>
      </c>
      <c r="AT96" s="170">
        <f ca="1">SUMIFS(Налоги!AS$25:AS$55,Налоги!$F$25:$F$55,$F96,Налоги!$AB$25:$AB$55,$G96)</f>
        <v>0</v>
      </c>
      <c r="AU96" s="170">
        <f ca="1">SUMIFS(Налоги!AT$25:AT$55,Налоги!$F$25:$F$55,$F96,Налоги!$AB$25:$AB$55,$G96)</f>
        <v>0</v>
      </c>
      <c r="AV96" s="170">
        <f ca="1">SUMIFS(Налоги!AU$25:AU$55,Налоги!$F$25:$F$55,$F96,Налоги!$AB$25:$AB$55,$G96)</f>
        <v>0</v>
      </c>
      <c r="AW96" s="170">
        <f ca="1">SUMIFS(Налоги!AV$25:AV$55,Налоги!$F$25:$F$55,$F96,Налоги!$AB$25:$AB$55,$G96)</f>
        <v>0</v>
      </c>
      <c r="AX96" s="170">
        <f ca="1">SUMIFS(Налоги!AW$25:AW$55,Налоги!$F$25:$F$55,$F96,Налоги!$AB$25:$AB$55,$G96)</f>
        <v>0</v>
      </c>
      <c r="AY96" s="170">
        <f ca="1">SUMIFS(Налоги!AX$25:AX$55,Налоги!$F$25:$F$55,$F96,Налоги!$AB$25:$AB$55,$G96)</f>
        <v>0</v>
      </c>
      <c r="AZ96" s="170">
        <f ca="1">SUMIFS(Налоги!AY$25:AY$55,Налоги!$F$25:$F$55,$F96,Налоги!$AB$25:$AB$55,$G96)</f>
        <v>0</v>
      </c>
      <c r="BA96" s="170">
        <f ca="1">SUMIFS(Налоги!AZ$25:AZ$55,Налоги!$F$25:$F$55,$F96,Налоги!$AB$25:$AB$55,$G96)</f>
        <v>0</v>
      </c>
      <c r="BB96" s="170">
        <f ca="1">SUMIFS(Налоги!BA$25:BA$55,Налоги!$F$25:$F$55,$F96,Налоги!$AB$25:$AB$55,$G96)</f>
        <v>0</v>
      </c>
      <c r="BC96" s="170">
        <f ca="1">SUMIFS(Налоги!BB$25:BB$55,Налоги!$F$25:$F$55,$F96,Налоги!$AB$25:$AB$55,$G96)</f>
        <v>0</v>
      </c>
      <c r="BD96" s="170">
        <f t="shared" ca="1" si="11"/>
        <v>0</v>
      </c>
      <c r="BE96" s="170">
        <f t="shared" ca="1" si="12"/>
        <v>0</v>
      </c>
      <c r="BF96" s="170">
        <f t="shared" ca="1" si="13"/>
        <v>0</v>
      </c>
      <c r="BG96" s="170">
        <f t="shared" ca="1" si="14"/>
        <v>0</v>
      </c>
      <c r="BH96" s="170">
        <f t="shared" ca="1" si="15"/>
        <v>0</v>
      </c>
      <c r="BI96" s="170">
        <f t="shared" ca="1" si="16"/>
        <v>0</v>
      </c>
      <c r="BJ96" s="170">
        <f t="shared" ca="1" si="17"/>
        <v>0</v>
      </c>
      <c r="BK96" s="170">
        <f t="shared" ca="1" si="18"/>
        <v>0</v>
      </c>
      <c r="BL96" s="170">
        <f t="shared" ca="1" si="19"/>
        <v>0</v>
      </c>
      <c r="BM96" s="170">
        <f t="shared" ca="1" si="20"/>
        <v>0</v>
      </c>
      <c r="BN96" s="774"/>
      <c r="BO96" s="778" t="str">
        <f ca="1">IF(IFERROR(INDEX(Налоги!$K$26:$L$55,MATCH($F96&amp;"4komm",Налоги!$K$26:$K$55,0),2),"")=0,"",IFERROR(INDEX(Налоги!$K$26:$L$55,MATCH($F96&amp;"4komm",Налоги!$K$26:$K$55,0),2),""))</f>
        <v/>
      </c>
      <c r="BP96" s="774"/>
      <c r="BS96" s="694" t="s">
        <v>2087</v>
      </c>
    </row>
    <row r="97" spans="2:75" ht="14.65" hidden="1" customHeight="1">
      <c r="C97" s="25"/>
      <c r="D97" s="25"/>
      <c r="E97" s="449">
        <v>15</v>
      </c>
      <c r="F97" s="3" cm="1">
        <f t="array" aca="1" ref="F97" ca="1">OFFSET(E97,-1,1)</f>
        <v>0</v>
      </c>
      <c r="G97" s="609">
        <v>5</v>
      </c>
      <c r="H97" s="25"/>
      <c r="I97" s="25" t="s">
        <v>2088</v>
      </c>
      <c r="J97" s="25"/>
      <c r="K97" s="25" t="s">
        <v>2088</v>
      </c>
      <c r="L97" s="25"/>
      <c r="M97" s="25"/>
      <c r="N97" s="25"/>
      <c r="O97" s="25"/>
      <c r="P97" s="25"/>
      <c r="Q97" s="25"/>
      <c r="R97" s="25"/>
      <c r="S97" s="25"/>
      <c r="T97" s="351" t="b" cm="1">
        <f t="array" aca="1" ref="T97" ca="1">T96</f>
        <v>0</v>
      </c>
      <c r="U97" s="25"/>
      <c r="V97" s="25"/>
      <c r="W97" s="25"/>
      <c r="X97" s="1046"/>
      <c r="Z97" s="1008"/>
      <c r="AB97" s="7" t="s">
        <v>2089</v>
      </c>
      <c r="AC97" s="134" t="s">
        <v>2090</v>
      </c>
      <c r="AD97" s="7" t="s">
        <v>859</v>
      </c>
      <c r="AE97" s="170">
        <f ca="1">SUMIFS(Налоги!AE$25:AE$55,Налоги!$F$25:$F$55,$F97,Налоги!$AB$25:$AB$55,$G97)</f>
        <v>0</v>
      </c>
      <c r="AF97" s="170">
        <f ca="1">SUMIFS(Налоги!AF$25:AF$55,Налоги!$F$25:$F$55,$F97,Налоги!$AB$25:$AB$55,$G97)</f>
        <v>0</v>
      </c>
      <c r="AG97" s="170">
        <f ca="1">SUMIFS(Налоги!AG$25:AG$55,Налоги!$F$25:$F$55,$F97,Налоги!$AB$25:$AB$55,$G97)</f>
        <v>0</v>
      </c>
      <c r="AH97" s="170">
        <f t="shared" ca="1" si="9"/>
        <v>0</v>
      </c>
      <c r="AI97" s="170">
        <f ca="1">SUMIFS(Налоги!AH$25:AH$55,Налоги!$F$25:$F$55,$F97,Налоги!$AB$25:$AB$55,$G97)</f>
        <v>0</v>
      </c>
      <c r="AJ97" s="170">
        <f ca="1">SUMIFS(Налоги!AI$25:AI$55,Налоги!$F$25:$F$55,$F97,Налоги!$AB$25:$AB$55,$G97)</f>
        <v>0</v>
      </c>
      <c r="AK97" s="170">
        <f ca="1">SUMIFS(Налоги!AJ$25:AJ$55,Налоги!$F$25:$F$55,$F97,Налоги!$AB$25:$AB$55,$G97)</f>
        <v>0</v>
      </c>
      <c r="AL97" s="170">
        <f ca="1">SUMIFS(Налоги!AK$25:AK$55,Налоги!$F$25:$F$55,$F97,Налоги!$AB$25:$AB$55,$G97)</f>
        <v>0</v>
      </c>
      <c r="AM97" s="170">
        <f ca="1">SUMIFS(Налоги!AL$25:AL$55,Налоги!$F$25:$F$55,$F97,Налоги!$AB$25:$AB$55,$G97)</f>
        <v>0</v>
      </c>
      <c r="AN97" s="170">
        <f ca="1">SUMIFS(Налоги!AM$25:AM$55,Налоги!$F$25:$F$55,$F97,Налоги!$AB$25:$AB$55,$G97)</f>
        <v>0</v>
      </c>
      <c r="AO97" s="170">
        <f ca="1">SUMIFS(Налоги!AN$25:AN$55,Налоги!$F$25:$F$55,$F97,Налоги!$AB$25:$AB$55,$G97)</f>
        <v>0</v>
      </c>
      <c r="AP97" s="170">
        <f ca="1">SUMIFS(Налоги!AO$25:AO$55,Налоги!$F$25:$F$55,$F97,Налоги!$AB$25:$AB$55,$G97)</f>
        <v>0</v>
      </c>
      <c r="AQ97" s="170">
        <f ca="1">SUMIFS(Налоги!AP$25:AP$55,Налоги!$F$25:$F$55,$F97,Налоги!$AB$25:$AB$55,$G97)</f>
        <v>0</v>
      </c>
      <c r="AR97" s="170">
        <f ca="1">SUMIFS(Налоги!AQ$25:AQ$55,Налоги!$F$25:$F$55,$F97,Налоги!$AB$25:$AB$55,$G97)</f>
        <v>0</v>
      </c>
      <c r="AS97" s="170">
        <f ca="1">SUMIFS(Налоги!AR$25:AR$55,Налоги!$F$25:$F$55,$F97,Налоги!$AB$25:$AB$55,$G97)</f>
        <v>0</v>
      </c>
      <c r="AT97" s="170">
        <f ca="1">SUMIFS(Налоги!AS$25:AS$55,Налоги!$F$25:$F$55,$F97,Налоги!$AB$25:$AB$55,$G97)</f>
        <v>0</v>
      </c>
      <c r="AU97" s="170">
        <f ca="1">SUMIFS(Налоги!AT$25:AT$55,Налоги!$F$25:$F$55,$F97,Налоги!$AB$25:$AB$55,$G97)</f>
        <v>0</v>
      </c>
      <c r="AV97" s="170">
        <f ca="1">SUMIFS(Налоги!AU$25:AU$55,Налоги!$F$25:$F$55,$F97,Налоги!$AB$25:$AB$55,$G97)</f>
        <v>0</v>
      </c>
      <c r="AW97" s="170">
        <f ca="1">SUMIFS(Налоги!AV$25:AV$55,Налоги!$F$25:$F$55,$F97,Налоги!$AB$25:$AB$55,$G97)</f>
        <v>0</v>
      </c>
      <c r="AX97" s="170">
        <f ca="1">SUMIFS(Налоги!AW$25:AW$55,Налоги!$F$25:$F$55,$F97,Налоги!$AB$25:$AB$55,$G97)</f>
        <v>0</v>
      </c>
      <c r="AY97" s="170">
        <f ca="1">SUMIFS(Налоги!AX$25:AX$55,Налоги!$F$25:$F$55,$F97,Налоги!$AB$25:$AB$55,$G97)</f>
        <v>0</v>
      </c>
      <c r="AZ97" s="170">
        <f ca="1">SUMIFS(Налоги!AY$25:AY$55,Налоги!$F$25:$F$55,$F97,Налоги!$AB$25:$AB$55,$G97)</f>
        <v>0</v>
      </c>
      <c r="BA97" s="170">
        <f ca="1">SUMIFS(Налоги!AZ$25:AZ$55,Налоги!$F$25:$F$55,$F97,Налоги!$AB$25:$AB$55,$G97)</f>
        <v>0</v>
      </c>
      <c r="BB97" s="170">
        <f ca="1">SUMIFS(Налоги!BA$25:BA$55,Налоги!$F$25:$F$55,$F97,Налоги!$AB$25:$AB$55,$G97)</f>
        <v>0</v>
      </c>
      <c r="BC97" s="170">
        <f ca="1">SUMIFS(Налоги!BB$25:BB$55,Налоги!$F$25:$F$55,$F97,Налоги!$AB$25:$AB$55,$G97)</f>
        <v>0</v>
      </c>
      <c r="BD97" s="170">
        <f t="shared" ca="1" si="11"/>
        <v>0</v>
      </c>
      <c r="BE97" s="170">
        <f t="shared" ca="1" si="12"/>
        <v>0</v>
      </c>
      <c r="BF97" s="170">
        <f t="shared" ca="1" si="13"/>
        <v>0</v>
      </c>
      <c r="BG97" s="170">
        <f t="shared" ca="1" si="14"/>
        <v>0</v>
      </c>
      <c r="BH97" s="170">
        <f t="shared" ca="1" si="15"/>
        <v>0</v>
      </c>
      <c r="BI97" s="170">
        <f t="shared" ca="1" si="16"/>
        <v>0</v>
      </c>
      <c r="BJ97" s="170">
        <f t="shared" ca="1" si="17"/>
        <v>0</v>
      </c>
      <c r="BK97" s="170">
        <f t="shared" ca="1" si="18"/>
        <v>0</v>
      </c>
      <c r="BL97" s="170">
        <f t="shared" ca="1" si="19"/>
        <v>0</v>
      </c>
      <c r="BM97" s="170">
        <f t="shared" ca="1" si="20"/>
        <v>0</v>
      </c>
      <c r="BN97" s="774"/>
      <c r="BO97" s="778" t="str">
        <f ca="1">IF(IFERROR(INDEX(Налоги!$K$26:$L$55,MATCH($F97&amp;"5komm",Налоги!$K$26:$K$55,0),2),"")=0,"",IFERROR(INDEX(Налоги!$K$26:$L$55,MATCH($F97&amp;"5komm",Налоги!$K$26:$K$55,0),2),""))</f>
        <v/>
      </c>
      <c r="BP97" s="774"/>
      <c r="BS97" s="694" t="s">
        <v>2091</v>
      </c>
    </row>
    <row r="98" spans="2:75" ht="14.65" hidden="1" customHeight="1">
      <c r="C98" s="25"/>
      <c r="D98" s="25"/>
      <c r="E98" s="449">
        <v>15</v>
      </c>
      <c r="F98" s="3" cm="1">
        <f t="array" aca="1" ref="F98" ca="1">OFFSET(E98,-1,1)</f>
        <v>0</v>
      </c>
      <c r="G98" s="609">
        <v>1</v>
      </c>
      <c r="H98" s="25"/>
      <c r="I98" s="25" t="s">
        <v>2092</v>
      </c>
      <c r="J98" s="25"/>
      <c r="K98" s="25" t="s">
        <v>2092</v>
      </c>
      <c r="L98" s="25"/>
      <c r="M98" s="25"/>
      <c r="N98" s="25"/>
      <c r="O98" s="25"/>
      <c r="P98" s="25"/>
      <c r="Q98" s="25"/>
      <c r="R98" s="25"/>
      <c r="S98" s="25"/>
      <c r="T98" s="351" t="b" cm="1">
        <f t="array" aca="1" ref="T98" ca="1">T97</f>
        <v>0</v>
      </c>
      <c r="U98" s="25"/>
      <c r="V98" s="25"/>
      <c r="W98" s="25"/>
      <c r="X98" s="1046"/>
      <c r="Z98" s="1008"/>
      <c r="AB98" s="7" t="s">
        <v>2093</v>
      </c>
      <c r="AC98" s="134" t="s">
        <v>2094</v>
      </c>
      <c r="AD98" s="7" t="s">
        <v>859</v>
      </c>
      <c r="AE98" s="170">
        <f ca="1">SUMIFS(Налоги!AE$25:AE$55,Налоги!$F$25:$F$55,$F98,Налоги!$AB$25:$AB$55,$G98)</f>
        <v>0</v>
      </c>
      <c r="AF98" s="170">
        <f ca="1">SUMIFS(Налоги!AF$25:AF$55,Налоги!$F$25:$F$55,$F98,Налоги!$AB$25:$AB$55,$G98)</f>
        <v>0</v>
      </c>
      <c r="AG98" s="170">
        <f ca="1">SUMIFS(Налоги!AG$25:AG$55,Налоги!$F$25:$F$55,$F98,Налоги!$AB$25:$AB$55,$G98)</f>
        <v>0</v>
      </c>
      <c r="AH98" s="170">
        <f t="shared" ca="1" si="9"/>
        <v>0</v>
      </c>
      <c r="AI98" s="170">
        <f ca="1">SUMIFS(Налоги!AH$25:AH$55,Налоги!$F$25:$F$55,$F98,Налоги!$AB$25:$AB$55,$G98)</f>
        <v>0</v>
      </c>
      <c r="AJ98" s="170">
        <f ca="1">SUMIFS(Налоги!AI$25:AI$55,Налоги!$F$25:$F$55,$F98,Налоги!$AB$25:$AB$55,$G98)</f>
        <v>0</v>
      </c>
      <c r="AK98" s="170">
        <f ca="1">SUMIFS(Налоги!AJ$25:AJ$55,Налоги!$F$25:$F$55,$F98,Налоги!$AB$25:$AB$55,$G98)</f>
        <v>0</v>
      </c>
      <c r="AL98" s="170">
        <f ca="1">SUMIFS(Налоги!AK$25:AK$55,Налоги!$F$25:$F$55,$F98,Налоги!$AB$25:$AB$55,$G98)</f>
        <v>0</v>
      </c>
      <c r="AM98" s="170">
        <f ca="1">SUMIFS(Налоги!AL$25:AL$55,Налоги!$F$25:$F$55,$F98,Налоги!$AB$25:$AB$55,$G98)</f>
        <v>0</v>
      </c>
      <c r="AN98" s="170">
        <f ca="1">SUMIFS(Налоги!AM$25:AM$55,Налоги!$F$25:$F$55,$F98,Налоги!$AB$25:$AB$55,$G98)</f>
        <v>0</v>
      </c>
      <c r="AO98" s="170">
        <f ca="1">SUMIFS(Налоги!AN$25:AN$55,Налоги!$F$25:$F$55,$F98,Налоги!$AB$25:$AB$55,$G98)</f>
        <v>0</v>
      </c>
      <c r="AP98" s="170">
        <f ca="1">SUMIFS(Налоги!AO$25:AO$55,Налоги!$F$25:$F$55,$F98,Налоги!$AB$25:$AB$55,$G98)</f>
        <v>0</v>
      </c>
      <c r="AQ98" s="170">
        <f ca="1">SUMIFS(Налоги!AP$25:AP$55,Налоги!$F$25:$F$55,$F98,Налоги!$AB$25:$AB$55,$G98)</f>
        <v>0</v>
      </c>
      <c r="AR98" s="170">
        <f ca="1">SUMIFS(Налоги!AQ$25:AQ$55,Налоги!$F$25:$F$55,$F98,Налоги!$AB$25:$AB$55,$G98)</f>
        <v>0</v>
      </c>
      <c r="AS98" s="170">
        <f ca="1">SUMIFS(Налоги!AR$25:AR$55,Налоги!$F$25:$F$55,$F98,Налоги!$AB$25:$AB$55,$G98)</f>
        <v>0</v>
      </c>
      <c r="AT98" s="170">
        <f ca="1">SUMIFS(Налоги!AS$25:AS$55,Налоги!$F$25:$F$55,$F98,Налоги!$AB$25:$AB$55,$G98)</f>
        <v>0</v>
      </c>
      <c r="AU98" s="170">
        <f ca="1">SUMIFS(Налоги!AT$25:AT$55,Налоги!$F$25:$F$55,$F98,Налоги!$AB$25:$AB$55,$G98)</f>
        <v>0</v>
      </c>
      <c r="AV98" s="170">
        <f ca="1">SUMIFS(Налоги!AU$25:AU$55,Налоги!$F$25:$F$55,$F98,Налоги!$AB$25:$AB$55,$G98)</f>
        <v>0</v>
      </c>
      <c r="AW98" s="170">
        <f ca="1">SUMIFS(Налоги!AV$25:AV$55,Налоги!$F$25:$F$55,$F98,Налоги!$AB$25:$AB$55,$G98)</f>
        <v>0</v>
      </c>
      <c r="AX98" s="170">
        <f ca="1">SUMIFS(Налоги!AW$25:AW$55,Налоги!$F$25:$F$55,$F98,Налоги!$AB$25:$AB$55,$G98)</f>
        <v>0</v>
      </c>
      <c r="AY98" s="170">
        <f ca="1">SUMIFS(Налоги!AX$25:AX$55,Налоги!$F$25:$F$55,$F98,Налоги!$AB$25:$AB$55,$G98)</f>
        <v>0</v>
      </c>
      <c r="AZ98" s="170">
        <f ca="1">SUMIFS(Налоги!AY$25:AY$55,Налоги!$F$25:$F$55,$F98,Налоги!$AB$25:$AB$55,$G98)</f>
        <v>0</v>
      </c>
      <c r="BA98" s="170">
        <f ca="1">SUMIFS(Налоги!AZ$25:AZ$55,Налоги!$F$25:$F$55,$F98,Налоги!$AB$25:$AB$55,$G98)</f>
        <v>0</v>
      </c>
      <c r="BB98" s="170">
        <f ca="1">SUMIFS(Налоги!BA$25:BA$55,Налоги!$F$25:$F$55,$F98,Налоги!$AB$25:$AB$55,$G98)</f>
        <v>0</v>
      </c>
      <c r="BC98" s="170">
        <f ca="1">SUMIFS(Налоги!BB$25:BB$55,Налоги!$F$25:$F$55,$F98,Налоги!$AB$25:$AB$55,$G98)</f>
        <v>0</v>
      </c>
      <c r="BD98" s="170">
        <f t="shared" ca="1" si="11"/>
        <v>0</v>
      </c>
      <c r="BE98" s="170">
        <f t="shared" ca="1" si="12"/>
        <v>0</v>
      </c>
      <c r="BF98" s="170">
        <f t="shared" ca="1" si="13"/>
        <v>0</v>
      </c>
      <c r="BG98" s="170">
        <f t="shared" ca="1" si="14"/>
        <v>0</v>
      </c>
      <c r="BH98" s="170">
        <f t="shared" ca="1" si="15"/>
        <v>0</v>
      </c>
      <c r="BI98" s="170">
        <f t="shared" ca="1" si="16"/>
        <v>0</v>
      </c>
      <c r="BJ98" s="170">
        <f t="shared" ca="1" si="17"/>
        <v>0</v>
      </c>
      <c r="BK98" s="170">
        <f t="shared" ca="1" si="18"/>
        <v>0</v>
      </c>
      <c r="BL98" s="170">
        <f t="shared" ca="1" si="19"/>
        <v>0</v>
      </c>
      <c r="BM98" s="170">
        <f t="shared" ca="1" si="20"/>
        <v>0</v>
      </c>
      <c r="BN98" s="774"/>
      <c r="BO98" s="778" t="str">
        <f ca="1">IF(IFERROR(INDEX(Налоги!$K$26:$L$55,MATCH($F98&amp;"1komm",Налоги!$K$26:$K$55,0),2),"")=0,"",IFERROR(INDEX(Налоги!$K$26:$L$55,MATCH($F98&amp;"1komm",Налоги!$K$26:$K$55,0),2),""))</f>
        <v/>
      </c>
      <c r="BP98" s="774"/>
      <c r="BS98" s="694" t="s">
        <v>2095</v>
      </c>
    </row>
    <row r="99" spans="2:75" ht="14.65" hidden="1" customHeight="1">
      <c r="C99" s="25"/>
      <c r="D99" s="25"/>
      <c r="E99" s="449">
        <v>15</v>
      </c>
      <c r="F99" s="3" cm="1">
        <f t="array" aca="1" ref="F99" ca="1">OFFSET(E99,-1,1)</f>
        <v>0</v>
      </c>
      <c r="G99" s="609">
        <v>3</v>
      </c>
      <c r="H99" s="25"/>
      <c r="I99" s="25" t="s">
        <v>2096</v>
      </c>
      <c r="J99" s="25"/>
      <c r="K99" s="25" t="s">
        <v>2096</v>
      </c>
      <c r="L99" s="25"/>
      <c r="M99" s="25"/>
      <c r="N99" s="25"/>
      <c r="O99" s="25"/>
      <c r="P99" s="25"/>
      <c r="Q99" s="25"/>
      <c r="R99" s="25"/>
      <c r="S99" s="25"/>
      <c r="T99" s="351" t="b" cm="1">
        <f t="array" aca="1" ref="T99" ca="1">T98</f>
        <v>0</v>
      </c>
      <c r="U99" s="25"/>
      <c r="V99" s="25"/>
      <c r="W99" s="25"/>
      <c r="X99" s="1046"/>
      <c r="Z99" s="1008"/>
      <c r="AB99" s="7" t="s">
        <v>2097</v>
      </c>
      <c r="AC99" s="134" t="s">
        <v>2098</v>
      </c>
      <c r="AD99" s="7" t="s">
        <v>859</v>
      </c>
      <c r="AE99" s="170">
        <f ca="1">SUMIFS(Налоги!AE$25:AE$55,Налоги!$F$25:$F$55,$F99,Налоги!$AB$25:$AB$55,$G99)</f>
        <v>0</v>
      </c>
      <c r="AF99" s="170">
        <f ca="1">SUMIFS(Налоги!AF$25:AF$55,Налоги!$F$25:$F$55,$F99,Налоги!$AB$25:$AB$55,$G99)</f>
        <v>0</v>
      </c>
      <c r="AG99" s="170">
        <f ca="1">SUMIFS(Налоги!AG$25:AG$55,Налоги!$F$25:$F$55,$F99,Налоги!$AB$25:$AB$55,$G99)</f>
        <v>0</v>
      </c>
      <c r="AH99" s="170">
        <f t="shared" ca="1" si="9"/>
        <v>0</v>
      </c>
      <c r="AI99" s="170">
        <f ca="1">SUMIFS(Налоги!AH$25:AH$55,Налоги!$F$25:$F$55,$F99,Налоги!$AB$25:$AB$55,$G99)</f>
        <v>0</v>
      </c>
      <c r="AJ99" s="170">
        <f ca="1">SUMIFS(Налоги!AI$25:AI$55,Налоги!$F$25:$F$55,$F99,Налоги!$AB$25:$AB$55,$G99)</f>
        <v>0</v>
      </c>
      <c r="AK99" s="170">
        <f ca="1">SUMIFS(Налоги!AJ$25:AJ$55,Налоги!$F$25:$F$55,$F99,Налоги!$AB$25:$AB$55,$G99)</f>
        <v>0</v>
      </c>
      <c r="AL99" s="170">
        <f ca="1">SUMIFS(Налоги!AK$25:AK$55,Налоги!$F$25:$F$55,$F99,Налоги!$AB$25:$AB$55,$G99)</f>
        <v>0</v>
      </c>
      <c r="AM99" s="170">
        <f ca="1">SUMIFS(Налоги!AL$25:AL$55,Налоги!$F$25:$F$55,$F99,Налоги!$AB$25:$AB$55,$G99)</f>
        <v>0</v>
      </c>
      <c r="AN99" s="170">
        <f ca="1">SUMIFS(Налоги!AM$25:AM$55,Налоги!$F$25:$F$55,$F99,Налоги!$AB$25:$AB$55,$G99)</f>
        <v>0</v>
      </c>
      <c r="AO99" s="170">
        <f ca="1">SUMIFS(Налоги!AN$25:AN$55,Налоги!$F$25:$F$55,$F99,Налоги!$AB$25:$AB$55,$G99)</f>
        <v>0</v>
      </c>
      <c r="AP99" s="170">
        <f ca="1">SUMIFS(Налоги!AO$25:AO$55,Налоги!$F$25:$F$55,$F99,Налоги!$AB$25:$AB$55,$G99)</f>
        <v>0</v>
      </c>
      <c r="AQ99" s="170">
        <f ca="1">SUMIFS(Налоги!AP$25:AP$55,Налоги!$F$25:$F$55,$F99,Налоги!$AB$25:$AB$55,$G99)</f>
        <v>0</v>
      </c>
      <c r="AR99" s="170">
        <f ca="1">SUMIFS(Налоги!AQ$25:AQ$55,Налоги!$F$25:$F$55,$F99,Налоги!$AB$25:$AB$55,$G99)</f>
        <v>0</v>
      </c>
      <c r="AS99" s="170">
        <f ca="1">SUMIFS(Налоги!AR$25:AR$55,Налоги!$F$25:$F$55,$F99,Налоги!$AB$25:$AB$55,$G99)</f>
        <v>0</v>
      </c>
      <c r="AT99" s="170">
        <f ca="1">SUMIFS(Налоги!AS$25:AS$55,Налоги!$F$25:$F$55,$F99,Налоги!$AB$25:$AB$55,$G99)</f>
        <v>0</v>
      </c>
      <c r="AU99" s="170">
        <f ca="1">SUMIFS(Налоги!AT$25:AT$55,Налоги!$F$25:$F$55,$F99,Налоги!$AB$25:$AB$55,$G99)</f>
        <v>0</v>
      </c>
      <c r="AV99" s="170">
        <f ca="1">SUMIFS(Налоги!AU$25:AU$55,Налоги!$F$25:$F$55,$F99,Налоги!$AB$25:$AB$55,$G99)</f>
        <v>0</v>
      </c>
      <c r="AW99" s="170">
        <f ca="1">SUMIFS(Налоги!AV$25:AV$55,Налоги!$F$25:$F$55,$F99,Налоги!$AB$25:$AB$55,$G99)</f>
        <v>0</v>
      </c>
      <c r="AX99" s="170">
        <f ca="1">SUMIFS(Налоги!AW$25:AW$55,Налоги!$F$25:$F$55,$F99,Налоги!$AB$25:$AB$55,$G99)</f>
        <v>0</v>
      </c>
      <c r="AY99" s="170">
        <f ca="1">SUMIFS(Налоги!AX$25:AX$55,Налоги!$F$25:$F$55,$F99,Налоги!$AB$25:$AB$55,$G99)</f>
        <v>0</v>
      </c>
      <c r="AZ99" s="170">
        <f ca="1">SUMIFS(Налоги!AY$25:AY$55,Налоги!$F$25:$F$55,$F99,Налоги!$AB$25:$AB$55,$G99)</f>
        <v>0</v>
      </c>
      <c r="BA99" s="170">
        <f ca="1">SUMIFS(Налоги!AZ$25:AZ$55,Налоги!$F$25:$F$55,$F99,Налоги!$AB$25:$AB$55,$G99)</f>
        <v>0</v>
      </c>
      <c r="BB99" s="170">
        <f ca="1">SUMIFS(Налоги!BA$25:BA$55,Налоги!$F$25:$F$55,$F99,Налоги!$AB$25:$AB$55,$G99)</f>
        <v>0</v>
      </c>
      <c r="BC99" s="170">
        <f ca="1">SUMIFS(Налоги!BB$25:BB$55,Налоги!$F$25:$F$55,$F99,Налоги!$AB$25:$AB$55,$G99)</f>
        <v>0</v>
      </c>
      <c r="BD99" s="170">
        <f t="shared" ca="1" si="11"/>
        <v>0</v>
      </c>
      <c r="BE99" s="170">
        <f t="shared" ca="1" si="12"/>
        <v>0</v>
      </c>
      <c r="BF99" s="170">
        <f t="shared" ca="1" si="13"/>
        <v>0</v>
      </c>
      <c r="BG99" s="170">
        <f t="shared" ca="1" si="14"/>
        <v>0</v>
      </c>
      <c r="BH99" s="170">
        <f t="shared" ca="1" si="15"/>
        <v>0</v>
      </c>
      <c r="BI99" s="170">
        <f t="shared" ca="1" si="16"/>
        <v>0</v>
      </c>
      <c r="BJ99" s="170">
        <f t="shared" ca="1" si="17"/>
        <v>0</v>
      </c>
      <c r="BK99" s="170">
        <f t="shared" ca="1" si="18"/>
        <v>0</v>
      </c>
      <c r="BL99" s="170">
        <f t="shared" ca="1" si="19"/>
        <v>0</v>
      </c>
      <c r="BM99" s="170">
        <f t="shared" ca="1" si="20"/>
        <v>0</v>
      </c>
      <c r="BN99" s="774"/>
      <c r="BO99" s="778" t="str">
        <f ca="1">IF(IFERROR(INDEX(Налоги!$K$26:$L$55,MATCH($F99&amp;"5komm",Налоги!$K$26:$K$55,0),2),"")=0,"",IFERROR(INDEX(Налоги!$K$26:$L$55,MATCH($F99&amp;"5komm",Налоги!$K$26:$K$55,0),2),""))</f>
        <v/>
      </c>
      <c r="BP99" s="774"/>
      <c r="BS99" s="694" t="s">
        <v>2099</v>
      </c>
    </row>
    <row r="100" spans="2:75" ht="14.65" hidden="1" customHeight="1">
      <c r="C100" s="25"/>
      <c r="D100" s="25"/>
      <c r="E100" s="449">
        <v>15</v>
      </c>
      <c r="F100" s="3" cm="1">
        <f t="array" aca="1" ref="F100" ca="1">OFFSET(E100,-1,1)</f>
        <v>0</v>
      </c>
      <c r="G100" s="609">
        <v>8</v>
      </c>
      <c r="H100" s="25"/>
      <c r="I100" s="25" t="s">
        <v>2100</v>
      </c>
      <c r="J100" s="25"/>
      <c r="K100" s="25" t="s">
        <v>2100</v>
      </c>
      <c r="L100" s="25"/>
      <c r="M100" s="25"/>
      <c r="N100" s="25"/>
      <c r="O100" s="25"/>
      <c r="P100" s="25"/>
      <c r="Q100" s="25"/>
      <c r="R100" s="25"/>
      <c r="S100" s="25"/>
      <c r="T100" s="351" t="b" cm="1">
        <f t="array" aca="1" ref="T100" ca="1">T99</f>
        <v>0</v>
      </c>
      <c r="U100" s="25"/>
      <c r="V100" s="25"/>
      <c r="W100" s="25"/>
      <c r="X100" s="1046"/>
      <c r="Z100" s="1008"/>
      <c r="AB100" s="7" t="s">
        <v>2101</v>
      </c>
      <c r="AC100" s="134" t="s">
        <v>2102</v>
      </c>
      <c r="AD100" s="7" t="s">
        <v>859</v>
      </c>
      <c r="AE100" s="170">
        <f ca="1">SUMIFS(Налоги!AE$25:AE$55,Налоги!$F$25:$F$55,$F100,Налоги!$AB$25:$AB$55,$G100)</f>
        <v>0</v>
      </c>
      <c r="AF100" s="170">
        <f ca="1">SUMIFS(Налоги!AF$25:AF$55,Налоги!$F$25:$F$55,$F100,Налоги!$AB$25:$AB$55,$G100)</f>
        <v>0</v>
      </c>
      <c r="AG100" s="170">
        <f ca="1">SUMIFS(Налоги!AG$25:AG$55,Налоги!$F$25:$F$55,$F100,Налоги!$AB$25:$AB$55,$G100)</f>
        <v>0</v>
      </c>
      <c r="AH100" s="170">
        <f t="shared" ca="1" si="9"/>
        <v>0</v>
      </c>
      <c r="AI100" s="170">
        <f ca="1">SUMIFS(Налоги!AH$25:AH$55,Налоги!$F$25:$F$55,$F100,Налоги!$AB$25:$AB$55,$G100)</f>
        <v>0</v>
      </c>
      <c r="AJ100" s="170">
        <f ca="1">SUMIFS(Налоги!AI$25:AI$55,Налоги!$F$25:$F$55,$F100,Налоги!$AB$25:$AB$55,$G100)</f>
        <v>0</v>
      </c>
      <c r="AK100" s="170">
        <f ca="1">SUMIFS(Налоги!AJ$25:AJ$55,Налоги!$F$25:$F$55,$F100,Налоги!$AB$25:$AB$55,$G100)</f>
        <v>0</v>
      </c>
      <c r="AL100" s="170">
        <f ca="1">SUMIFS(Налоги!AK$25:AK$55,Налоги!$F$25:$F$55,$F100,Налоги!$AB$25:$AB$55,$G100)</f>
        <v>0</v>
      </c>
      <c r="AM100" s="170">
        <f ca="1">SUMIFS(Налоги!AL$25:AL$55,Налоги!$F$25:$F$55,$F100,Налоги!$AB$25:$AB$55,$G100)</f>
        <v>0</v>
      </c>
      <c r="AN100" s="170">
        <f ca="1">SUMIFS(Налоги!AM$25:AM$55,Налоги!$F$25:$F$55,$F100,Налоги!$AB$25:$AB$55,$G100)</f>
        <v>0</v>
      </c>
      <c r="AO100" s="170">
        <f ca="1">SUMIFS(Налоги!AN$25:AN$55,Налоги!$F$25:$F$55,$F100,Налоги!$AB$25:$AB$55,$G100)</f>
        <v>0</v>
      </c>
      <c r="AP100" s="170">
        <f ca="1">SUMIFS(Налоги!AO$25:AO$55,Налоги!$F$25:$F$55,$F100,Налоги!$AB$25:$AB$55,$G100)</f>
        <v>0</v>
      </c>
      <c r="AQ100" s="170">
        <f ca="1">SUMIFS(Налоги!AP$25:AP$55,Налоги!$F$25:$F$55,$F100,Налоги!$AB$25:$AB$55,$G100)</f>
        <v>0</v>
      </c>
      <c r="AR100" s="170">
        <f ca="1">SUMIFS(Налоги!AQ$25:AQ$55,Налоги!$F$25:$F$55,$F100,Налоги!$AB$25:$AB$55,$G100)</f>
        <v>0</v>
      </c>
      <c r="AS100" s="170">
        <f ca="1">SUMIFS(Налоги!AR$25:AR$55,Налоги!$F$25:$F$55,$F100,Налоги!$AB$25:$AB$55,$G100)</f>
        <v>0</v>
      </c>
      <c r="AT100" s="170">
        <f ca="1">SUMIFS(Налоги!AS$25:AS$55,Налоги!$F$25:$F$55,$F100,Налоги!$AB$25:$AB$55,$G100)</f>
        <v>0</v>
      </c>
      <c r="AU100" s="170">
        <f ca="1">SUMIFS(Налоги!AT$25:AT$55,Налоги!$F$25:$F$55,$F100,Налоги!$AB$25:$AB$55,$G100)</f>
        <v>0</v>
      </c>
      <c r="AV100" s="170">
        <f ca="1">SUMIFS(Налоги!AU$25:AU$55,Налоги!$F$25:$F$55,$F100,Налоги!$AB$25:$AB$55,$G100)</f>
        <v>0</v>
      </c>
      <c r="AW100" s="170">
        <f ca="1">SUMIFS(Налоги!AV$25:AV$55,Налоги!$F$25:$F$55,$F100,Налоги!$AB$25:$AB$55,$G100)</f>
        <v>0</v>
      </c>
      <c r="AX100" s="170">
        <f ca="1">SUMIFS(Налоги!AW$25:AW$55,Налоги!$F$25:$F$55,$F100,Налоги!$AB$25:$AB$55,$G100)</f>
        <v>0</v>
      </c>
      <c r="AY100" s="170">
        <f ca="1">SUMIFS(Налоги!AX$25:AX$55,Налоги!$F$25:$F$55,$F100,Налоги!$AB$25:$AB$55,$G100)</f>
        <v>0</v>
      </c>
      <c r="AZ100" s="170">
        <f ca="1">SUMIFS(Налоги!AY$25:AY$55,Налоги!$F$25:$F$55,$F100,Налоги!$AB$25:$AB$55,$G100)</f>
        <v>0</v>
      </c>
      <c r="BA100" s="170">
        <f ca="1">SUMIFS(Налоги!AZ$25:AZ$55,Налоги!$F$25:$F$55,$F100,Налоги!$AB$25:$AB$55,$G100)</f>
        <v>0</v>
      </c>
      <c r="BB100" s="170">
        <f ca="1">SUMIFS(Налоги!BA$25:BA$55,Налоги!$F$25:$F$55,$F100,Налоги!$AB$25:$AB$55,$G100)</f>
        <v>0</v>
      </c>
      <c r="BC100" s="170">
        <f ca="1">SUMIFS(Налоги!BB$25:BB$55,Налоги!$F$25:$F$55,$F100,Налоги!$AB$25:$AB$55,$G100)</f>
        <v>0</v>
      </c>
      <c r="BD100" s="170">
        <f t="shared" ca="1" si="11"/>
        <v>0</v>
      </c>
      <c r="BE100" s="170">
        <f t="shared" ca="1" si="12"/>
        <v>0</v>
      </c>
      <c r="BF100" s="170">
        <f t="shared" ca="1" si="13"/>
        <v>0</v>
      </c>
      <c r="BG100" s="170">
        <f t="shared" ca="1" si="14"/>
        <v>0</v>
      </c>
      <c r="BH100" s="170">
        <f t="shared" ca="1" si="15"/>
        <v>0</v>
      </c>
      <c r="BI100" s="170">
        <f t="shared" ca="1" si="16"/>
        <v>0</v>
      </c>
      <c r="BJ100" s="170">
        <f t="shared" ca="1" si="17"/>
        <v>0</v>
      </c>
      <c r="BK100" s="170">
        <f t="shared" ca="1" si="18"/>
        <v>0</v>
      </c>
      <c r="BL100" s="170">
        <f t="shared" ca="1" si="19"/>
        <v>0</v>
      </c>
      <c r="BM100" s="170">
        <f t="shared" ca="1" si="20"/>
        <v>0</v>
      </c>
      <c r="BN100" s="774"/>
      <c r="BO100" s="778" t="str">
        <f ca="1">IF(IFERROR(INDEX(Налоги!$K$26:$L$55,MATCH($F100&amp;"8komm",Налоги!$K$26:$K$55,0),2),"")=0,"",IFERROR(INDEX(Налоги!$K$26:$L$55,MATCH($F100&amp;"8komm",Налоги!$K$26:$K$55,0),2),""))</f>
        <v/>
      </c>
      <c r="BP100" s="774"/>
      <c r="BS100" s="694" t="s">
        <v>1312</v>
      </c>
    </row>
    <row r="101" spans="2:75" s="374" customFormat="1" ht="14.65" hidden="1" customHeight="1">
      <c r="B101" s="535"/>
      <c r="C101" s="25"/>
      <c r="D101" s="25"/>
      <c r="E101" s="449">
        <v>15</v>
      </c>
      <c r="F101" s="3" cm="1">
        <f t="array" aca="1" ref="F101" ca="1">OFFSET(E101,-1,1)</f>
        <v>0</v>
      </c>
      <c r="G101" s="609">
        <v>9</v>
      </c>
      <c r="H101" s="25"/>
      <c r="I101" s="25"/>
      <c r="J101" s="25"/>
      <c r="K101" s="25"/>
      <c r="L101" s="25"/>
      <c r="M101" s="25"/>
      <c r="N101" s="25"/>
      <c r="O101" s="25"/>
      <c r="P101" s="25"/>
      <c r="Q101" s="25"/>
      <c r="R101" s="25"/>
      <c r="S101" s="25"/>
      <c r="T101" s="351" t="b" cm="1">
        <f t="array" aca="1" ref="T101" ca="1">T100</f>
        <v>0</v>
      </c>
      <c r="U101" s="25"/>
      <c r="V101" s="25"/>
      <c r="W101" s="25"/>
      <c r="X101" s="1046"/>
      <c r="Z101" s="1008"/>
      <c r="AB101" s="7" t="s">
        <v>2103</v>
      </c>
      <c r="AC101" s="547" t="s">
        <v>2104</v>
      </c>
      <c r="AD101" s="7" t="s">
        <v>859</v>
      </c>
      <c r="AE101" s="170">
        <f ca="1">SUMIFS(Налоги!AE$25:AE$55,Налоги!$F$25:$F$55,$F101,Налоги!$AB$25:$AB$55,$G101)</f>
        <v>0</v>
      </c>
      <c r="AF101" s="170">
        <f ca="1">SUMIFS(Налоги!AF$25:AF$55,Налоги!$F$25:$F$55,$F101,Налоги!$AB$25:$AB$55,$G101)</f>
        <v>0</v>
      </c>
      <c r="AG101" s="170">
        <f ca="1">SUMIFS(Налоги!AG$25:AG$55,Налоги!$F$25:$F$55,$F101,Налоги!$AB$25:$AB$55,$G101)</f>
        <v>0</v>
      </c>
      <c r="AH101" s="170">
        <f t="shared" ca="1" si="9"/>
        <v>0</v>
      </c>
      <c r="AI101" s="170">
        <f ca="1">SUMIFS(Налоги!AH$25:AH$55,Налоги!$F$25:$F$55,$F101,Налоги!$AB$25:$AB$55,$G101)</f>
        <v>0</v>
      </c>
      <c r="AJ101" s="170">
        <f ca="1">SUMIFS(Налоги!AI$25:AI$55,Налоги!$F$25:$F$55,$F101,Налоги!$AB$25:$AB$55,$G101)</f>
        <v>0</v>
      </c>
      <c r="AK101" s="170">
        <f ca="1">SUMIFS(Налоги!AJ$25:AJ$55,Налоги!$F$25:$F$55,$F101,Налоги!$AB$25:$AB$55,$G101)</f>
        <v>0</v>
      </c>
      <c r="AL101" s="170">
        <f ca="1">SUMIFS(Налоги!AK$25:AK$55,Налоги!$F$25:$F$55,$F101,Налоги!$AB$25:$AB$55,$G101)</f>
        <v>0</v>
      </c>
      <c r="AM101" s="170">
        <f ca="1">SUMIFS(Налоги!AL$25:AL$55,Налоги!$F$25:$F$55,$F101,Налоги!$AB$25:$AB$55,$G101)</f>
        <v>0</v>
      </c>
      <c r="AN101" s="170">
        <f ca="1">SUMIFS(Налоги!AM$25:AM$55,Налоги!$F$25:$F$55,$F101,Налоги!$AB$25:$AB$55,$G101)</f>
        <v>0</v>
      </c>
      <c r="AO101" s="170">
        <f ca="1">SUMIFS(Налоги!AN$25:AN$55,Налоги!$F$25:$F$55,$F101,Налоги!$AB$25:$AB$55,$G101)</f>
        <v>0</v>
      </c>
      <c r="AP101" s="170">
        <f ca="1">SUMIFS(Налоги!AO$25:AO$55,Налоги!$F$25:$F$55,$F101,Налоги!$AB$25:$AB$55,$G101)</f>
        <v>0</v>
      </c>
      <c r="AQ101" s="170">
        <f ca="1">SUMIFS(Налоги!AP$25:AP$55,Налоги!$F$25:$F$55,$F101,Налоги!$AB$25:$AB$55,$G101)</f>
        <v>0</v>
      </c>
      <c r="AR101" s="170">
        <f ca="1">SUMIFS(Налоги!AQ$25:AQ$55,Налоги!$F$25:$F$55,$F101,Налоги!$AB$25:$AB$55,$G101)</f>
        <v>0</v>
      </c>
      <c r="AS101" s="170">
        <f ca="1">SUMIFS(Налоги!AR$25:AR$55,Налоги!$F$25:$F$55,$F101,Налоги!$AB$25:$AB$55,$G101)</f>
        <v>0</v>
      </c>
      <c r="AT101" s="170">
        <f ca="1">SUMIFS(Налоги!AS$25:AS$55,Налоги!$F$25:$F$55,$F101,Налоги!$AB$25:$AB$55,$G101)</f>
        <v>0</v>
      </c>
      <c r="AU101" s="170">
        <f ca="1">SUMIFS(Налоги!AT$25:AT$55,Налоги!$F$25:$F$55,$F101,Налоги!$AB$25:$AB$55,$G101)</f>
        <v>0</v>
      </c>
      <c r="AV101" s="170">
        <f ca="1">SUMIFS(Налоги!AU$25:AU$55,Налоги!$F$25:$F$55,$F101,Налоги!$AB$25:$AB$55,$G101)</f>
        <v>0</v>
      </c>
      <c r="AW101" s="170">
        <f ca="1">SUMIFS(Налоги!AV$25:AV$55,Налоги!$F$25:$F$55,$F101,Налоги!$AB$25:$AB$55,$G101)</f>
        <v>0</v>
      </c>
      <c r="AX101" s="170">
        <f ca="1">SUMIFS(Налоги!AW$25:AW$55,Налоги!$F$25:$F$55,$F101,Налоги!$AB$25:$AB$55,$G101)</f>
        <v>0</v>
      </c>
      <c r="AY101" s="170">
        <f ca="1">SUMIFS(Налоги!AX$25:AX$55,Налоги!$F$25:$F$55,$F101,Налоги!$AB$25:$AB$55,$G101)</f>
        <v>0</v>
      </c>
      <c r="AZ101" s="170">
        <f ca="1">SUMIFS(Налоги!AY$25:AY$55,Налоги!$F$25:$F$55,$F101,Налоги!$AB$25:$AB$55,$G101)</f>
        <v>0</v>
      </c>
      <c r="BA101" s="170">
        <f ca="1">SUMIFS(Налоги!AZ$25:AZ$55,Налоги!$F$25:$F$55,$F101,Налоги!$AB$25:$AB$55,$G101)</f>
        <v>0</v>
      </c>
      <c r="BB101" s="170">
        <f ca="1">SUMIFS(Налоги!BA$25:BA$55,Налоги!$F$25:$F$55,$F101,Налоги!$AB$25:$AB$55,$G101)</f>
        <v>0</v>
      </c>
      <c r="BC101" s="170">
        <f ca="1">SUMIFS(Налоги!BB$25:BB$55,Налоги!$F$25:$F$55,$F101,Налоги!$AB$25:$AB$55,$G101)</f>
        <v>0</v>
      </c>
      <c r="BD101" s="170">
        <f t="shared" ca="1" si="11"/>
        <v>0</v>
      </c>
      <c r="BE101" s="170">
        <f t="shared" ca="1" si="12"/>
        <v>0</v>
      </c>
      <c r="BF101" s="170">
        <f t="shared" ca="1" si="13"/>
        <v>0</v>
      </c>
      <c r="BG101" s="170">
        <f t="shared" ca="1" si="14"/>
        <v>0</v>
      </c>
      <c r="BH101" s="170">
        <f t="shared" ca="1" si="15"/>
        <v>0</v>
      </c>
      <c r="BI101" s="170">
        <f t="shared" ca="1" si="16"/>
        <v>0</v>
      </c>
      <c r="BJ101" s="170">
        <f t="shared" ca="1" si="17"/>
        <v>0</v>
      </c>
      <c r="BK101" s="170">
        <f t="shared" ca="1" si="18"/>
        <v>0</v>
      </c>
      <c r="BL101" s="170">
        <f t="shared" ca="1" si="19"/>
        <v>0</v>
      </c>
      <c r="BM101" s="170">
        <f t="shared" ca="1" si="20"/>
        <v>0</v>
      </c>
      <c r="BN101" s="774"/>
      <c r="BO101" s="778" t="str">
        <f ca="1">IF(IFERROR(INDEX(Налоги!$K$26:$L$55,MATCH($F101&amp;"9komm",Налоги!$K$26:$K$55,0),2),"")=0,"",IFERROR(INDEX(Налоги!$K$26:$L$55,MATCH($F101&amp;"9komm",Налоги!$K$26:$K$55,0),2),""))</f>
        <v/>
      </c>
      <c r="BP101" s="774"/>
      <c r="BS101" s="701" t="s">
        <v>2105</v>
      </c>
      <c r="BT101" s="701"/>
      <c r="BU101" s="701"/>
      <c r="BV101" s="702"/>
      <c r="BW101" s="702"/>
    </row>
    <row r="102" spans="2:75" ht="14.65" hidden="1" customHeight="1">
      <c r="C102" s="25"/>
      <c r="D102" s="25"/>
      <c r="E102" s="449">
        <v>15</v>
      </c>
      <c r="F102" s="3" cm="1">
        <f t="array" aca="1" ref="F102" ca="1">OFFSET(E102,-1,1)</f>
        <v>0</v>
      </c>
      <c r="G102" s="609">
        <v>10</v>
      </c>
      <c r="H102" s="25"/>
      <c r="I102" s="25" t="s">
        <v>2106</v>
      </c>
      <c r="J102" s="25"/>
      <c r="K102" s="25" t="s">
        <v>2106</v>
      </c>
      <c r="L102" s="25"/>
      <c r="M102" s="25"/>
      <c r="N102" s="25"/>
      <c r="O102" s="25"/>
      <c r="P102" s="25"/>
      <c r="Q102" s="25"/>
      <c r="R102" s="25"/>
      <c r="S102" s="25"/>
      <c r="T102" s="351" t="b" cm="1">
        <f t="array" aca="1" ref="T102" ca="1">T101</f>
        <v>0</v>
      </c>
      <c r="U102" s="25"/>
      <c r="V102" s="25"/>
      <c r="W102" s="25"/>
      <c r="X102" s="1046"/>
      <c r="Z102" s="1008"/>
      <c r="AB102" s="7" t="s">
        <v>2107</v>
      </c>
      <c r="AC102" s="547" t="s">
        <v>2108</v>
      </c>
      <c r="AD102" s="7" t="s">
        <v>859</v>
      </c>
      <c r="AE102" s="170">
        <f ca="1">SUMIFS(Налоги!AE$25:AE$55,Налоги!$F$25:$F$55,$F102,Налоги!$AB$25:$AB$55,$G102)</f>
        <v>0</v>
      </c>
      <c r="AF102" s="170">
        <f ca="1">SUMIFS(Налоги!AF$25:AF$55,Налоги!$F$25:$F$55,$F102,Налоги!$AB$25:$AB$55,$G102)</f>
        <v>0</v>
      </c>
      <c r="AG102" s="170">
        <f ca="1">SUMIFS(Налоги!AG$25:AG$55,Налоги!$F$25:$F$55,$F102,Налоги!$AB$25:$AB$55,$G102)</f>
        <v>0</v>
      </c>
      <c r="AH102" s="170">
        <f t="shared" ca="1" si="9"/>
        <v>0</v>
      </c>
      <c r="AI102" s="170">
        <f ca="1">SUMIFS(Налоги!AH$25:AH$55,Налоги!$F$25:$F$55,$F102,Налоги!$AB$25:$AB$55,$G102)</f>
        <v>0</v>
      </c>
      <c r="AJ102" s="170">
        <f ca="1">SUMIFS(Налоги!AI$25:AI$55,Налоги!$F$25:$F$55,$F102,Налоги!$AB$25:$AB$55,$G102)</f>
        <v>0</v>
      </c>
      <c r="AK102" s="170">
        <f ca="1">SUMIFS(Налоги!AJ$25:AJ$55,Налоги!$F$25:$F$55,$F102,Налоги!$AB$25:$AB$55,$G102)</f>
        <v>0</v>
      </c>
      <c r="AL102" s="170">
        <f ca="1">SUMIFS(Налоги!AK$25:AK$55,Налоги!$F$25:$F$55,$F102,Налоги!$AB$25:$AB$55,$G102)</f>
        <v>0</v>
      </c>
      <c r="AM102" s="170">
        <f ca="1">SUMIFS(Налоги!AL$25:AL$55,Налоги!$F$25:$F$55,$F102,Налоги!$AB$25:$AB$55,$G102)</f>
        <v>0</v>
      </c>
      <c r="AN102" s="170">
        <f ca="1">SUMIFS(Налоги!AM$25:AM$55,Налоги!$F$25:$F$55,$F102,Налоги!$AB$25:$AB$55,$G102)</f>
        <v>0</v>
      </c>
      <c r="AO102" s="170">
        <f ca="1">SUMIFS(Налоги!AN$25:AN$55,Налоги!$F$25:$F$55,$F102,Налоги!$AB$25:$AB$55,$G102)</f>
        <v>0</v>
      </c>
      <c r="AP102" s="170">
        <f ca="1">SUMIFS(Налоги!AO$25:AO$55,Налоги!$F$25:$F$55,$F102,Налоги!$AB$25:$AB$55,$G102)</f>
        <v>0</v>
      </c>
      <c r="AQ102" s="170">
        <f ca="1">SUMIFS(Налоги!AP$25:AP$55,Налоги!$F$25:$F$55,$F102,Налоги!$AB$25:$AB$55,$G102)</f>
        <v>0</v>
      </c>
      <c r="AR102" s="170">
        <f ca="1">SUMIFS(Налоги!AQ$25:AQ$55,Налоги!$F$25:$F$55,$F102,Налоги!$AB$25:$AB$55,$G102)</f>
        <v>0</v>
      </c>
      <c r="AS102" s="170">
        <f ca="1">SUMIFS(Налоги!AR$25:AR$55,Налоги!$F$25:$F$55,$F102,Налоги!$AB$25:$AB$55,$G102)</f>
        <v>0</v>
      </c>
      <c r="AT102" s="170">
        <f ca="1">SUMIFS(Налоги!AS$25:AS$55,Налоги!$F$25:$F$55,$F102,Налоги!$AB$25:$AB$55,$G102)</f>
        <v>0</v>
      </c>
      <c r="AU102" s="170">
        <f ca="1">SUMIFS(Налоги!AT$25:AT$55,Налоги!$F$25:$F$55,$F102,Налоги!$AB$25:$AB$55,$G102)</f>
        <v>0</v>
      </c>
      <c r="AV102" s="170">
        <f ca="1">SUMIFS(Налоги!AU$25:AU$55,Налоги!$F$25:$F$55,$F102,Налоги!$AB$25:$AB$55,$G102)</f>
        <v>0</v>
      </c>
      <c r="AW102" s="170">
        <f ca="1">SUMIFS(Налоги!AV$25:AV$55,Налоги!$F$25:$F$55,$F102,Налоги!$AB$25:$AB$55,$G102)</f>
        <v>0</v>
      </c>
      <c r="AX102" s="170">
        <f ca="1">SUMIFS(Налоги!AW$25:AW$55,Налоги!$F$25:$F$55,$F102,Налоги!$AB$25:$AB$55,$G102)</f>
        <v>0</v>
      </c>
      <c r="AY102" s="170">
        <f ca="1">SUMIFS(Налоги!AX$25:AX$55,Налоги!$F$25:$F$55,$F102,Налоги!$AB$25:$AB$55,$G102)</f>
        <v>0</v>
      </c>
      <c r="AZ102" s="170">
        <f ca="1">SUMIFS(Налоги!AY$25:AY$55,Налоги!$F$25:$F$55,$F102,Налоги!$AB$25:$AB$55,$G102)</f>
        <v>0</v>
      </c>
      <c r="BA102" s="170">
        <f ca="1">SUMIFS(Налоги!AZ$25:AZ$55,Налоги!$F$25:$F$55,$F102,Налоги!$AB$25:$AB$55,$G102)</f>
        <v>0</v>
      </c>
      <c r="BB102" s="170">
        <f ca="1">SUMIFS(Налоги!BA$25:BA$55,Налоги!$F$25:$F$55,$F102,Налоги!$AB$25:$AB$55,$G102)</f>
        <v>0</v>
      </c>
      <c r="BC102" s="170">
        <f ca="1">SUMIFS(Налоги!BB$25:BB$55,Налоги!$F$25:$F$55,$F102,Налоги!$AB$25:$AB$55,$G102)</f>
        <v>0</v>
      </c>
      <c r="BD102" s="170">
        <f t="shared" ca="1" si="11"/>
        <v>0</v>
      </c>
      <c r="BE102" s="170">
        <f t="shared" ca="1" si="12"/>
        <v>0</v>
      </c>
      <c r="BF102" s="170">
        <f t="shared" ca="1" si="13"/>
        <v>0</v>
      </c>
      <c r="BG102" s="170">
        <f t="shared" ca="1" si="14"/>
        <v>0</v>
      </c>
      <c r="BH102" s="170">
        <f t="shared" ca="1" si="15"/>
        <v>0</v>
      </c>
      <c r="BI102" s="170">
        <f t="shared" ca="1" si="16"/>
        <v>0</v>
      </c>
      <c r="BJ102" s="170">
        <f t="shared" ca="1" si="17"/>
        <v>0</v>
      </c>
      <c r="BK102" s="170">
        <f t="shared" ca="1" si="18"/>
        <v>0</v>
      </c>
      <c r="BL102" s="170">
        <f t="shared" ca="1" si="19"/>
        <v>0</v>
      </c>
      <c r="BM102" s="170">
        <f t="shared" ca="1" si="20"/>
        <v>0</v>
      </c>
      <c r="BN102" s="774"/>
      <c r="BO102" s="778" t="str">
        <f ca="1">IF(IFERROR(INDEX(Налоги!$K$26:$L$55,MATCH($F102&amp;"10komm",Налоги!$K$26:$K$55,0),2),"")=0,"",IFERROR(INDEX(Налоги!$K$26:$L$55,MATCH($F102&amp;"10komm",Налоги!$K$26:$K$55,0),2),""))</f>
        <v/>
      </c>
      <c r="BP102" s="774"/>
      <c r="BS102" s="694" t="s">
        <v>2109</v>
      </c>
    </row>
    <row r="103" spans="2:75" ht="65.849999999999994" hidden="1" customHeight="1">
      <c r="C103" s="25"/>
      <c r="D103" s="25"/>
      <c r="E103" s="449">
        <v>67.5</v>
      </c>
      <c r="F103" s="3" cm="1">
        <f t="array" aca="1" ref="F103" ca="1">OFFSET(E103,-1,1)</f>
        <v>0</v>
      </c>
      <c r="G103" s="25" t="s">
        <v>1487</v>
      </c>
      <c r="H103" s="25"/>
      <c r="I103" s="25" t="s">
        <v>958</v>
      </c>
      <c r="J103" s="25"/>
      <c r="K103" s="72" t="s">
        <v>958</v>
      </c>
      <c r="L103" s="25"/>
      <c r="M103" s="25"/>
      <c r="N103" s="25"/>
      <c r="O103" s="25"/>
      <c r="P103" s="25"/>
      <c r="Q103" s="25"/>
      <c r="R103" s="25"/>
      <c r="S103" s="25"/>
      <c r="T103" s="351" t="b" cm="1">
        <f t="array" aca="1" ref="T103" ca="1">T102</f>
        <v>0</v>
      </c>
      <c r="U103" s="25"/>
      <c r="V103" s="25"/>
      <c r="W103" s="25"/>
      <c r="X103" s="1046"/>
      <c r="Z103" s="1008"/>
      <c r="AB103" s="7" t="s">
        <v>959</v>
      </c>
      <c r="AC103" s="548" t="s">
        <v>1490</v>
      </c>
      <c r="AD103" s="7" t="s">
        <v>859</v>
      </c>
      <c r="AE103" s="780"/>
      <c r="AF103" s="780"/>
      <c r="AG103" s="780"/>
      <c r="AH103" s="170">
        <f t="shared" si="9"/>
        <v>0</v>
      </c>
      <c r="AI103" s="780"/>
      <c r="AJ103" s="141"/>
      <c r="AK103" s="141"/>
      <c r="AL103" s="141"/>
      <c r="AM103" s="780"/>
      <c r="AN103" s="780"/>
      <c r="AO103" s="780"/>
      <c r="AP103" s="780"/>
      <c r="AQ103" s="780"/>
      <c r="AR103" s="780"/>
      <c r="AS103" s="780"/>
      <c r="AT103" s="141"/>
      <c r="AU103" s="141"/>
      <c r="AV103" s="141"/>
      <c r="AW103" s="780"/>
      <c r="AX103" s="780"/>
      <c r="AY103" s="780"/>
      <c r="AZ103" s="780"/>
      <c r="BA103" s="780"/>
      <c r="BB103" s="780"/>
      <c r="BC103" s="780"/>
      <c r="BD103" s="170">
        <f t="shared" si="11"/>
        <v>0</v>
      </c>
      <c r="BE103" s="170">
        <f t="shared" si="12"/>
        <v>0</v>
      </c>
      <c r="BF103" s="170">
        <f t="shared" si="13"/>
        <v>0</v>
      </c>
      <c r="BG103" s="170">
        <f t="shared" si="14"/>
        <v>0</v>
      </c>
      <c r="BH103" s="170">
        <f t="shared" si="15"/>
        <v>0</v>
      </c>
      <c r="BI103" s="170">
        <f t="shared" si="16"/>
        <v>0</v>
      </c>
      <c r="BJ103" s="170">
        <f t="shared" si="17"/>
        <v>0</v>
      </c>
      <c r="BK103" s="170">
        <f t="shared" si="18"/>
        <v>0</v>
      </c>
      <c r="BL103" s="170">
        <f t="shared" si="19"/>
        <v>0</v>
      </c>
      <c r="BM103" s="170">
        <f t="shared" si="20"/>
        <v>0</v>
      </c>
      <c r="BN103" s="774"/>
      <c r="BO103" s="774"/>
      <c r="BP103" s="774"/>
      <c r="BS103" s="694" t="s">
        <v>2110</v>
      </c>
    </row>
    <row r="104" spans="2:75" ht="14.65" hidden="1" customHeight="1">
      <c r="C104" s="25"/>
      <c r="D104" s="25"/>
      <c r="E104" s="449">
        <v>15</v>
      </c>
      <c r="F104" s="3" cm="1">
        <f t="array" aca="1" ref="F104" ca="1">OFFSET(E104,-1,1)</f>
        <v>0</v>
      </c>
      <c r="G104" s="25" t="s">
        <v>1035</v>
      </c>
      <c r="H104" s="25"/>
      <c r="I104" s="25" t="s">
        <v>961</v>
      </c>
      <c r="J104" s="25"/>
      <c r="K104" s="72" t="s">
        <v>961</v>
      </c>
      <c r="L104" s="25" t="s">
        <v>557</v>
      </c>
      <c r="M104" s="25"/>
      <c r="N104" s="25"/>
      <c r="O104" s="25"/>
      <c r="P104" s="25"/>
      <c r="Q104" s="25"/>
      <c r="R104" s="25"/>
      <c r="S104" s="25"/>
      <c r="T104" s="351" t="b" cm="1">
        <f t="array" aca="1" ref="T104" ca="1">T103</f>
        <v>0</v>
      </c>
      <c r="U104" s="25"/>
      <c r="V104" s="25"/>
      <c r="W104" s="25"/>
      <c r="X104" s="1046"/>
      <c r="Z104" s="1008"/>
      <c r="AB104" s="7" t="s">
        <v>962</v>
      </c>
      <c r="AC104" s="127" t="s">
        <v>1035</v>
      </c>
      <c r="AD104" s="7" t="s">
        <v>859</v>
      </c>
      <c r="AE104" s="170">
        <f ca="1">SUMIFS(Аренда!AE$25:AE$47,Аренда!$F$25:$F$47,$F104,Аренда!$G$25:$G$47,"Арендная и концессионная плата, лизинговые платежи")</f>
        <v>0</v>
      </c>
      <c r="AF104" s="170">
        <f ca="1">SUMIFS(Аренда!AF$25:AF$47,Аренда!$F$25:$F$47,$F104,Аренда!$G$25:$G$47,"Арендная и концессионная плата, лизинговые платежи")</f>
        <v>0</v>
      </c>
      <c r="AG104" s="170">
        <f ca="1">SUMIFS(Аренда!AG$25:AG$47,Аренда!$F$25:$F$47,$F104,Аренда!$G$25:$G$47,"Арендная и концессионная плата, лизинговые платежи")</f>
        <v>0</v>
      </c>
      <c r="AH104" s="170">
        <f t="shared" ca="1" si="9"/>
        <v>0</v>
      </c>
      <c r="AI104" s="170">
        <f ca="1">SUMIFS(Аренда!AH$25:AH$47,Аренда!$F$25:$F$47,$F104,Аренда!$G$25:$G$47,"Арендная и концессионная плата, лизинговые платежи")</f>
        <v>0</v>
      </c>
      <c r="AJ104" s="170">
        <f ca="1">SUMIFS(Аренда!AI$25:AI$47,Аренда!$F$25:$F$47,$F104,Аренда!$G$25:$G$47,"Арендная и концессионная плата, лизинговые платежи")</f>
        <v>0</v>
      </c>
      <c r="AK104" s="170">
        <f ca="1">SUMIFS(Аренда!AJ$25:AJ$47,Аренда!$F$25:$F$47,$F104,Аренда!$G$25:$G$47,"Арендная и концессионная плата, лизинговые платежи")</f>
        <v>0</v>
      </c>
      <c r="AL104" s="170">
        <f ca="1">SUMIFS(Аренда!AK$25:AK$47,Аренда!$F$25:$F$47,$F104,Аренда!$G$25:$G$47,"Арендная и концессионная плата, лизинговые платежи")</f>
        <v>0</v>
      </c>
      <c r="AM104" s="170">
        <f ca="1">SUMIFS(Аренда!AL$25:AL$47,Аренда!$F$25:$F$47,$F104,Аренда!$G$25:$G$47,"Арендная и концессионная плата, лизинговые платежи")</f>
        <v>0</v>
      </c>
      <c r="AN104" s="170">
        <f ca="1">SUMIFS(Аренда!AM$25:AM$47,Аренда!$F$25:$F$47,$F104,Аренда!$G$25:$G$47,"Арендная и концессионная плата, лизинговые платежи")</f>
        <v>0</v>
      </c>
      <c r="AO104" s="170">
        <f ca="1">SUMIFS(Аренда!AN$25:AN$47,Аренда!$F$25:$F$47,$F104,Аренда!$G$25:$G$47,"Арендная и концессионная плата, лизинговые платежи")</f>
        <v>0</v>
      </c>
      <c r="AP104" s="170">
        <f ca="1">SUMIFS(Аренда!AO$25:AO$47,Аренда!$F$25:$F$47,$F104,Аренда!$G$25:$G$47,"Арендная и концессионная плата, лизинговые платежи")</f>
        <v>0</v>
      </c>
      <c r="AQ104" s="170">
        <f ca="1">SUMIFS(Аренда!AP$25:AP$47,Аренда!$F$25:$F$47,$F104,Аренда!$G$25:$G$47,"Арендная и концессионная плата, лизинговые платежи")</f>
        <v>0</v>
      </c>
      <c r="AR104" s="170">
        <f ca="1">SUMIFS(Аренда!AQ$25:AQ$47,Аренда!$F$25:$F$47,$F104,Аренда!$G$25:$G$47,"Арендная и концессионная плата, лизинговые платежи")</f>
        <v>0</v>
      </c>
      <c r="AS104" s="170">
        <f ca="1">SUMIFS(Аренда!AR$25:AR$47,Аренда!$F$25:$F$47,$F104,Аренда!$G$25:$G$47,"Арендная и концессионная плата, лизинговые платежи")</f>
        <v>0</v>
      </c>
      <c r="AT104" s="170">
        <f ca="1">SUMIFS(Аренда!AS$25:AS$47,Аренда!$F$25:$F$47,$F104,Аренда!$G$25:$G$47,"Арендная и концессионная плата, лизинговые платежи")</f>
        <v>0</v>
      </c>
      <c r="AU104" s="170">
        <f ca="1">SUMIFS(Аренда!AT$25:AT$47,Аренда!$F$25:$F$47,$F104,Аренда!$G$25:$G$47,"Арендная и концессионная плата, лизинговые платежи")</f>
        <v>0</v>
      </c>
      <c r="AV104" s="170">
        <f ca="1">SUMIFS(Аренда!AU$25:AU$47,Аренда!$F$25:$F$47,$F104,Аренда!$G$25:$G$47,"Арендная и концессионная плата, лизинговые платежи")</f>
        <v>0</v>
      </c>
      <c r="AW104" s="170">
        <f ca="1">SUMIFS(Аренда!AV$25:AV$47,Аренда!$F$25:$F$47,$F104,Аренда!$G$25:$G$47,"Арендная и концессионная плата, лизинговые платежи")</f>
        <v>0</v>
      </c>
      <c r="AX104" s="170">
        <f ca="1">SUMIFS(Аренда!AW$25:AW$47,Аренда!$F$25:$F$47,$F104,Аренда!$G$25:$G$47,"Арендная и концессионная плата, лизинговые платежи")</f>
        <v>0</v>
      </c>
      <c r="AY104" s="170">
        <f ca="1">SUMIFS(Аренда!AX$25:AX$47,Аренда!$F$25:$F$47,$F104,Аренда!$G$25:$G$47,"Арендная и концессионная плата, лизинговые платежи")</f>
        <v>0</v>
      </c>
      <c r="AZ104" s="170">
        <f ca="1">SUMIFS(Аренда!AY$25:AY$47,Аренда!$F$25:$F$47,$F104,Аренда!$G$25:$G$47,"Арендная и концессионная плата, лизинговые платежи")</f>
        <v>0</v>
      </c>
      <c r="BA104" s="170">
        <f ca="1">SUMIFS(Аренда!AZ$25:AZ$47,Аренда!$F$25:$F$47,$F104,Аренда!$G$25:$G$47,"Арендная и концессионная плата, лизинговые платежи")</f>
        <v>0</v>
      </c>
      <c r="BB104" s="170">
        <f ca="1">SUMIFS(Аренда!BA$25:BA$47,Аренда!$F$25:$F$47,$F104,Аренда!$G$25:$G$47,"Арендная и концессионная плата, лизинговые платежи")</f>
        <v>0</v>
      </c>
      <c r="BC104" s="170">
        <f ca="1">SUMIFS(Аренда!BB$25:BB$47,Аренда!$F$25:$F$47,$F104,Аренда!$G$25:$G$47,"Арендная и концессионная плата, лизинговые платежи")</f>
        <v>0</v>
      </c>
      <c r="BD104" s="170">
        <f t="shared" ca="1" si="11"/>
        <v>0</v>
      </c>
      <c r="BE104" s="170">
        <f t="shared" ca="1" si="12"/>
        <v>0</v>
      </c>
      <c r="BF104" s="170">
        <f t="shared" ca="1" si="13"/>
        <v>0</v>
      </c>
      <c r="BG104" s="170">
        <f t="shared" ca="1" si="14"/>
        <v>0</v>
      </c>
      <c r="BH104" s="170">
        <f t="shared" ca="1" si="15"/>
        <v>0</v>
      </c>
      <c r="BI104" s="170">
        <f t="shared" ca="1" si="16"/>
        <v>0</v>
      </c>
      <c r="BJ104" s="170">
        <f t="shared" ca="1" si="17"/>
        <v>0</v>
      </c>
      <c r="BK104" s="170">
        <f t="shared" ca="1" si="18"/>
        <v>0</v>
      </c>
      <c r="BL104" s="170">
        <f t="shared" ca="1" si="19"/>
        <v>0</v>
      </c>
      <c r="BM104" s="170">
        <f t="shared" ca="1" si="20"/>
        <v>0</v>
      </c>
      <c r="BN104" s="774"/>
      <c r="BO104" s="778" t="str">
        <f ca="1">IF(IFERROR(INDEX(Аренда!$K$26:$L$47,MATCH($F104&amp;"komm",Аренда!$K$26:$K$47,0),2),"")=0,"",IFERROR(INDEX(Аренда!$K$26:$L$47,MATCH($F104&amp;"komm",Аренда!$K$26:$K$47,0),2),""))</f>
        <v/>
      </c>
      <c r="BP104" s="774"/>
      <c r="BS104" s="694" t="s">
        <v>2111</v>
      </c>
    </row>
    <row r="105" spans="2:75" ht="14.65" hidden="1" customHeight="1">
      <c r="B105" s="328" t="b">
        <f>STATUS_GO="да"</f>
        <v>1</v>
      </c>
      <c r="C105" s="25"/>
      <c r="D105" s="25"/>
      <c r="E105" s="449">
        <v>15</v>
      </c>
      <c r="F105" s="3" cm="1">
        <f t="array" aca="1" ref="F105" ca="1">OFFSET(E105,-1,1)</f>
        <v>0</v>
      </c>
      <c r="G105" s="25"/>
      <c r="H105" s="25"/>
      <c r="I105" s="25" t="s">
        <v>2112</v>
      </c>
      <c r="J105" s="25"/>
      <c r="K105" s="72" t="s">
        <v>2112</v>
      </c>
      <c r="L105" s="25"/>
      <c r="M105" s="25"/>
      <c r="N105" s="25"/>
      <c r="O105" s="25"/>
      <c r="P105" s="25"/>
      <c r="Q105" s="25"/>
      <c r="R105" s="25"/>
      <c r="S105" s="25"/>
      <c r="T105" s="351" t="b" cm="1">
        <f t="array" aca="1" ref="T105" ca="1">T104</f>
        <v>0</v>
      </c>
      <c r="U105" s="25"/>
      <c r="V105" s="25"/>
      <c r="W105" s="25"/>
      <c r="X105" s="1046"/>
      <c r="Z105" s="1008"/>
      <c r="AB105" s="7" t="s">
        <v>1554</v>
      </c>
      <c r="AC105" s="127" t="s">
        <v>2113</v>
      </c>
      <c r="AD105" s="7" t="s">
        <v>859</v>
      </c>
      <c r="AE105" s="777" cm="1">
        <f t="array" aca="1" ref="AE105" ca="1">AE106</f>
        <v>0</v>
      </c>
      <c r="AF105" s="777" cm="1">
        <f t="array" aca="1" ref="AF105" ca="1">AF106</f>
        <v>0</v>
      </c>
      <c r="AG105" s="777" cm="1">
        <f t="array" aca="1" ref="AG105" ca="1">AG106</f>
        <v>0</v>
      </c>
      <c r="AH105" s="170">
        <f t="shared" ca="1" si="9"/>
        <v>0</v>
      </c>
      <c r="AI105" s="777" cm="1">
        <f t="array" aca="1" ref="AI105" ca="1">AI106</f>
        <v>0</v>
      </c>
      <c r="AJ105" s="128" cm="1">
        <f t="array" aca="1" ref="AJ105" ca="1">AJ106</f>
        <v>0</v>
      </c>
      <c r="AK105" s="128" cm="1">
        <f t="array" ref="AK105">AK106</f>
        <v>0</v>
      </c>
      <c r="AL105" s="128" cm="1">
        <f t="array" ref="AL105">AL106</f>
        <v>0</v>
      </c>
      <c r="AM105" s="777" cm="1">
        <f t="array" ref="AM105">AM106</f>
        <v>0</v>
      </c>
      <c r="AN105" s="777" cm="1">
        <f t="array" ref="AN105">AN106</f>
        <v>0</v>
      </c>
      <c r="AO105" s="777" cm="1">
        <f t="array" ref="AO105">AO106</f>
        <v>0</v>
      </c>
      <c r="AP105" s="777" cm="1">
        <f t="array" ref="AP105">AP106</f>
        <v>0</v>
      </c>
      <c r="AQ105" s="777" cm="1">
        <f t="array" ref="AQ105">AQ106</f>
        <v>0</v>
      </c>
      <c r="AR105" s="777" cm="1">
        <f t="array" ref="AR105">AR106</f>
        <v>0</v>
      </c>
      <c r="AS105" s="777" cm="1">
        <f t="array" ref="AS105">AS106</f>
        <v>0</v>
      </c>
      <c r="AT105" s="128" cm="1">
        <f t="array" aca="1" ref="AT105" ca="1">AT106</f>
        <v>0</v>
      </c>
      <c r="AU105" s="128" cm="1">
        <f t="array" ref="AU105">AU106</f>
        <v>0</v>
      </c>
      <c r="AV105" s="128" cm="1">
        <f t="array" ref="AV105">AV106</f>
        <v>0</v>
      </c>
      <c r="AW105" s="777" cm="1">
        <f t="array" ref="AW105">AW106</f>
        <v>0</v>
      </c>
      <c r="AX105" s="777" cm="1">
        <f t="array" ref="AX105">AX106</f>
        <v>0</v>
      </c>
      <c r="AY105" s="777" cm="1">
        <f t="array" ref="AY105">AY106</f>
        <v>0</v>
      </c>
      <c r="AZ105" s="777" cm="1">
        <f t="array" ref="AZ105">AZ106</f>
        <v>0</v>
      </c>
      <c r="BA105" s="777" cm="1">
        <f t="array" ref="BA105">BA106</f>
        <v>0</v>
      </c>
      <c r="BB105" s="777" cm="1">
        <f t="array" ref="BB105">BB106</f>
        <v>0</v>
      </c>
      <c r="BC105" s="777" cm="1">
        <f t="array" ref="BC105">BC106</f>
        <v>0</v>
      </c>
      <c r="BD105" s="170">
        <f t="shared" ca="1" si="11"/>
        <v>0</v>
      </c>
      <c r="BE105" s="170">
        <f t="shared" ca="1" si="12"/>
        <v>0</v>
      </c>
      <c r="BF105" s="170">
        <f t="shared" si="13"/>
        <v>0</v>
      </c>
      <c r="BG105" s="170">
        <f t="shared" si="14"/>
        <v>0</v>
      </c>
      <c r="BH105" s="170">
        <f t="shared" si="15"/>
        <v>0</v>
      </c>
      <c r="BI105" s="170">
        <f t="shared" si="16"/>
        <v>0</v>
      </c>
      <c r="BJ105" s="170">
        <f t="shared" si="17"/>
        <v>0</v>
      </c>
      <c r="BK105" s="170">
        <f t="shared" si="18"/>
        <v>0</v>
      </c>
      <c r="BL105" s="170">
        <f t="shared" si="19"/>
        <v>0</v>
      </c>
      <c r="BM105" s="170">
        <f t="shared" si="20"/>
        <v>0</v>
      </c>
      <c r="BN105" s="774"/>
      <c r="BO105" s="774"/>
      <c r="BP105" s="774"/>
      <c r="BS105" s="694" t="s">
        <v>2114</v>
      </c>
    </row>
    <row r="106" spans="2:75" ht="14.65" hidden="1" customHeight="1">
      <c r="B106" s="328" t="b">
        <f>STATUS_GO="да"</f>
        <v>1</v>
      </c>
      <c r="C106" s="25"/>
      <c r="D106" s="25"/>
      <c r="E106" s="449">
        <v>15</v>
      </c>
      <c r="F106" s="3" cm="1">
        <f t="array" aca="1" ref="F106" ca="1">OFFSET(E106,-1,1)</f>
        <v>0</v>
      </c>
      <c r="G106" s="25" t="s">
        <v>1496</v>
      </c>
      <c r="H106" s="25"/>
      <c r="I106" s="25" t="s">
        <v>2115</v>
      </c>
      <c r="J106" s="25"/>
      <c r="K106" s="72" t="s">
        <v>2115</v>
      </c>
      <c r="L106" s="25"/>
      <c r="M106" s="25"/>
      <c r="N106" s="25"/>
      <c r="O106" s="25"/>
      <c r="P106" s="25"/>
      <c r="Q106" s="25"/>
      <c r="R106" s="25"/>
      <c r="S106" s="25"/>
      <c r="T106" s="351" t="b" cm="1">
        <f t="array" aca="1" ref="T106" ca="1">T105</f>
        <v>0</v>
      </c>
      <c r="U106" s="25"/>
      <c r="V106" s="25"/>
      <c r="W106" s="25"/>
      <c r="X106" s="1046"/>
      <c r="Z106" s="1008"/>
      <c r="AB106" s="7" t="s">
        <v>2116</v>
      </c>
      <c r="AC106" s="134" t="s">
        <v>1496</v>
      </c>
      <c r="AD106" s="7" t="s">
        <v>859</v>
      </c>
      <c r="AE106" s="170">
        <f ca="1">SUMIFS('Сбытовые расходы ГО'!AE$25:AE$51,'Сбытовые расходы ГО'!$F$25:$F$51,$F106,'Сбытовые расходы ГО'!$G$25:$G$51,"l1")</f>
        <v>0</v>
      </c>
      <c r="AF106" s="170">
        <f ca="1">SUMIFS('Сбытовые расходы ГО'!AF$25:AF$51,'Сбытовые расходы ГО'!$F$25:$F$51,$F106,'Сбытовые расходы ГО'!$G$25:$G$51,"l1")</f>
        <v>0</v>
      </c>
      <c r="AG106" s="170">
        <f ca="1">SUMIFS('Сбытовые расходы ГО'!AG$25:AG$51,'Сбытовые расходы ГО'!$F$25:$F$51,$F106,'Сбытовые расходы ГО'!$G$25:$G$51,"l1")</f>
        <v>0</v>
      </c>
      <c r="AH106" s="170">
        <f t="shared" ca="1" si="9"/>
        <v>0</v>
      </c>
      <c r="AI106" s="170">
        <f ca="1">SUMIFS('Сбытовые расходы ГО'!AH$25:AH$51,'Сбытовые расходы ГО'!$F$25:$F$51,$F106,'Сбытовые расходы ГО'!$G$25:$G$51,"l1")</f>
        <v>0</v>
      </c>
      <c r="AJ106" s="170">
        <f ca="1">SUMIFS('Сбытовые расходы ГО'!AI$25:AI$51,'Сбытовые расходы ГО'!$F$25:$F$51,$F106,'Сбытовые расходы ГО'!$G$25:$G$51,"l1")</f>
        <v>0</v>
      </c>
      <c r="AK106" s="128"/>
      <c r="AL106" s="128"/>
      <c r="AM106" s="777"/>
      <c r="AN106" s="777"/>
      <c r="AO106" s="777"/>
      <c r="AP106" s="777"/>
      <c r="AQ106" s="777"/>
      <c r="AR106" s="777"/>
      <c r="AS106" s="777"/>
      <c r="AT106" s="170">
        <f ca="1">SUMIFS('Сбытовые расходы ГО'!AJ$25:AJ$51,'Сбытовые расходы ГО'!$F$25:$F$51,$F106,'Сбытовые расходы ГО'!$G$25:$G$51,"l1")</f>
        <v>0</v>
      </c>
      <c r="AU106" s="128"/>
      <c r="AV106" s="128"/>
      <c r="AW106" s="777"/>
      <c r="AX106" s="777"/>
      <c r="AY106" s="777"/>
      <c r="AZ106" s="777"/>
      <c r="BA106" s="777"/>
      <c r="BB106" s="777"/>
      <c r="BC106" s="777"/>
      <c r="BD106" s="170">
        <f t="shared" ca="1" si="11"/>
        <v>0</v>
      </c>
      <c r="BE106" s="170">
        <f t="shared" ca="1" si="12"/>
        <v>0</v>
      </c>
      <c r="BF106" s="170">
        <f t="shared" si="13"/>
        <v>0</v>
      </c>
      <c r="BG106" s="170">
        <f t="shared" si="14"/>
        <v>0</v>
      </c>
      <c r="BH106" s="170">
        <f t="shared" si="15"/>
        <v>0</v>
      </c>
      <c r="BI106" s="170">
        <f t="shared" si="16"/>
        <v>0</v>
      </c>
      <c r="BJ106" s="170">
        <f t="shared" si="17"/>
        <v>0</v>
      </c>
      <c r="BK106" s="170">
        <f t="shared" si="18"/>
        <v>0</v>
      </c>
      <c r="BL106" s="170">
        <f t="shared" si="19"/>
        <v>0</v>
      </c>
      <c r="BM106" s="170">
        <f t="shared" si="20"/>
        <v>0</v>
      </c>
      <c r="BN106" s="774"/>
      <c r="BO106" s="778" t="str">
        <f ca="1">IF(IFERROR(INDEX('Сбытовые расходы ГО'!$K$26:$M$51,MATCH($F106&amp;"komm",'Сбытовые расходы ГО'!$K$26:$K$51,0),2),"")=0,"",IFERROR(INDEX('Сбытовые расходы ГО'!$K$26:$M$51,MATCH($F106&amp;"komm",'Сбытовые расходы ГО'!$K$26:$K$51,0),2),""))</f>
        <v/>
      </c>
      <c r="BP106" s="774"/>
      <c r="BS106" s="694" t="s">
        <v>2117</v>
      </c>
    </row>
    <row r="107" spans="2:75" ht="14.65" hidden="1" customHeight="1">
      <c r="C107" s="25"/>
      <c r="D107" s="25"/>
      <c r="E107" s="449">
        <v>15</v>
      </c>
      <c r="F107" s="3" cm="1">
        <f t="array" aca="1" ref="F107" ca="1">OFFSET(E107,-1,1)</f>
        <v>0</v>
      </c>
      <c r="G107" s="25" t="s">
        <v>1501</v>
      </c>
      <c r="H107" s="25"/>
      <c r="I107" s="25" t="s">
        <v>2118</v>
      </c>
      <c r="J107" s="25"/>
      <c r="K107" s="72" t="s">
        <v>2118</v>
      </c>
      <c r="L107" s="25"/>
      <c r="M107" s="25"/>
      <c r="N107" s="25"/>
      <c r="O107" s="25"/>
      <c r="P107" s="25"/>
      <c r="Q107" s="25"/>
      <c r="R107" s="25"/>
      <c r="S107" s="25"/>
      <c r="T107" s="351" t="b" cm="1">
        <f t="array" aca="1" ref="T107" ca="1">T106</f>
        <v>0</v>
      </c>
      <c r="U107" s="25"/>
      <c r="V107" s="25"/>
      <c r="W107" s="25"/>
      <c r="X107" s="1046"/>
      <c r="Z107" s="1008"/>
      <c r="AB107" s="7" t="s">
        <v>1559</v>
      </c>
      <c r="AC107" s="127" t="s">
        <v>1501</v>
      </c>
      <c r="AD107" s="7" t="s">
        <v>859</v>
      </c>
      <c r="AE107" s="777"/>
      <c r="AF107" s="777"/>
      <c r="AG107" s="777"/>
      <c r="AH107" s="170">
        <f t="shared" si="9"/>
        <v>0</v>
      </c>
      <c r="AI107" s="777"/>
      <c r="AJ107" s="128">
        <f ca="1">SUMIFS(Экономия_корр!AE$25:AE$43,Экономия_корр!$F$25:$F$43,$F107,Экономия_корр!$AC$25:$AC$43,"Экономия расходов с учетом ИПЦ")</f>
        <v>0</v>
      </c>
      <c r="AK107" s="128">
        <f ca="1">SUMIFS(Экономия_корр!AF$25:AF$43,Экономия_корр!$F$25:$F$43,$F107,Экономия_корр!$AC$25:$AC$43,"Экономия расходов с учетом ИПЦ")</f>
        <v>0</v>
      </c>
      <c r="AL107" s="128">
        <f ca="1">SUMIFS(Экономия_корр!AG$25:AG$43,Экономия_корр!$F$25:$F$43,$F107,Экономия_корр!$AC$25:$AC$43,"Экономия расходов с учетом ИПЦ")</f>
        <v>0</v>
      </c>
      <c r="AM107" s="777">
        <f ca="1">SUMIFS(Экономия_корр!AH$25:AH$43,Экономия_корр!$F$25:$F$43,$F107,Экономия_корр!$AC$25:$AC$43,"Экономия расходов с учетом ИПЦ")</f>
        <v>0</v>
      </c>
      <c r="AN107" s="777">
        <f ca="1">SUMIFS(Экономия_корр!AI$25:AI$43,Экономия_корр!$F$25:$F$43,$F107,Экономия_корр!$AC$25:$AC$43,"Экономия расходов с учетом ИПЦ")</f>
        <v>0</v>
      </c>
      <c r="AO107" s="777">
        <f ca="1">SUMIFS(Экономия_корр!AJ$25:AJ$43,Экономия_корр!$F$25:$F$43,$F107,Экономия_корр!$AC$25:$AC$43,"Экономия расходов с учетом ИПЦ")</f>
        <v>0</v>
      </c>
      <c r="AP107" s="777">
        <f ca="1">SUMIFS(Экономия_корр!AK$25:AK$43,Экономия_корр!$F$25:$F$43,$F107,Экономия_корр!$AC$25:$AC$43,"Экономия расходов с учетом ИПЦ")</f>
        <v>0</v>
      </c>
      <c r="AQ107" s="777">
        <f ca="1">SUMIFS(Экономия_корр!AL$25:AL$43,Экономия_корр!$F$25:$F$43,$F107,Экономия_корр!$AC$25:$AC$43,"Экономия расходов с учетом ИПЦ")</f>
        <v>0</v>
      </c>
      <c r="AR107" s="777">
        <f ca="1">SUMIFS(Экономия_корр!AM$25:AM$43,Экономия_корр!$F$25:$F$43,$F107,Экономия_корр!$AC$25:$AC$43,"Экономия расходов с учетом ИПЦ")</f>
        <v>0</v>
      </c>
      <c r="AS107" s="777">
        <f ca="1">SUMIFS(Экономия_корр!AN$25:AN$43,Экономия_корр!$F$25:$F$43,$F107,Экономия_корр!$AC$25:$AC$43,"Экономия расходов с учетом ИПЦ")</f>
        <v>0</v>
      </c>
      <c r="AT107" s="128">
        <f ca="1">SUMIFS(Экономия_корр!AO$25:AO$43,Экономия_корр!$F$25:$F$43,$F107,Экономия_корр!$AC$25:$AC$43,"Экономия расходов с учетом ИПЦ")</f>
        <v>0</v>
      </c>
      <c r="AU107" s="128">
        <f ca="1">SUMIFS(Экономия_корр!AP$25:AP$43,Экономия_корр!$F$25:$F$43,$F107,Экономия_корр!$AC$25:$AC$43,"Экономия расходов с учетом ИПЦ")</f>
        <v>0</v>
      </c>
      <c r="AV107" s="128">
        <f ca="1">SUMIFS(Экономия_корр!AQ$25:AQ$43,Экономия_корр!$F$25:$F$43,$F107,Экономия_корр!$AC$25:$AC$43,"Экономия расходов с учетом ИПЦ")</f>
        <v>0</v>
      </c>
      <c r="AW107" s="777">
        <f ca="1">SUMIFS(Экономия_корр!AR$25:AR$43,Экономия_корр!$F$25:$F$43,$F107,Экономия_корр!$AC$25:$AC$43,"Экономия расходов с учетом ИПЦ")</f>
        <v>0</v>
      </c>
      <c r="AX107" s="777">
        <f ca="1">SUMIFS(Экономия_корр!AS$25:AS$43,Экономия_корр!$F$25:$F$43,$F107,Экономия_корр!$AC$25:$AC$43,"Экономия расходов с учетом ИПЦ")</f>
        <v>0</v>
      </c>
      <c r="AY107" s="777">
        <f ca="1">SUMIFS(Экономия_корр!AT$25:AT$43,Экономия_корр!$F$25:$F$43,$F107,Экономия_корр!$AC$25:$AC$43,"Экономия расходов с учетом ИПЦ")</f>
        <v>0</v>
      </c>
      <c r="AZ107" s="777">
        <f ca="1">SUMIFS(Экономия_корр!AU$25:AU$43,Экономия_корр!$F$25:$F$43,$F107,Экономия_корр!$AC$25:$AC$43,"Экономия расходов с учетом ИПЦ")</f>
        <v>0</v>
      </c>
      <c r="BA107" s="777">
        <f ca="1">SUMIFS(Экономия_корр!AV$25:AV$43,Экономия_корр!$F$25:$F$43,$F107,Экономия_корр!$AC$25:$AC$43,"Экономия расходов с учетом ИПЦ")</f>
        <v>0</v>
      </c>
      <c r="BB107" s="777">
        <f ca="1">SUMIFS(Экономия_корр!AW$25:AW$43,Экономия_корр!$F$25:$F$43,$F107,Экономия_корр!$AC$25:$AC$43,"Экономия расходов с учетом ИПЦ")</f>
        <v>0</v>
      </c>
      <c r="BC107" s="777">
        <f ca="1">SUMIFS(Экономия_корр!AX$25:AX$43,Экономия_корр!$F$25:$F$43,$F107,Экономия_корр!$AC$25:$AC$43,"Экономия расходов с учетом ИПЦ")</f>
        <v>0</v>
      </c>
      <c r="BD107" s="170">
        <f t="shared" si="11"/>
        <v>0</v>
      </c>
      <c r="BE107" s="170">
        <f t="shared" ca="1" si="12"/>
        <v>0</v>
      </c>
      <c r="BF107" s="170">
        <f t="shared" ca="1" si="13"/>
        <v>0</v>
      </c>
      <c r="BG107" s="170">
        <f t="shared" ca="1" si="14"/>
        <v>0</v>
      </c>
      <c r="BH107" s="170">
        <f t="shared" ca="1" si="15"/>
        <v>0</v>
      </c>
      <c r="BI107" s="170">
        <f t="shared" ca="1" si="16"/>
        <v>0</v>
      </c>
      <c r="BJ107" s="170">
        <f t="shared" ca="1" si="17"/>
        <v>0</v>
      </c>
      <c r="BK107" s="170">
        <f t="shared" ca="1" si="18"/>
        <v>0</v>
      </c>
      <c r="BL107" s="170">
        <f t="shared" ca="1" si="19"/>
        <v>0</v>
      </c>
      <c r="BM107" s="170">
        <f t="shared" ca="1" si="20"/>
        <v>0</v>
      </c>
      <c r="BN107" s="774"/>
      <c r="BO107" s="774"/>
      <c r="BP107" s="774"/>
      <c r="BS107" s="694" t="s">
        <v>2119</v>
      </c>
    </row>
    <row r="108" spans="2:75" ht="14.65" hidden="1" customHeight="1">
      <c r="C108" s="25"/>
      <c r="D108" s="25"/>
      <c r="E108" s="449">
        <v>15</v>
      </c>
      <c r="F108" s="3" cm="1">
        <f t="array" aca="1" ref="F108" ca="1">OFFSET(E108,-1,1)</f>
        <v>0</v>
      </c>
      <c r="G108" s="25" t="s">
        <v>1506</v>
      </c>
      <c r="H108" s="25"/>
      <c r="I108" s="25" t="s">
        <v>2120</v>
      </c>
      <c r="J108" s="25"/>
      <c r="K108" s="72" t="s">
        <v>2120</v>
      </c>
      <c r="L108" s="25"/>
      <c r="M108" s="25"/>
      <c r="N108" s="25"/>
      <c r="O108" s="25"/>
      <c r="P108" s="25"/>
      <c r="Q108" s="25"/>
      <c r="R108" s="25"/>
      <c r="S108" s="25"/>
      <c r="T108" s="351" t="b" cm="1">
        <f t="array" aca="1" ref="T108" ca="1">T107</f>
        <v>0</v>
      </c>
      <c r="U108" s="25"/>
      <c r="V108" s="25"/>
      <c r="W108" s="25"/>
      <c r="X108" s="1046"/>
      <c r="Z108" s="1008"/>
      <c r="AB108" s="7" t="s">
        <v>2121</v>
      </c>
      <c r="AC108" s="127" t="s">
        <v>1506</v>
      </c>
      <c r="AD108" s="7" t="s">
        <v>859</v>
      </c>
      <c r="AE108" s="777"/>
      <c r="AF108" s="777"/>
      <c r="AG108" s="777"/>
      <c r="AH108" s="170">
        <f t="shared" si="9"/>
        <v>0</v>
      </c>
      <c r="AI108" s="777"/>
      <c r="AJ108" s="128"/>
      <c r="AK108" s="128"/>
      <c r="AL108" s="128"/>
      <c r="AM108" s="777"/>
      <c r="AN108" s="777"/>
      <c r="AO108" s="777"/>
      <c r="AP108" s="777"/>
      <c r="AQ108" s="777"/>
      <c r="AR108" s="777"/>
      <c r="AS108" s="777"/>
      <c r="AT108" s="128"/>
      <c r="AU108" s="128"/>
      <c r="AV108" s="128"/>
      <c r="AW108" s="777"/>
      <c r="AX108" s="777"/>
      <c r="AY108" s="777"/>
      <c r="AZ108" s="777"/>
      <c r="BA108" s="777"/>
      <c r="BB108" s="777"/>
      <c r="BC108" s="777"/>
      <c r="BD108" s="170">
        <f t="shared" si="11"/>
        <v>0</v>
      </c>
      <c r="BE108" s="170">
        <f t="shared" si="12"/>
        <v>0</v>
      </c>
      <c r="BF108" s="170">
        <f t="shared" si="13"/>
        <v>0</v>
      </c>
      <c r="BG108" s="170">
        <f t="shared" si="14"/>
        <v>0</v>
      </c>
      <c r="BH108" s="170">
        <f t="shared" si="15"/>
        <v>0</v>
      </c>
      <c r="BI108" s="170">
        <f t="shared" si="16"/>
        <v>0</v>
      </c>
      <c r="BJ108" s="170">
        <f t="shared" si="17"/>
        <v>0</v>
      </c>
      <c r="BK108" s="170">
        <f t="shared" si="18"/>
        <v>0</v>
      </c>
      <c r="BL108" s="170">
        <f t="shared" si="19"/>
        <v>0</v>
      </c>
      <c r="BM108" s="170">
        <f t="shared" si="20"/>
        <v>0</v>
      </c>
      <c r="BN108" s="774"/>
      <c r="BO108" s="774"/>
      <c r="BP108" s="774"/>
      <c r="BS108" s="694" t="s">
        <v>1857</v>
      </c>
    </row>
    <row r="109" spans="2:75" ht="14.65" hidden="1" customHeight="1">
      <c r="C109" s="25"/>
      <c r="D109" s="25"/>
      <c r="E109" s="449">
        <v>15</v>
      </c>
      <c r="F109" s="3" cm="1">
        <f t="array" aca="1" ref="F109" ca="1">OFFSET(E109,-1,1)</f>
        <v>0</v>
      </c>
      <c r="G109" s="25" t="s">
        <v>1511</v>
      </c>
      <c r="H109" s="25"/>
      <c r="I109" s="25" t="s">
        <v>2122</v>
      </c>
      <c r="J109" s="25"/>
      <c r="K109" s="72" t="s">
        <v>2122</v>
      </c>
      <c r="L109" s="25"/>
      <c r="M109" s="25"/>
      <c r="N109" s="25"/>
      <c r="O109" s="25"/>
      <c r="P109" s="25"/>
      <c r="Q109" s="25"/>
      <c r="R109" s="25"/>
      <c r="S109" s="25"/>
      <c r="T109" s="351" t="b" cm="1">
        <f t="array" aca="1" ref="T109" ca="1">T108</f>
        <v>0</v>
      </c>
      <c r="U109" s="25"/>
      <c r="V109" s="25"/>
      <c r="W109" s="25"/>
      <c r="X109" s="1046"/>
      <c r="Z109" s="1008"/>
      <c r="AB109" s="7" t="s">
        <v>1578</v>
      </c>
      <c r="AC109" s="127" t="s">
        <v>1511</v>
      </c>
      <c r="AD109" s="7" t="s">
        <v>859</v>
      </c>
      <c r="AE109" s="777"/>
      <c r="AF109" s="777"/>
      <c r="AG109" s="777"/>
      <c r="AH109" s="170">
        <f t="shared" si="9"/>
        <v>0</v>
      </c>
      <c r="AI109" s="777"/>
      <c r="AJ109" s="128"/>
      <c r="AK109" s="128"/>
      <c r="AL109" s="128"/>
      <c r="AM109" s="777"/>
      <c r="AN109" s="777"/>
      <c r="AO109" s="777"/>
      <c r="AP109" s="777"/>
      <c r="AQ109" s="777"/>
      <c r="AR109" s="777"/>
      <c r="AS109" s="777"/>
      <c r="AT109" s="128"/>
      <c r="AU109" s="128"/>
      <c r="AV109" s="128"/>
      <c r="AW109" s="777"/>
      <c r="AX109" s="777"/>
      <c r="AY109" s="777"/>
      <c r="AZ109" s="777"/>
      <c r="BA109" s="777"/>
      <c r="BB109" s="777"/>
      <c r="BC109" s="777"/>
      <c r="BD109" s="170">
        <f t="shared" si="11"/>
        <v>0</v>
      </c>
      <c r="BE109" s="170">
        <f t="shared" si="12"/>
        <v>0</v>
      </c>
      <c r="BF109" s="170">
        <f t="shared" si="13"/>
        <v>0</v>
      </c>
      <c r="BG109" s="170">
        <f t="shared" si="14"/>
        <v>0</v>
      </c>
      <c r="BH109" s="170">
        <f t="shared" si="15"/>
        <v>0</v>
      </c>
      <c r="BI109" s="170">
        <f t="shared" si="16"/>
        <v>0</v>
      </c>
      <c r="BJ109" s="170">
        <f t="shared" si="17"/>
        <v>0</v>
      </c>
      <c r="BK109" s="170">
        <f t="shared" si="18"/>
        <v>0</v>
      </c>
      <c r="BL109" s="170">
        <f t="shared" si="19"/>
        <v>0</v>
      </c>
      <c r="BM109" s="170">
        <f t="shared" si="20"/>
        <v>0</v>
      </c>
      <c r="BN109" s="774"/>
      <c r="BO109" s="774"/>
      <c r="BP109" s="774"/>
      <c r="BS109" s="694" t="s">
        <v>2123</v>
      </c>
    </row>
    <row r="110" spans="2:75" ht="14.65" hidden="1" customHeight="1">
      <c r="C110" s="25"/>
      <c r="D110" s="25"/>
      <c r="E110" s="449">
        <v>15</v>
      </c>
      <c r="F110" s="3" cm="1">
        <f t="array" aca="1" ref="F110" ca="1">OFFSET(E110,-1,1)</f>
        <v>0</v>
      </c>
      <c r="G110" s="25" t="s">
        <v>1516</v>
      </c>
      <c r="H110" s="25"/>
      <c r="I110" s="25" t="s">
        <v>2124</v>
      </c>
      <c r="J110" s="25"/>
      <c r="K110" s="72" t="s">
        <v>2124</v>
      </c>
      <c r="L110" s="25"/>
      <c r="M110" s="25"/>
      <c r="N110" s="25"/>
      <c r="O110" s="25"/>
      <c r="P110" s="25"/>
      <c r="Q110" s="25"/>
      <c r="R110" s="25"/>
      <c r="S110" s="25"/>
      <c r="T110" s="351" t="b" cm="1">
        <f t="array" aca="1" ref="T110" ca="1">T109</f>
        <v>0</v>
      </c>
      <c r="U110" s="25"/>
      <c r="V110" s="25"/>
      <c r="W110" s="25"/>
      <c r="X110" s="1046"/>
      <c r="Z110" s="1008"/>
      <c r="AB110" s="7" t="s">
        <v>1582</v>
      </c>
      <c r="AC110" s="127" t="s">
        <v>1516</v>
      </c>
      <c r="AD110" s="7" t="s">
        <v>859</v>
      </c>
      <c r="AE110" s="170">
        <f>SUM(AE111,AE112)</f>
        <v>0</v>
      </c>
      <c r="AF110" s="170">
        <f>SUM(AF111,AF112)</f>
        <v>0</v>
      </c>
      <c r="AG110" s="170">
        <f>SUM(AG111,AG112)</f>
        <v>0</v>
      </c>
      <c r="AH110" s="170">
        <f t="shared" si="9"/>
        <v>0</v>
      </c>
      <c r="AI110" s="170">
        <f t="shared" ref="AI110:BC110" si="23">SUM(AI111,AI112)</f>
        <v>0</v>
      </c>
      <c r="AJ110" s="170">
        <f t="shared" si="23"/>
        <v>0</v>
      </c>
      <c r="AK110" s="170">
        <f t="shared" si="23"/>
        <v>0</v>
      </c>
      <c r="AL110" s="170">
        <f t="shared" si="23"/>
        <v>0</v>
      </c>
      <c r="AM110" s="170">
        <f t="shared" si="23"/>
        <v>0</v>
      </c>
      <c r="AN110" s="170">
        <f t="shared" si="23"/>
        <v>0</v>
      </c>
      <c r="AO110" s="170">
        <f t="shared" si="23"/>
        <v>0</v>
      </c>
      <c r="AP110" s="170">
        <f t="shared" si="23"/>
        <v>0</v>
      </c>
      <c r="AQ110" s="170">
        <f t="shared" si="23"/>
        <v>0</v>
      </c>
      <c r="AR110" s="170">
        <f t="shared" si="23"/>
        <v>0</v>
      </c>
      <c r="AS110" s="170">
        <f t="shared" si="23"/>
        <v>0</v>
      </c>
      <c r="AT110" s="170">
        <f t="shared" si="23"/>
        <v>0</v>
      </c>
      <c r="AU110" s="170">
        <f t="shared" si="23"/>
        <v>0</v>
      </c>
      <c r="AV110" s="170">
        <f t="shared" si="23"/>
        <v>0</v>
      </c>
      <c r="AW110" s="170">
        <f t="shared" si="23"/>
        <v>0</v>
      </c>
      <c r="AX110" s="170">
        <f t="shared" si="23"/>
        <v>0</v>
      </c>
      <c r="AY110" s="170">
        <f t="shared" si="23"/>
        <v>0</v>
      </c>
      <c r="AZ110" s="170">
        <f t="shared" si="23"/>
        <v>0</v>
      </c>
      <c r="BA110" s="170">
        <f t="shared" si="23"/>
        <v>0</v>
      </c>
      <c r="BB110" s="170">
        <f t="shared" si="23"/>
        <v>0</v>
      </c>
      <c r="BC110" s="170">
        <f t="shared" si="23"/>
        <v>0</v>
      </c>
      <c r="BD110" s="170">
        <f t="shared" si="11"/>
        <v>0</v>
      </c>
      <c r="BE110" s="170">
        <f t="shared" si="12"/>
        <v>0</v>
      </c>
      <c r="BF110" s="170">
        <f t="shared" si="13"/>
        <v>0</v>
      </c>
      <c r="BG110" s="170">
        <f t="shared" si="14"/>
        <v>0</v>
      </c>
      <c r="BH110" s="170">
        <f t="shared" si="15"/>
        <v>0</v>
      </c>
      <c r="BI110" s="170">
        <f t="shared" si="16"/>
        <v>0</v>
      </c>
      <c r="BJ110" s="170">
        <f t="shared" si="17"/>
        <v>0</v>
      </c>
      <c r="BK110" s="170">
        <f t="shared" si="18"/>
        <v>0</v>
      </c>
      <c r="BL110" s="170">
        <f t="shared" si="19"/>
        <v>0</v>
      </c>
      <c r="BM110" s="170">
        <f t="shared" si="20"/>
        <v>0</v>
      </c>
      <c r="BN110" s="774"/>
      <c r="BO110" s="774"/>
      <c r="BP110" s="774"/>
      <c r="BS110" s="694" t="s">
        <v>2125</v>
      </c>
    </row>
    <row r="111" spans="2:75" ht="14.65" hidden="1" customHeight="1">
      <c r="C111" s="25"/>
      <c r="D111" s="25"/>
      <c r="E111" s="449">
        <v>15</v>
      </c>
      <c r="F111" s="3" cm="1">
        <f t="array" aca="1" ref="F111" ca="1">OFFSET(E111,-1,1)</f>
        <v>0</v>
      </c>
      <c r="G111" s="25"/>
      <c r="H111" s="25"/>
      <c r="I111" s="25" t="s">
        <v>2126</v>
      </c>
      <c r="J111" s="25"/>
      <c r="K111" s="72" t="s">
        <v>2126</v>
      </c>
      <c r="L111" s="25"/>
      <c r="M111" s="25"/>
      <c r="N111" s="25"/>
      <c r="O111" s="25"/>
      <c r="P111" s="25"/>
      <c r="Q111" s="25"/>
      <c r="R111" s="25"/>
      <c r="S111" s="25"/>
      <c r="T111" s="351" t="b" cm="1">
        <f t="array" aca="1" ref="T111" ca="1">T110</f>
        <v>0</v>
      </c>
      <c r="U111" s="25"/>
      <c r="V111" s="25"/>
      <c r="W111" s="25"/>
      <c r="X111" s="1046"/>
      <c r="Z111" s="1008"/>
      <c r="AB111" s="7" t="s">
        <v>2127</v>
      </c>
      <c r="AC111" s="134" t="s">
        <v>2128</v>
      </c>
      <c r="AD111" s="7" t="s">
        <v>859</v>
      </c>
      <c r="AE111" s="777"/>
      <c r="AF111" s="777"/>
      <c r="AG111" s="777"/>
      <c r="AH111" s="170">
        <f t="shared" si="9"/>
        <v>0</v>
      </c>
      <c r="AI111" s="777"/>
      <c r="AJ111" s="128"/>
      <c r="AK111" s="128"/>
      <c r="AL111" s="128"/>
      <c r="AM111" s="777"/>
      <c r="AN111" s="777"/>
      <c r="AO111" s="777"/>
      <c r="AP111" s="777"/>
      <c r="AQ111" s="777"/>
      <c r="AR111" s="777"/>
      <c r="AS111" s="777"/>
      <c r="AT111" s="128"/>
      <c r="AU111" s="128"/>
      <c r="AV111" s="128"/>
      <c r="AW111" s="777"/>
      <c r="AX111" s="777"/>
      <c r="AY111" s="777"/>
      <c r="AZ111" s="777"/>
      <c r="BA111" s="777"/>
      <c r="BB111" s="777"/>
      <c r="BC111" s="777"/>
      <c r="BD111" s="170">
        <f t="shared" si="11"/>
        <v>0</v>
      </c>
      <c r="BE111" s="170">
        <f t="shared" si="12"/>
        <v>0</v>
      </c>
      <c r="BF111" s="170">
        <f t="shared" si="13"/>
        <v>0</v>
      </c>
      <c r="BG111" s="170">
        <f t="shared" si="14"/>
        <v>0</v>
      </c>
      <c r="BH111" s="170">
        <f t="shared" si="15"/>
        <v>0</v>
      </c>
      <c r="BI111" s="170">
        <f t="shared" si="16"/>
        <v>0</v>
      </c>
      <c r="BJ111" s="170">
        <f t="shared" si="17"/>
        <v>0</v>
      </c>
      <c r="BK111" s="170">
        <f t="shared" si="18"/>
        <v>0</v>
      </c>
      <c r="BL111" s="170">
        <f t="shared" si="19"/>
        <v>0</v>
      </c>
      <c r="BM111" s="170">
        <f t="shared" si="20"/>
        <v>0</v>
      </c>
      <c r="BN111" s="774"/>
      <c r="BO111" s="774"/>
      <c r="BP111" s="774"/>
      <c r="BS111" s="694" t="s">
        <v>1282</v>
      </c>
    </row>
    <row r="112" spans="2:75" ht="14.65" hidden="1" customHeight="1">
      <c r="C112" s="25"/>
      <c r="D112" s="25"/>
      <c r="E112" s="449">
        <v>15</v>
      </c>
      <c r="F112" s="3" cm="1">
        <f t="array" aca="1" ref="F112" ca="1">OFFSET(E112,-1,1)</f>
        <v>0</v>
      </c>
      <c r="G112" s="25"/>
      <c r="H112" s="25"/>
      <c r="I112" s="25" t="s">
        <v>2129</v>
      </c>
      <c r="J112" s="25"/>
      <c r="K112" s="72" t="s">
        <v>2129</v>
      </c>
      <c r="L112" s="25" t="s">
        <v>948</v>
      </c>
      <c r="M112" s="25"/>
      <c r="N112" s="25"/>
      <c r="O112" s="25"/>
      <c r="P112" s="25"/>
      <c r="Q112" s="25"/>
      <c r="R112" s="25"/>
      <c r="S112" s="25"/>
      <c r="T112" s="351" t="b" cm="1">
        <f t="array" aca="1" ref="T112" ca="1">T111</f>
        <v>0</v>
      </c>
      <c r="U112" s="25"/>
      <c r="V112" s="25"/>
      <c r="W112" s="25"/>
      <c r="X112" s="1046"/>
      <c r="Z112" s="1008"/>
      <c r="AB112" s="7" t="s">
        <v>2130</v>
      </c>
      <c r="AC112" s="134" t="s">
        <v>2131</v>
      </c>
      <c r="AD112" s="7" t="s">
        <v>859</v>
      </c>
      <c r="AE112" s="777"/>
      <c r="AF112" s="777"/>
      <c r="AG112" s="777"/>
      <c r="AH112" s="170">
        <f t="shared" si="9"/>
        <v>0</v>
      </c>
      <c r="AI112" s="777"/>
      <c r="AJ112" s="128"/>
      <c r="AK112" s="128"/>
      <c r="AL112" s="128"/>
      <c r="AM112" s="777"/>
      <c r="AN112" s="777"/>
      <c r="AO112" s="777"/>
      <c r="AP112" s="777"/>
      <c r="AQ112" s="777"/>
      <c r="AR112" s="777"/>
      <c r="AS112" s="777"/>
      <c r="AT112" s="128"/>
      <c r="AU112" s="128"/>
      <c r="AV112" s="128"/>
      <c r="AW112" s="777"/>
      <c r="AX112" s="777"/>
      <c r="AY112" s="777"/>
      <c r="AZ112" s="777"/>
      <c r="BA112" s="777"/>
      <c r="BB112" s="777"/>
      <c r="BC112" s="777"/>
      <c r="BD112" s="170">
        <f t="shared" si="11"/>
        <v>0</v>
      </c>
      <c r="BE112" s="170">
        <f t="shared" si="12"/>
        <v>0</v>
      </c>
      <c r="BF112" s="170">
        <f t="shared" si="13"/>
        <v>0</v>
      </c>
      <c r="BG112" s="170">
        <f t="shared" si="14"/>
        <v>0</v>
      </c>
      <c r="BH112" s="170">
        <f t="shared" si="15"/>
        <v>0</v>
      </c>
      <c r="BI112" s="170">
        <f t="shared" si="16"/>
        <v>0</v>
      </c>
      <c r="BJ112" s="170">
        <f t="shared" si="17"/>
        <v>0</v>
      </c>
      <c r="BK112" s="170">
        <f t="shared" si="18"/>
        <v>0</v>
      </c>
      <c r="BL112" s="170">
        <f t="shared" si="19"/>
        <v>0</v>
      </c>
      <c r="BM112" s="170">
        <f t="shared" si="20"/>
        <v>0</v>
      </c>
      <c r="BN112" s="774"/>
      <c r="BO112" s="774"/>
      <c r="BP112" s="774"/>
      <c r="BS112" s="694" t="s">
        <v>2132</v>
      </c>
    </row>
    <row r="113" spans="2:75" ht="21.95" hidden="1" customHeight="1">
      <c r="C113" s="25"/>
      <c r="D113" s="25"/>
      <c r="E113" s="449">
        <v>22.5</v>
      </c>
      <c r="F113" s="3" cm="1">
        <f t="array" aca="1" ref="F113" ca="1">OFFSET(E113,-1,1)</f>
        <v>0</v>
      </c>
      <c r="G113" s="25" t="s">
        <v>1521</v>
      </c>
      <c r="H113" s="25"/>
      <c r="I113" s="25" t="s">
        <v>2133</v>
      </c>
      <c r="J113" s="25"/>
      <c r="K113" s="72" t="s">
        <v>2133</v>
      </c>
      <c r="L113" s="25"/>
      <c r="M113" s="25"/>
      <c r="N113" s="25"/>
      <c r="O113" s="25"/>
      <c r="P113" s="25"/>
      <c r="Q113" s="25"/>
      <c r="R113" s="25"/>
      <c r="S113" s="25"/>
      <c r="T113" s="351" t="b" cm="1">
        <f t="array" aca="1" ref="T113" ca="1">T112</f>
        <v>0</v>
      </c>
      <c r="U113" s="25"/>
      <c r="V113" s="25"/>
      <c r="W113" s="25"/>
      <c r="X113" s="1046"/>
      <c r="Z113" s="1008"/>
      <c r="AB113" s="7" t="s">
        <v>1585</v>
      </c>
      <c r="AC113" s="127" t="s">
        <v>2134</v>
      </c>
      <c r="AD113" s="7" t="s">
        <v>859</v>
      </c>
      <c r="AE113" s="777"/>
      <c r="AF113" s="777"/>
      <c r="AG113" s="777"/>
      <c r="AH113" s="170">
        <f t="shared" si="9"/>
        <v>0</v>
      </c>
      <c r="AI113" s="777"/>
      <c r="AJ113" s="128"/>
      <c r="AK113" s="128"/>
      <c r="AL113" s="128"/>
      <c r="AM113" s="777"/>
      <c r="AN113" s="777"/>
      <c r="AO113" s="777"/>
      <c r="AP113" s="777"/>
      <c r="AQ113" s="777"/>
      <c r="AR113" s="777"/>
      <c r="AS113" s="777"/>
      <c r="AT113" s="128"/>
      <c r="AU113" s="128"/>
      <c r="AV113" s="128"/>
      <c r="AW113" s="777"/>
      <c r="AX113" s="777"/>
      <c r="AY113" s="777"/>
      <c r="AZ113" s="777"/>
      <c r="BA113" s="777"/>
      <c r="BB113" s="777"/>
      <c r="BC113" s="777"/>
      <c r="BD113" s="170">
        <f t="shared" si="11"/>
        <v>0</v>
      </c>
      <c r="BE113" s="170">
        <f t="shared" si="12"/>
        <v>0</v>
      </c>
      <c r="BF113" s="170">
        <f t="shared" si="13"/>
        <v>0</v>
      </c>
      <c r="BG113" s="170">
        <f t="shared" si="14"/>
        <v>0</v>
      </c>
      <c r="BH113" s="170">
        <f t="shared" si="15"/>
        <v>0</v>
      </c>
      <c r="BI113" s="170">
        <f t="shared" si="16"/>
        <v>0</v>
      </c>
      <c r="BJ113" s="170">
        <f t="shared" si="17"/>
        <v>0</v>
      </c>
      <c r="BK113" s="170">
        <f t="shared" si="18"/>
        <v>0</v>
      </c>
      <c r="BL113" s="170">
        <f t="shared" si="19"/>
        <v>0</v>
      </c>
      <c r="BM113" s="170">
        <f t="shared" si="20"/>
        <v>0</v>
      </c>
      <c r="BN113" s="774"/>
      <c r="BO113" s="774"/>
      <c r="BP113" s="774"/>
      <c r="BS113" s="694" t="s">
        <v>2135</v>
      </c>
    </row>
    <row r="114" spans="2:75" s="76" customFormat="1" ht="20.45" hidden="1" customHeight="1">
      <c r="B114" s="331"/>
      <c r="C114" s="27"/>
      <c r="D114" s="27"/>
      <c r="E114" s="557">
        <v>21</v>
      </c>
      <c r="F114" s="3" cm="1">
        <f t="array" aca="1" ref="F114" ca="1">OFFSET(E114,-1,1)</f>
        <v>0</v>
      </c>
      <c r="G114" s="25" t="s">
        <v>2136</v>
      </c>
      <c r="H114" s="25"/>
      <c r="I114" s="25" t="s">
        <v>323</v>
      </c>
      <c r="J114" s="27"/>
      <c r="K114" s="72" t="s">
        <v>323</v>
      </c>
      <c r="L114" s="27" t="s">
        <v>1378</v>
      </c>
      <c r="M114" s="27"/>
      <c r="N114" s="27"/>
      <c r="O114" s="27"/>
      <c r="P114" s="27"/>
      <c r="Q114" s="27"/>
      <c r="R114" s="27"/>
      <c r="S114" s="27"/>
      <c r="T114" s="351" t="b" cm="1">
        <f t="array" aca="1" ref="T114" ca="1">T113</f>
        <v>0</v>
      </c>
      <c r="U114" s="27"/>
      <c r="V114" s="27"/>
      <c r="W114" s="27"/>
      <c r="X114" s="1046"/>
      <c r="Z114" s="1008"/>
      <c r="AB114" s="124" t="s">
        <v>319</v>
      </c>
      <c r="AC114" s="125" t="s">
        <v>2137</v>
      </c>
      <c r="AD114" s="124" t="s">
        <v>859</v>
      </c>
      <c r="AE114" s="126">
        <f ca="1">SUMIFS(ЭЭ!AE$25:AE$74,ЭЭ!$F$25:$F$74,$F114,ЭЭ!$AC$25:$AC$74,"Всего по тарифу")</f>
        <v>0</v>
      </c>
      <c r="AF114" s="126">
        <f ca="1">SUMIFS(ЭЭ!AF$25:AF$74,ЭЭ!$F$25:$F$74,$F114,ЭЭ!$AC$25:$AC$74,"Всего по тарифу")</f>
        <v>0</v>
      </c>
      <c r="AG114" s="126">
        <f ca="1">SUMIFS(ЭЭ!AG$25:AG$74,ЭЭ!$F$25:$F$74,$F114,ЭЭ!$AC$25:$AC$74,"Всего по тарифу")</f>
        <v>0</v>
      </c>
      <c r="AH114" s="126">
        <f t="shared" ca="1" si="9"/>
        <v>0</v>
      </c>
      <c r="AI114" s="126">
        <f ca="1">SUMIFS(ЭЭ!AH$25:AH$74,ЭЭ!$F$25:$F$74,$F114,ЭЭ!$AC$25:$AC$74,"Всего по тарифу")</f>
        <v>0</v>
      </c>
      <c r="AJ114" s="126">
        <f ca="1">SUMIFS(ЭЭ!AI$25:AI$74,ЭЭ!$F$25:$F$74,$F114,ЭЭ!$AC$25:$AC$74,"Всего по тарифу")</f>
        <v>0</v>
      </c>
      <c r="AK114" s="126">
        <f ca="1">SUMIFS(ЭЭ!AJ$25:AJ$74,ЭЭ!$F$25:$F$74,$F114,ЭЭ!$AC$25:$AC$74,"Всего по тарифу")</f>
        <v>0</v>
      </c>
      <c r="AL114" s="126">
        <f ca="1">SUMIFS(ЭЭ!AK$25:AK$74,ЭЭ!$F$25:$F$74,$F114,ЭЭ!$AC$25:$AC$74,"Всего по тарифу")</f>
        <v>0</v>
      </c>
      <c r="AM114" s="126">
        <f ca="1">SUMIFS(ЭЭ!AL$25:AL$74,ЭЭ!$F$25:$F$74,$F114,ЭЭ!$AC$25:$AC$74,"Всего по тарифу")</f>
        <v>0</v>
      </c>
      <c r="AN114" s="126">
        <f ca="1">SUMIFS(ЭЭ!AM$25:AM$74,ЭЭ!$F$25:$F$74,$F114,ЭЭ!$AC$25:$AC$74,"Всего по тарифу")</f>
        <v>0</v>
      </c>
      <c r="AO114" s="126">
        <f ca="1">SUMIFS(ЭЭ!AN$25:AN$74,ЭЭ!$F$25:$F$74,$F114,ЭЭ!$AC$25:$AC$74,"Всего по тарифу")</f>
        <v>0</v>
      </c>
      <c r="AP114" s="126">
        <f ca="1">SUMIFS(ЭЭ!AO$25:AO$74,ЭЭ!$F$25:$F$74,$F114,ЭЭ!$AC$25:$AC$74,"Всего по тарифу")</f>
        <v>0</v>
      </c>
      <c r="AQ114" s="126">
        <f ca="1">SUMIFS(ЭЭ!AP$25:AP$74,ЭЭ!$F$25:$F$74,$F114,ЭЭ!$AC$25:$AC$74,"Всего по тарифу")</f>
        <v>0</v>
      </c>
      <c r="AR114" s="126">
        <f ca="1">SUMIFS(ЭЭ!AQ$25:AQ$74,ЭЭ!$F$25:$F$74,$F114,ЭЭ!$AC$25:$AC$74,"Всего по тарифу")</f>
        <v>0</v>
      </c>
      <c r="AS114" s="126">
        <f ca="1">SUMIFS(ЭЭ!AR$25:AR$74,ЭЭ!$F$25:$F$74,$F114,ЭЭ!$AC$25:$AC$74,"Всего по тарифу")</f>
        <v>0</v>
      </c>
      <c r="AT114" s="126">
        <f ca="1">SUMIFS(ЭЭ!AS$25:AS$74,ЭЭ!$F$25:$F$74,$F114,ЭЭ!$AC$25:$AC$74,"Всего по тарифу")</f>
        <v>0</v>
      </c>
      <c r="AU114" s="126">
        <f ca="1">SUMIFS(ЭЭ!AT$25:AT$74,ЭЭ!$F$25:$F$74,$F114,ЭЭ!$AC$25:$AC$74,"Всего по тарифу")</f>
        <v>0</v>
      </c>
      <c r="AV114" s="126">
        <f ca="1">SUMIFS(ЭЭ!AU$25:AU$74,ЭЭ!$F$25:$F$74,$F114,ЭЭ!$AC$25:$AC$74,"Всего по тарифу")</f>
        <v>0</v>
      </c>
      <c r="AW114" s="126">
        <f ca="1">SUMIFS(ЭЭ!AV$25:AV$74,ЭЭ!$F$25:$F$74,$F114,ЭЭ!$AC$25:$AC$74,"Всего по тарифу")</f>
        <v>0</v>
      </c>
      <c r="AX114" s="126">
        <f ca="1">SUMIFS(ЭЭ!AW$25:AW$74,ЭЭ!$F$25:$F$74,$F114,ЭЭ!$AC$25:$AC$74,"Всего по тарифу")</f>
        <v>0</v>
      </c>
      <c r="AY114" s="126">
        <f ca="1">SUMIFS(ЭЭ!AX$25:AX$74,ЭЭ!$F$25:$F$74,$F114,ЭЭ!$AC$25:$AC$74,"Всего по тарифу")</f>
        <v>0</v>
      </c>
      <c r="AZ114" s="126">
        <f ca="1">SUMIFS(ЭЭ!AY$25:AY$74,ЭЭ!$F$25:$F$74,$F114,ЭЭ!$AC$25:$AC$74,"Всего по тарифу")</f>
        <v>0</v>
      </c>
      <c r="BA114" s="126">
        <f ca="1">SUMIFS(ЭЭ!AZ$25:AZ$74,ЭЭ!$F$25:$F$74,$F114,ЭЭ!$AC$25:$AC$74,"Всего по тарифу")</f>
        <v>0</v>
      </c>
      <c r="BB114" s="126">
        <f ca="1">SUMIFS(ЭЭ!BA$25:BA$74,ЭЭ!$F$25:$F$74,$F114,ЭЭ!$AC$25:$AC$74,"Всего по тарифу")</f>
        <v>0</v>
      </c>
      <c r="BC114" s="126">
        <f ca="1">SUMIFS(ЭЭ!BB$25:BB$74,ЭЭ!$F$25:$F$74,$F114,ЭЭ!$AC$25:$AC$74,"Всего по тарифу")</f>
        <v>0</v>
      </c>
      <c r="BD114" s="126">
        <f t="shared" ca="1" si="11"/>
        <v>0</v>
      </c>
      <c r="BE114" s="126">
        <f t="shared" ca="1" si="12"/>
        <v>0</v>
      </c>
      <c r="BF114" s="126">
        <f t="shared" ca="1" si="13"/>
        <v>0</v>
      </c>
      <c r="BG114" s="126">
        <f t="shared" ca="1" si="14"/>
        <v>0</v>
      </c>
      <c r="BH114" s="126">
        <f t="shared" ca="1" si="15"/>
        <v>0</v>
      </c>
      <c r="BI114" s="126">
        <f t="shared" ca="1" si="16"/>
        <v>0</v>
      </c>
      <c r="BJ114" s="126">
        <f t="shared" ca="1" si="17"/>
        <v>0</v>
      </c>
      <c r="BK114" s="126">
        <f t="shared" ca="1" si="18"/>
        <v>0</v>
      </c>
      <c r="BL114" s="126">
        <f t="shared" ca="1" si="19"/>
        <v>0</v>
      </c>
      <c r="BM114" s="126">
        <f t="shared" ca="1" si="20"/>
        <v>0</v>
      </c>
      <c r="BN114" s="774"/>
      <c r="BO114" s="778" t="str">
        <f ca="1">IF(IFERROR(INDEX(ЭЭ!$K$26:$L$74,MATCH($F114&amp;"komm",ЭЭ!$K$26:$K$74,0),2),"")=0,"",IFERROR(INDEX(ЭЭ!$K$26:$L$74,MATCH($F114&amp;"komm",ЭЭ!$K$26:$K$74,0),2),""))</f>
        <v/>
      </c>
      <c r="BP114" s="774"/>
      <c r="BS114" s="700" t="s">
        <v>1751</v>
      </c>
      <c r="BT114" s="700"/>
      <c r="BU114" s="700"/>
      <c r="BV114" s="509"/>
      <c r="BW114" s="509"/>
    </row>
    <row r="115" spans="2:75" s="76" customFormat="1" ht="21.95" hidden="1" customHeight="1">
      <c r="B115" s="76" t="b">
        <f>method_reg="Метод индексации"</f>
        <v>1</v>
      </c>
      <c r="C115" s="27"/>
      <c r="D115" s="27"/>
      <c r="E115" s="557">
        <v>22.5</v>
      </c>
      <c r="F115" s="3" cm="1">
        <f t="array" aca="1" ref="F115" ca="1">OFFSET(E115,-1,1)</f>
        <v>0</v>
      </c>
      <c r="G115" s="25" t="s">
        <v>1543</v>
      </c>
      <c r="H115" s="25"/>
      <c r="I115" s="25" t="s">
        <v>325</v>
      </c>
      <c r="J115" s="27"/>
      <c r="K115" s="72"/>
      <c r="L115" s="27" t="s">
        <v>324</v>
      </c>
      <c r="M115" s="27"/>
      <c r="N115" s="27"/>
      <c r="O115" s="27"/>
      <c r="P115" s="27"/>
      <c r="Q115" s="27"/>
      <c r="R115" s="27"/>
      <c r="S115" s="27"/>
      <c r="T115" s="351" t="b" cm="1">
        <f t="array" aca="1" ref="T115" ca="1">T114</f>
        <v>0</v>
      </c>
      <c r="U115" s="27"/>
      <c r="V115" s="27"/>
      <c r="W115" s="27"/>
      <c r="X115" s="1046"/>
      <c r="Z115" s="1008"/>
      <c r="AB115" s="124" t="s">
        <v>438</v>
      </c>
      <c r="AC115" s="125" t="s">
        <v>2138</v>
      </c>
      <c r="AD115" s="124" t="s">
        <v>859</v>
      </c>
      <c r="AE115" s="126">
        <f ca="1">SUMIFS(Амортизация!AE$25:AE$125,Амортизация!$F$25:$F$125,$F115,Амортизация!$AC$25:$AC$125,"Сумма амортизационных отчислений")</f>
        <v>0</v>
      </c>
      <c r="AF115" s="126">
        <f ca="1">SUMIFS(Амортизация!AF$25:AF$125,Амортизация!$F$25:$F$125,$F115,Амортизация!$AC$25:$AC$125,"Сумма амортизационных отчислений")</f>
        <v>0</v>
      </c>
      <c r="AG115" s="126">
        <f ca="1">SUMIFS(Амортизация!AG$25:AG$125,Амортизация!$F$25:$F$125,$F115,Амортизация!$AC$25:$AC$125,"Сумма амортизационных отчислений")</f>
        <v>0</v>
      </c>
      <c r="AH115" s="126">
        <f t="shared" ca="1" si="9"/>
        <v>0</v>
      </c>
      <c r="AI115" s="126">
        <f ca="1">SUMIFS(Амортизация!AH$25:AH$125,Амортизация!$F$25:$F$125,$F115,Амортизация!$AC$25:$AC$125,"Сумма амортизационных отчислений")</f>
        <v>0</v>
      </c>
      <c r="AJ115" s="126">
        <f ca="1">SUMIFS(Амортизация!AI$25:AI$125,Амортизация!$F$25:$F$125,$F115,Амортизация!$AC$25:$AC$125,"Сумма амортизационных отчислений")</f>
        <v>0</v>
      </c>
      <c r="AK115" s="126">
        <f ca="1">SUMIFS(Амортизация!AJ$25:AJ$125,Амортизация!$F$25:$F$125,$F115,Амортизация!$AC$25:$AC$125,"Сумма амортизационных отчислений")</f>
        <v>0</v>
      </c>
      <c r="AL115" s="126">
        <f ca="1">SUMIFS(Амортизация!AK$25:AK$125,Амортизация!$F$25:$F$125,$F115,Амортизация!$AC$25:$AC$125,"Сумма амортизационных отчислений")</f>
        <v>0</v>
      </c>
      <c r="AM115" s="126">
        <f ca="1">SUMIFS(Амортизация!AL$25:AL$125,Амортизация!$F$25:$F$125,$F115,Амортизация!$AC$25:$AC$125,"Сумма амортизационных отчислений")</f>
        <v>0</v>
      </c>
      <c r="AN115" s="126">
        <f ca="1">SUMIFS(Амортизация!AM$25:AM$125,Амортизация!$F$25:$F$125,$F115,Амортизация!$AC$25:$AC$125,"Сумма амортизационных отчислений")</f>
        <v>0</v>
      </c>
      <c r="AO115" s="126">
        <f ca="1">SUMIFS(Амортизация!AN$25:AN$125,Амортизация!$F$25:$F$125,$F115,Амортизация!$AC$25:$AC$125,"Сумма амортизационных отчислений")</f>
        <v>0</v>
      </c>
      <c r="AP115" s="126">
        <f ca="1">SUMIFS(Амортизация!AO$25:AO$125,Амортизация!$F$25:$F$125,$F115,Амортизация!$AC$25:$AC$125,"Сумма амортизационных отчислений")</f>
        <v>0</v>
      </c>
      <c r="AQ115" s="126">
        <f ca="1">SUMIFS(Амортизация!AP$25:AP$125,Амортизация!$F$25:$F$125,$F115,Амортизация!$AC$25:$AC$125,"Сумма амортизационных отчислений")</f>
        <v>0</v>
      </c>
      <c r="AR115" s="126">
        <f ca="1">SUMIFS(Амортизация!AQ$25:AQ$125,Амортизация!$F$25:$F$125,$F115,Амортизация!$AC$25:$AC$125,"Сумма амортизационных отчислений")</f>
        <v>0</v>
      </c>
      <c r="AS115" s="126">
        <f ca="1">SUMIFS(Амортизация!AR$25:AR$125,Амортизация!$F$25:$F$125,$F115,Амортизация!$AC$25:$AC$125,"Сумма амортизационных отчислений")</f>
        <v>0</v>
      </c>
      <c r="AT115" s="126">
        <f ca="1">SUMIFS(Амортизация!AS$25:AS$125,Амортизация!$F$25:$F$125,$F115,Амортизация!$AC$25:$AC$125,"Сумма амортизационных отчислений")</f>
        <v>0</v>
      </c>
      <c r="AU115" s="126">
        <f ca="1">SUMIFS(Амортизация!AT$25:AT$125,Амортизация!$F$25:$F$125,$F115,Амортизация!$AC$25:$AC$125,"Сумма амортизационных отчислений")</f>
        <v>0</v>
      </c>
      <c r="AV115" s="126">
        <f ca="1">SUMIFS(Амортизация!AU$25:AU$125,Амортизация!$F$25:$F$125,$F115,Амортизация!$AC$25:$AC$125,"Сумма амортизационных отчислений")</f>
        <v>0</v>
      </c>
      <c r="AW115" s="126">
        <f ca="1">SUMIFS(Амортизация!AV$25:AV$125,Амортизация!$F$25:$F$125,$F115,Амортизация!$AC$25:$AC$125,"Сумма амортизационных отчислений")</f>
        <v>0</v>
      </c>
      <c r="AX115" s="126">
        <f ca="1">SUMIFS(Амортизация!AW$25:AW$125,Амортизация!$F$25:$F$125,$F115,Амортизация!$AC$25:$AC$125,"Сумма амортизационных отчислений")</f>
        <v>0</v>
      </c>
      <c r="AY115" s="126">
        <f ca="1">SUMIFS(Амортизация!AX$25:AX$125,Амортизация!$F$25:$F$125,$F115,Амортизация!$AC$25:$AC$125,"Сумма амортизационных отчислений")</f>
        <v>0</v>
      </c>
      <c r="AZ115" s="126">
        <f ca="1">SUMIFS(Амортизация!AY$25:AY$125,Амортизация!$F$25:$F$125,$F115,Амортизация!$AC$25:$AC$125,"Сумма амортизационных отчислений")</f>
        <v>0</v>
      </c>
      <c r="BA115" s="126">
        <f ca="1">SUMIFS(Амортизация!AZ$25:AZ$125,Амортизация!$F$25:$F$125,$F115,Амортизация!$AC$25:$AC$125,"Сумма амортизационных отчислений")</f>
        <v>0</v>
      </c>
      <c r="BB115" s="126">
        <f ca="1">SUMIFS(Амортизация!BA$25:BA$125,Амортизация!$F$25:$F$125,$F115,Амортизация!$AC$25:$AC$125,"Сумма амортизационных отчислений")</f>
        <v>0</v>
      </c>
      <c r="BC115" s="126">
        <f ca="1">SUMIFS(Амортизация!BB$25:BB$125,Амортизация!$F$25:$F$125,$F115,Амортизация!$AC$25:$AC$125,"Сумма амортизационных отчислений")</f>
        <v>0</v>
      </c>
      <c r="BD115" s="126">
        <f t="shared" ca="1" si="11"/>
        <v>0</v>
      </c>
      <c r="BE115" s="126">
        <f t="shared" ca="1" si="12"/>
        <v>0</v>
      </c>
      <c r="BF115" s="126">
        <f t="shared" ca="1" si="13"/>
        <v>0</v>
      </c>
      <c r="BG115" s="126">
        <f t="shared" ca="1" si="14"/>
        <v>0</v>
      </c>
      <c r="BH115" s="126">
        <f t="shared" ca="1" si="15"/>
        <v>0</v>
      </c>
      <c r="BI115" s="126">
        <f t="shared" ca="1" si="16"/>
        <v>0</v>
      </c>
      <c r="BJ115" s="126">
        <f t="shared" ca="1" si="17"/>
        <v>0</v>
      </c>
      <c r="BK115" s="126">
        <f t="shared" ca="1" si="18"/>
        <v>0</v>
      </c>
      <c r="BL115" s="126">
        <f t="shared" ca="1" si="19"/>
        <v>0</v>
      </c>
      <c r="BM115" s="126">
        <f t="shared" ca="1" si="20"/>
        <v>0</v>
      </c>
      <c r="BN115" s="774"/>
      <c r="BO115" s="778" t="str">
        <f ca="1">IF(IFERROR(INDEX(Амортизация!$K$26:$L$125,MATCH($F115&amp;"komm",Амортизация!$K$26:$K$125,0),2),"")=0,"",IFERROR(INDEX(Амортизация!$K$26:$L$125,MATCH($F115&amp;"komm",Амортизация!$K$26:$K$125,0),2),""))</f>
        <v/>
      </c>
      <c r="BP115" s="774"/>
      <c r="BS115" s="700" t="s">
        <v>1242</v>
      </c>
      <c r="BT115" s="700"/>
      <c r="BU115" s="700"/>
      <c r="BV115" s="509"/>
      <c r="BW115" s="509"/>
    </row>
    <row r="116" spans="2:75" ht="14.65" hidden="1" customHeight="1">
      <c r="B116" s="328" t="b" cm="1">
        <f t="array" ref="B116">B115</f>
        <v>1</v>
      </c>
      <c r="C116" s="25"/>
      <c r="D116" s="25"/>
      <c r="E116" s="449">
        <v>15</v>
      </c>
      <c r="F116" s="3" cm="1">
        <f t="array" aca="1" ref="F116" ca="1">OFFSET(E116,-1,1)</f>
        <v>0</v>
      </c>
      <c r="G116" s="25"/>
      <c r="H116" s="25"/>
      <c r="I116" s="25" t="s">
        <v>587</v>
      </c>
      <c r="J116" s="25"/>
      <c r="L116" s="25" t="s">
        <v>601</v>
      </c>
      <c r="M116" s="25"/>
      <c r="N116" s="25"/>
      <c r="O116" s="25"/>
      <c r="P116" s="25"/>
      <c r="Q116" s="25"/>
      <c r="R116" s="25"/>
      <c r="S116" s="25"/>
      <c r="T116" s="351" t="b" cm="1">
        <f t="array" aca="1" ref="T116" ca="1">T115</f>
        <v>0</v>
      </c>
      <c r="U116" s="25"/>
      <c r="V116" s="25"/>
      <c r="W116" s="25"/>
      <c r="X116" s="1046"/>
      <c r="Z116" s="1008"/>
      <c r="AB116" s="7" t="s">
        <v>722</v>
      </c>
      <c r="AC116" s="127" t="s">
        <v>1844</v>
      </c>
      <c r="AD116" s="7" t="s">
        <v>859</v>
      </c>
      <c r="AE116" s="777">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777">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777">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70">
        <f t="shared" ca="1" si="9"/>
        <v>0</v>
      </c>
      <c r="AI116" s="777">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28">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28">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28">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777">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777">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777">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777">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777">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777">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777">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28">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28">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28">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777">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777">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777">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777">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777">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777">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777">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70">
        <f t="shared" ca="1" si="11"/>
        <v>0</v>
      </c>
      <c r="BE116" s="170">
        <f t="shared" ca="1" si="12"/>
        <v>0</v>
      </c>
      <c r="BF116" s="170">
        <f t="shared" ca="1" si="13"/>
        <v>0</v>
      </c>
      <c r="BG116" s="170">
        <f t="shared" ca="1" si="14"/>
        <v>0</v>
      </c>
      <c r="BH116" s="170">
        <f t="shared" ca="1" si="15"/>
        <v>0</v>
      </c>
      <c r="BI116" s="170">
        <f t="shared" ca="1" si="16"/>
        <v>0</v>
      </c>
      <c r="BJ116" s="170">
        <f t="shared" ca="1" si="17"/>
        <v>0</v>
      </c>
      <c r="BK116" s="170">
        <f t="shared" ca="1" si="18"/>
        <v>0</v>
      </c>
      <c r="BL116" s="170">
        <f t="shared" ca="1" si="19"/>
        <v>0</v>
      </c>
      <c r="BM116" s="170">
        <f t="shared" ca="1" si="20"/>
        <v>0</v>
      </c>
      <c r="BN116" s="774"/>
      <c r="BO116" s="774"/>
      <c r="BP116" s="774"/>
      <c r="BS116" s="694" t="s">
        <v>1845</v>
      </c>
    </row>
    <row r="117" spans="2:75" s="76" customFormat="1" ht="20.45" hidden="1" customHeight="1">
      <c r="B117" s="328" t="b" cm="1">
        <f t="array" ref="B117">B116</f>
        <v>1</v>
      </c>
      <c r="C117" s="27"/>
      <c r="D117" s="27"/>
      <c r="E117" s="557">
        <v>21</v>
      </c>
      <c r="F117" s="3" cm="1">
        <f t="array" aca="1" ref="F117" ca="1">OFFSET(E117,-1,1)</f>
        <v>0</v>
      </c>
      <c r="G117" s="25" t="s">
        <v>1547</v>
      </c>
      <c r="H117" s="25"/>
      <c r="I117" s="25" t="s">
        <v>324</v>
      </c>
      <c r="J117" s="27"/>
      <c r="K117" s="72"/>
      <c r="L117" s="27" t="s">
        <v>613</v>
      </c>
      <c r="M117" s="27"/>
      <c r="N117" s="27"/>
      <c r="O117" s="27"/>
      <c r="P117" s="27"/>
      <c r="Q117" s="27"/>
      <c r="R117" s="27"/>
      <c r="S117" s="27"/>
      <c r="T117" s="351" t="b" cm="1">
        <f t="array" aca="1" ref="T117" ca="1">T116</f>
        <v>0</v>
      </c>
      <c r="U117" s="27"/>
      <c r="V117" s="27"/>
      <c r="W117" s="27"/>
      <c r="X117" s="1046"/>
      <c r="Z117" s="1008"/>
      <c r="AB117" s="124" t="s">
        <v>440</v>
      </c>
      <c r="AC117" s="125" t="s">
        <v>1547</v>
      </c>
      <c r="AD117" s="147" t="s">
        <v>859</v>
      </c>
      <c r="AE117" s="126">
        <f ca="1">AE118+AE119+AE120+AE121</f>
        <v>0</v>
      </c>
      <c r="AF117" s="126">
        <f ca="1">AF118+AF119+AF120+AF121</f>
        <v>0</v>
      </c>
      <c r="AG117" s="126">
        <f ca="1">AG118+AG119+AG120+AG121</f>
        <v>0</v>
      </c>
      <c r="AH117" s="126">
        <f t="shared" ca="1" si="9"/>
        <v>0</v>
      </c>
      <c r="AI117" s="126">
        <f t="shared" ref="AI117:BC117" ca="1" si="24">AI118+AI119+AI120+AI121</f>
        <v>0</v>
      </c>
      <c r="AJ117" s="126">
        <f t="shared" ca="1" si="24"/>
        <v>0</v>
      </c>
      <c r="AK117" s="126">
        <f t="shared" ca="1" si="24"/>
        <v>0</v>
      </c>
      <c r="AL117" s="126">
        <f t="shared" ca="1" si="24"/>
        <v>0</v>
      </c>
      <c r="AM117" s="126">
        <f t="shared" ca="1" si="24"/>
        <v>0</v>
      </c>
      <c r="AN117" s="126">
        <f t="shared" ca="1" si="24"/>
        <v>0</v>
      </c>
      <c r="AO117" s="126">
        <f t="shared" ca="1" si="24"/>
        <v>0</v>
      </c>
      <c r="AP117" s="126">
        <f t="shared" ca="1" si="24"/>
        <v>0</v>
      </c>
      <c r="AQ117" s="126">
        <f t="shared" ca="1" si="24"/>
        <v>0</v>
      </c>
      <c r="AR117" s="126">
        <f t="shared" ca="1" si="24"/>
        <v>0</v>
      </c>
      <c r="AS117" s="126">
        <f t="shared" ca="1" si="24"/>
        <v>0</v>
      </c>
      <c r="AT117" s="126">
        <f t="shared" ca="1" si="24"/>
        <v>0</v>
      </c>
      <c r="AU117" s="126">
        <f t="shared" ca="1" si="24"/>
        <v>0</v>
      </c>
      <c r="AV117" s="126">
        <f t="shared" ca="1" si="24"/>
        <v>0</v>
      </c>
      <c r="AW117" s="126">
        <f t="shared" ca="1" si="24"/>
        <v>0</v>
      </c>
      <c r="AX117" s="126">
        <f t="shared" ca="1" si="24"/>
        <v>0</v>
      </c>
      <c r="AY117" s="126">
        <f t="shared" ca="1" si="24"/>
        <v>0</v>
      </c>
      <c r="AZ117" s="126">
        <f t="shared" ca="1" si="24"/>
        <v>0</v>
      </c>
      <c r="BA117" s="126">
        <f t="shared" ca="1" si="24"/>
        <v>0</v>
      </c>
      <c r="BB117" s="126">
        <f t="shared" ca="1" si="24"/>
        <v>0</v>
      </c>
      <c r="BC117" s="126">
        <f t="shared" ca="1" si="24"/>
        <v>0</v>
      </c>
      <c r="BD117" s="126">
        <f t="shared" ca="1" si="11"/>
        <v>0</v>
      </c>
      <c r="BE117" s="126">
        <f t="shared" ca="1" si="12"/>
        <v>0</v>
      </c>
      <c r="BF117" s="126">
        <f t="shared" ca="1" si="13"/>
        <v>0</v>
      </c>
      <c r="BG117" s="126">
        <f t="shared" ca="1" si="14"/>
        <v>0</v>
      </c>
      <c r="BH117" s="126">
        <f t="shared" ca="1" si="15"/>
        <v>0</v>
      </c>
      <c r="BI117" s="126">
        <f t="shared" ca="1" si="16"/>
        <v>0</v>
      </c>
      <c r="BJ117" s="126">
        <f t="shared" ca="1" si="17"/>
        <v>0</v>
      </c>
      <c r="BK117" s="126">
        <f t="shared" ca="1" si="18"/>
        <v>0</v>
      </c>
      <c r="BL117" s="126">
        <f t="shared" ca="1" si="19"/>
        <v>0</v>
      </c>
      <c r="BM117" s="126">
        <f t="shared" ca="1" si="20"/>
        <v>0</v>
      </c>
      <c r="BN117" s="774"/>
      <c r="BO117" s="774"/>
      <c r="BP117" s="774"/>
      <c r="BS117" s="693" t="s">
        <v>1551</v>
      </c>
      <c r="BT117" s="700"/>
      <c r="BU117" s="700"/>
      <c r="BV117" s="509"/>
      <c r="BW117" s="509"/>
    </row>
    <row r="118" spans="2:75" ht="14.65" hidden="1" customHeight="1">
      <c r="B118" s="328" t="b" cm="1">
        <f t="array" ref="B118">B117</f>
        <v>1</v>
      </c>
      <c r="C118" s="25"/>
      <c r="D118" s="25"/>
      <c r="E118" s="449">
        <v>15</v>
      </c>
      <c r="F118" s="3" cm="1">
        <f t="array" aca="1" ref="F118" ca="1">OFFSET(E118,-1,1)</f>
        <v>0</v>
      </c>
      <c r="G118" s="25"/>
      <c r="H118" s="25"/>
      <c r="I118" s="25" t="s">
        <v>601</v>
      </c>
      <c r="J118" s="25"/>
      <c r="L118" s="25"/>
      <c r="M118" s="25"/>
      <c r="N118" s="25"/>
      <c r="O118" s="25"/>
      <c r="P118" s="25"/>
      <c r="Q118" s="25"/>
      <c r="R118" s="25"/>
      <c r="S118" s="25"/>
      <c r="T118" s="351" t="b" cm="1">
        <f t="array" aca="1" ref="T118" ca="1">T117</f>
        <v>0</v>
      </c>
      <c r="U118" s="25"/>
      <c r="V118" s="25"/>
      <c r="W118" s="25"/>
      <c r="X118" s="1046"/>
      <c r="Z118" s="1008"/>
      <c r="AB118" s="7" t="s">
        <v>729</v>
      </c>
      <c r="AC118" s="127" t="s">
        <v>2139</v>
      </c>
      <c r="AD118" s="7" t="s">
        <v>859</v>
      </c>
      <c r="AE118" s="777">
        <f ca="1">SUMIFS('ИП + источники'!AF$27:AF$87,'ИП + источники'!$F$27:$F$87,$F118,'ИП + источники'!$AC$27:$AC$87,"погашение займов и кредитов из нормативной прибыли")</f>
        <v>0</v>
      </c>
      <c r="AF118" s="777">
        <f ca="1">SUMIFS('ИП + источники'!AG$27:AG$87,'ИП + источники'!$F$27:$F$87,$F118,'ИП + источники'!$AC$27:$AC$87,"погашение займов и кредитов из нормативной прибыли")</f>
        <v>0</v>
      </c>
      <c r="AG118" s="777">
        <f ca="1">SUMIFS('ИП + источники'!AH$27:AH$87,'ИП + источники'!$F$27:$F$87,$F118,'ИП + источники'!$AC$27:$AC$87,"погашение займов и кредитов из нормативной прибыли")</f>
        <v>0</v>
      </c>
      <c r="AH118" s="170">
        <f t="shared" ca="1" si="9"/>
        <v>0</v>
      </c>
      <c r="AI118" s="777">
        <f ca="1">SUMIFS('ИП + источники'!AJ$27:AJ$87,'ИП + источники'!$F$27:$F$87,$F118,'ИП + источники'!$AC$27:$AC$87,"погашение займов и кредитов из нормативной прибыли")</f>
        <v>0</v>
      </c>
      <c r="AJ118" s="128">
        <f ca="1">SUMIFS('ИП + источники'!AK$27:AK$87,'ИП + источники'!$F$27:$F$87,$F118,'ИП + источники'!$AC$27:$AC$87,"погашение займов и кредитов из нормативной прибыли")</f>
        <v>0</v>
      </c>
      <c r="AK118" s="128">
        <f ca="1">SUMIFS('ИП + источники'!AL$27:AL$87,'ИП + источники'!$F$27:$F$87,$F118,'ИП + источники'!$AC$27:$AC$87,"погашение займов и кредитов из нормативной прибыли")</f>
        <v>0</v>
      </c>
      <c r="AL118" s="128">
        <f ca="1">SUMIFS('ИП + источники'!AM$27:AM$87,'ИП + источники'!$F$27:$F$87,$F118,'ИП + источники'!$AC$27:$AC$87,"погашение займов и кредитов из нормативной прибыли")</f>
        <v>0</v>
      </c>
      <c r="AM118" s="777">
        <f ca="1">SUMIFS('ИП + источники'!AN$27:AN$87,'ИП + источники'!$F$27:$F$87,$F118,'ИП + источники'!$AC$27:$AC$87,"погашение займов и кредитов из нормативной прибыли")</f>
        <v>0</v>
      </c>
      <c r="AN118" s="777">
        <f ca="1">SUMIFS('ИП + источники'!AO$27:AO$87,'ИП + источники'!$F$27:$F$87,$F118,'ИП + источники'!$AC$27:$AC$87,"погашение займов и кредитов из нормативной прибыли")</f>
        <v>0</v>
      </c>
      <c r="AO118" s="777">
        <f ca="1">SUMIFS('ИП + источники'!AP$27:AP$87,'ИП + источники'!$F$27:$F$87,$F118,'ИП + источники'!$AC$27:$AC$87,"погашение займов и кредитов из нормативной прибыли")</f>
        <v>0</v>
      </c>
      <c r="AP118" s="777">
        <f ca="1">SUMIFS('ИП + источники'!AQ$27:AQ$87,'ИП + источники'!$F$27:$F$87,$F118,'ИП + источники'!$AC$27:$AC$87,"погашение займов и кредитов из нормативной прибыли")</f>
        <v>0</v>
      </c>
      <c r="AQ118" s="777">
        <f ca="1">SUMIFS('ИП + источники'!AR$27:AR$87,'ИП + источники'!$F$27:$F$87,$F118,'ИП + источники'!$AC$27:$AC$87,"погашение займов и кредитов из нормативной прибыли")</f>
        <v>0</v>
      </c>
      <c r="AR118" s="777">
        <f ca="1">SUMIFS('ИП + источники'!AS$27:AS$87,'ИП + источники'!$F$27:$F$87,$F118,'ИП + источники'!$AC$27:$AC$87,"погашение займов и кредитов из нормативной прибыли")</f>
        <v>0</v>
      </c>
      <c r="AS118" s="777">
        <f ca="1">SUMIFS('ИП + источники'!AT$27:AT$87,'ИП + источники'!$F$27:$F$87,$F118,'ИП + источники'!$AC$27:$AC$87,"погашение займов и кредитов из нормативной прибыли")</f>
        <v>0</v>
      </c>
      <c r="AT118" s="128">
        <f ca="1">SUMIFS('ИП + источники'!AU$27:AU$87,'ИП + источники'!$F$27:$F$87,$F118,'ИП + источники'!$AC$27:$AC$87,"погашение займов и кредитов из нормативной прибыли")</f>
        <v>0</v>
      </c>
      <c r="AU118" s="128">
        <f ca="1">SUMIFS('ИП + источники'!AV$27:AV$87,'ИП + источники'!$F$27:$F$87,$F118,'ИП + источники'!$AC$27:$AC$87,"погашение займов и кредитов из нормативной прибыли")</f>
        <v>0</v>
      </c>
      <c r="AV118" s="128">
        <f ca="1">SUMIFS('ИП + источники'!AW$27:AW$87,'ИП + источники'!$F$27:$F$87,$F118,'ИП + источники'!$AC$27:$AC$87,"погашение займов и кредитов из нормативной прибыли")</f>
        <v>0</v>
      </c>
      <c r="AW118" s="777">
        <f ca="1">SUMIFS('ИП + источники'!AX$27:AX$87,'ИП + источники'!$F$27:$F$87,$F118,'ИП + источники'!$AC$27:$AC$87,"погашение займов и кредитов из нормативной прибыли")</f>
        <v>0</v>
      </c>
      <c r="AX118" s="777">
        <f ca="1">SUMIFS('ИП + источники'!AY$27:AY$87,'ИП + источники'!$F$27:$F$87,$F118,'ИП + источники'!$AC$27:$AC$87,"погашение займов и кредитов из нормативной прибыли")</f>
        <v>0</v>
      </c>
      <c r="AY118" s="777">
        <f ca="1">SUMIFS('ИП + источники'!AZ$27:AZ$87,'ИП + источники'!$F$27:$F$87,$F118,'ИП + источники'!$AC$27:$AC$87,"погашение займов и кредитов из нормативной прибыли")</f>
        <v>0</v>
      </c>
      <c r="AZ118" s="777">
        <f ca="1">SUMIFS('ИП + источники'!BA$27:BA$87,'ИП + источники'!$F$27:$F$87,$F118,'ИП + источники'!$AC$27:$AC$87,"погашение займов и кредитов из нормативной прибыли")</f>
        <v>0</v>
      </c>
      <c r="BA118" s="777">
        <f ca="1">SUMIFS('ИП + источники'!BB$27:BB$87,'ИП + источники'!$F$27:$F$87,$F118,'ИП + источники'!$AC$27:$AC$87,"погашение займов и кредитов из нормативной прибыли")</f>
        <v>0</v>
      </c>
      <c r="BB118" s="777">
        <f ca="1">SUMIFS('ИП + источники'!BC$27:BC$87,'ИП + источники'!$F$27:$F$87,$F118,'ИП + источники'!$AC$27:$AC$87,"погашение займов и кредитов из нормативной прибыли")</f>
        <v>0</v>
      </c>
      <c r="BC118" s="777">
        <f ca="1">SUMIFS('ИП + источники'!BD$27:BD$87,'ИП + источники'!$F$27:$F$87,$F118,'ИП + источники'!$AC$27:$AC$87,"погашение займов и кредитов из нормативной прибыли")</f>
        <v>0</v>
      </c>
      <c r="BD118" s="170">
        <f t="shared" ca="1" si="11"/>
        <v>0</v>
      </c>
      <c r="BE118" s="170">
        <f t="shared" ca="1" si="12"/>
        <v>0</v>
      </c>
      <c r="BF118" s="170">
        <f t="shared" ca="1" si="13"/>
        <v>0</v>
      </c>
      <c r="BG118" s="170">
        <f t="shared" ca="1" si="14"/>
        <v>0</v>
      </c>
      <c r="BH118" s="170">
        <f t="shared" ca="1" si="15"/>
        <v>0</v>
      </c>
      <c r="BI118" s="170">
        <f t="shared" ca="1" si="16"/>
        <v>0</v>
      </c>
      <c r="BJ118" s="170">
        <f t="shared" ca="1" si="17"/>
        <v>0</v>
      </c>
      <c r="BK118" s="170">
        <f t="shared" ca="1" si="18"/>
        <v>0</v>
      </c>
      <c r="BL118" s="170">
        <f t="shared" ca="1" si="19"/>
        <v>0</v>
      </c>
      <c r="BM118" s="170">
        <f t="shared" ca="1" si="20"/>
        <v>0</v>
      </c>
      <c r="BN118" s="774"/>
      <c r="BO118" s="778" t="str">
        <f ca="1">IF(IFERROR(INDEX('ИП + источники'!$K$28:$L$87,MATCH($F118&amp;"2komm",'ИП + источники'!$K$28:$K$87,0),2),"")=0,"",IFERROR(INDEX('ИП + источники'!$K$28:$L$87,MATCH($F118&amp;"2komm",'ИП + источники'!$K$28:$K$87,0),2),""))</f>
        <v/>
      </c>
      <c r="BP118" s="774"/>
      <c r="BS118" s="694" t="s">
        <v>2140</v>
      </c>
    </row>
    <row r="119" spans="2:75" ht="14.65" hidden="1" customHeight="1">
      <c r="B119" s="328" t="b" cm="1">
        <f t="array" ref="B119">B118</f>
        <v>1</v>
      </c>
      <c r="C119" s="25"/>
      <c r="D119" s="25"/>
      <c r="E119" s="449">
        <v>15</v>
      </c>
      <c r="F119" s="3" cm="1">
        <f t="array" aca="1" ref="F119" ca="1">OFFSET(E119,-1,1)</f>
        <v>0</v>
      </c>
      <c r="G119" s="25"/>
      <c r="H119" s="25"/>
      <c r="I119" s="25" t="s">
        <v>605</v>
      </c>
      <c r="J119" s="25"/>
      <c r="L119" s="25"/>
      <c r="M119" s="25"/>
      <c r="N119" s="25"/>
      <c r="O119" s="25"/>
      <c r="P119" s="25"/>
      <c r="Q119" s="25"/>
      <c r="R119" s="25"/>
      <c r="S119" s="25"/>
      <c r="T119" s="351" t="b" cm="1">
        <f t="array" aca="1" ref="T119" ca="1">T118</f>
        <v>0</v>
      </c>
      <c r="U119" s="25"/>
      <c r="V119" s="25"/>
      <c r="W119" s="25"/>
      <c r="X119" s="1046"/>
      <c r="Z119" s="1008"/>
      <c r="AB119" s="7" t="s">
        <v>732</v>
      </c>
      <c r="AC119" s="127" t="s">
        <v>2141</v>
      </c>
      <c r="AD119" s="7" t="s">
        <v>859</v>
      </c>
      <c r="AE119" s="777">
        <f ca="1">SUMIFS('ИП + источники'!AF$27:AF$87,'ИП + источники'!$F$27:$F$87,$F119,'ИП + источники'!$AC$27:$AC$87,"уплата процентов по кредитам из нормативной прибыли")</f>
        <v>0</v>
      </c>
      <c r="AF119" s="777">
        <f ca="1">SUMIFS('ИП + источники'!AG$27:AG$87,'ИП + источники'!$F$27:$F$87,$F119,'ИП + источники'!$AC$27:$AC$87,"уплата процентов по кредитам из нормативной прибыли")</f>
        <v>0</v>
      </c>
      <c r="AG119" s="777">
        <f ca="1">SUMIFS('ИП + источники'!AH$27:AH$87,'ИП + источники'!$F$27:$F$87,$F119,'ИП + источники'!$AC$27:$AC$87,"уплата процентов по кредитам из нормативной прибыли")</f>
        <v>0</v>
      </c>
      <c r="AH119" s="170">
        <f t="shared" ca="1" si="9"/>
        <v>0</v>
      </c>
      <c r="AI119" s="777">
        <f ca="1">SUMIFS('ИП + источники'!AJ$27:AJ$87,'ИП + источники'!$F$27:$F$87,$F119,'ИП + источники'!$AC$27:$AC$87,"уплата процентов по кредитам из нормативной прибыли")</f>
        <v>0</v>
      </c>
      <c r="AJ119" s="128">
        <f ca="1">SUMIFS('ИП + источники'!AK$27:AK$87,'ИП + источники'!$F$27:$F$87,$F119,'ИП + источники'!$AC$27:$AC$87,"уплата процентов по кредитам из нормативной прибыли")</f>
        <v>0</v>
      </c>
      <c r="AK119" s="128">
        <f ca="1">SUMIFS('ИП + источники'!AL$27:AL$87,'ИП + источники'!$F$27:$F$87,$F119,'ИП + источники'!$AC$27:$AC$87,"уплата процентов по кредитам из нормативной прибыли")</f>
        <v>0</v>
      </c>
      <c r="AL119" s="128">
        <f ca="1">SUMIFS('ИП + источники'!AM$27:AM$87,'ИП + источники'!$F$27:$F$87,$F119,'ИП + источники'!$AC$27:$AC$87,"уплата процентов по кредитам из нормативной прибыли")</f>
        <v>0</v>
      </c>
      <c r="AM119" s="777">
        <f ca="1">SUMIFS('ИП + источники'!AN$27:AN$87,'ИП + источники'!$F$27:$F$87,$F119,'ИП + источники'!$AC$27:$AC$87,"уплата процентов по кредитам из нормативной прибыли")</f>
        <v>0</v>
      </c>
      <c r="AN119" s="777">
        <f ca="1">SUMIFS('ИП + источники'!AO$27:AO$87,'ИП + источники'!$F$27:$F$87,$F119,'ИП + источники'!$AC$27:$AC$87,"уплата процентов по кредитам из нормативной прибыли")</f>
        <v>0</v>
      </c>
      <c r="AO119" s="777">
        <f ca="1">SUMIFS('ИП + источники'!AP$27:AP$87,'ИП + источники'!$F$27:$F$87,$F119,'ИП + источники'!$AC$27:$AC$87,"уплата процентов по кредитам из нормативной прибыли")</f>
        <v>0</v>
      </c>
      <c r="AP119" s="777">
        <f ca="1">SUMIFS('ИП + источники'!AQ$27:AQ$87,'ИП + источники'!$F$27:$F$87,$F119,'ИП + источники'!$AC$27:$AC$87,"уплата процентов по кредитам из нормативной прибыли")</f>
        <v>0</v>
      </c>
      <c r="AQ119" s="777">
        <f ca="1">SUMIFS('ИП + источники'!AR$27:AR$87,'ИП + источники'!$F$27:$F$87,$F119,'ИП + источники'!$AC$27:$AC$87,"уплата процентов по кредитам из нормативной прибыли")</f>
        <v>0</v>
      </c>
      <c r="AR119" s="777">
        <f ca="1">SUMIFS('ИП + источники'!AS$27:AS$87,'ИП + источники'!$F$27:$F$87,$F119,'ИП + источники'!$AC$27:$AC$87,"уплата процентов по кредитам из нормативной прибыли")</f>
        <v>0</v>
      </c>
      <c r="AS119" s="777">
        <f ca="1">SUMIFS('ИП + источники'!AT$27:AT$87,'ИП + источники'!$F$27:$F$87,$F119,'ИП + источники'!$AC$27:$AC$87,"уплата процентов по кредитам из нормативной прибыли")</f>
        <v>0</v>
      </c>
      <c r="AT119" s="128">
        <f ca="1">SUMIFS('ИП + источники'!AU$27:AU$87,'ИП + источники'!$F$27:$F$87,$F119,'ИП + источники'!$AC$27:$AC$87,"уплата процентов по кредитам из нормативной прибыли")</f>
        <v>0</v>
      </c>
      <c r="AU119" s="128">
        <f ca="1">SUMIFS('ИП + источники'!AV$27:AV$87,'ИП + источники'!$F$27:$F$87,$F119,'ИП + источники'!$AC$27:$AC$87,"уплата процентов по кредитам из нормативной прибыли")</f>
        <v>0</v>
      </c>
      <c r="AV119" s="128">
        <f ca="1">SUMIFS('ИП + источники'!AW$27:AW$87,'ИП + источники'!$F$27:$F$87,$F119,'ИП + источники'!$AC$27:$AC$87,"уплата процентов по кредитам из нормативной прибыли")</f>
        <v>0</v>
      </c>
      <c r="AW119" s="777">
        <f ca="1">SUMIFS('ИП + источники'!AX$27:AX$87,'ИП + источники'!$F$27:$F$87,$F119,'ИП + источники'!$AC$27:$AC$87,"уплата процентов по кредитам из нормативной прибыли")</f>
        <v>0</v>
      </c>
      <c r="AX119" s="777">
        <f ca="1">SUMIFS('ИП + источники'!AY$27:AY$87,'ИП + источники'!$F$27:$F$87,$F119,'ИП + источники'!$AC$27:$AC$87,"уплата процентов по кредитам из нормативной прибыли")</f>
        <v>0</v>
      </c>
      <c r="AY119" s="777">
        <f ca="1">SUMIFS('ИП + источники'!AZ$27:AZ$87,'ИП + источники'!$F$27:$F$87,$F119,'ИП + источники'!$AC$27:$AC$87,"уплата процентов по кредитам из нормативной прибыли")</f>
        <v>0</v>
      </c>
      <c r="AZ119" s="777">
        <f ca="1">SUMIFS('ИП + источники'!BA$27:BA$87,'ИП + источники'!$F$27:$F$87,$F119,'ИП + источники'!$AC$27:$AC$87,"уплата процентов по кредитам из нормативной прибыли")</f>
        <v>0</v>
      </c>
      <c r="BA119" s="777">
        <f ca="1">SUMIFS('ИП + источники'!BB$27:BB$87,'ИП + источники'!$F$27:$F$87,$F119,'ИП + источники'!$AC$27:$AC$87,"уплата процентов по кредитам из нормативной прибыли")</f>
        <v>0</v>
      </c>
      <c r="BB119" s="777">
        <f ca="1">SUMIFS('ИП + источники'!BC$27:BC$87,'ИП + источники'!$F$27:$F$87,$F119,'ИП + источники'!$AC$27:$AC$87,"уплата процентов по кредитам из нормативной прибыли")</f>
        <v>0</v>
      </c>
      <c r="BC119" s="777">
        <f ca="1">SUMIFS('ИП + источники'!BD$27:BD$87,'ИП + источники'!$F$27:$F$87,$F119,'ИП + источники'!$AC$27:$AC$87,"уплата процентов по кредитам из нормативной прибыли")</f>
        <v>0</v>
      </c>
      <c r="BD119" s="170">
        <f t="shared" ca="1" si="11"/>
        <v>0</v>
      </c>
      <c r="BE119" s="170">
        <f t="shared" ca="1" si="12"/>
        <v>0</v>
      </c>
      <c r="BF119" s="170">
        <f t="shared" ca="1" si="13"/>
        <v>0</v>
      </c>
      <c r="BG119" s="170">
        <f t="shared" ca="1" si="14"/>
        <v>0</v>
      </c>
      <c r="BH119" s="170">
        <f t="shared" ca="1" si="15"/>
        <v>0</v>
      </c>
      <c r="BI119" s="170">
        <f t="shared" ca="1" si="16"/>
        <v>0</v>
      </c>
      <c r="BJ119" s="170">
        <f t="shared" ca="1" si="17"/>
        <v>0</v>
      </c>
      <c r="BK119" s="170">
        <f t="shared" ca="1" si="18"/>
        <v>0</v>
      </c>
      <c r="BL119" s="170">
        <f t="shared" ca="1" si="19"/>
        <v>0</v>
      </c>
      <c r="BM119" s="170">
        <f t="shared" ca="1" si="20"/>
        <v>0</v>
      </c>
      <c r="BN119" s="774"/>
      <c r="BO119" s="778" t="str">
        <f ca="1">IF(IFERROR(INDEX('ИП + источники'!$K$28:$L$87,MATCH($F119&amp;"3komm",'ИП + источники'!$K$28:$K$87,0),2),"")=0,"",IFERROR(INDEX('ИП + источники'!$K$28:$L$87,MATCH($F119&amp;"3komm",'ИП + источники'!$K$28:$K$87,0),2),""))</f>
        <v/>
      </c>
      <c r="BP119" s="774"/>
      <c r="BS119" s="694" t="s">
        <v>2142</v>
      </c>
    </row>
    <row r="120" spans="2:75" ht="14.65" hidden="1" customHeight="1">
      <c r="B120" s="328" t="b" cm="1">
        <f t="array" ref="B120">B119</f>
        <v>1</v>
      </c>
      <c r="C120" s="25"/>
      <c r="D120" s="25"/>
      <c r="E120" s="449">
        <v>15</v>
      </c>
      <c r="F120" s="3" cm="1">
        <f t="array" aca="1" ref="F120" ca="1">OFFSET(E120,-1,1)</f>
        <v>0</v>
      </c>
      <c r="G120" s="25"/>
      <c r="H120" s="25"/>
      <c r="I120" s="25" t="s">
        <v>817</v>
      </c>
      <c r="J120" s="25"/>
      <c r="L120" s="25" t="s">
        <v>620</v>
      </c>
      <c r="M120" s="25"/>
      <c r="N120" s="25"/>
      <c r="O120" s="25"/>
      <c r="P120" s="25"/>
      <c r="Q120" s="25"/>
      <c r="R120" s="25"/>
      <c r="S120" s="25"/>
      <c r="T120" s="351" t="b" cm="1">
        <f t="array" aca="1" ref="T120" ca="1">T119</f>
        <v>0</v>
      </c>
      <c r="U120" s="25"/>
      <c r="V120" s="25"/>
      <c r="W120" s="25"/>
      <c r="X120" s="1046"/>
      <c r="Z120" s="1008"/>
      <c r="AB120" s="7" t="s">
        <v>991</v>
      </c>
      <c r="AC120" s="127" t="s">
        <v>2143</v>
      </c>
      <c r="AD120" s="7" t="s">
        <v>859</v>
      </c>
      <c r="AE120" s="777">
        <f ca="1">SUMIFS('ИП + источники'!AF$27:AF$87,'ИП + источники'!$F$27:$F$87,$F120,'ИП + источники'!$AC$27:$AC$87,"Прибыль на капвложения")</f>
        <v>0</v>
      </c>
      <c r="AF120" s="777">
        <f ca="1">SUMIFS('ИП + источники'!AG$27:AG$87,'ИП + источники'!$F$27:$F$87,$F120,'ИП + источники'!$AC$27:$AC$87,"Прибыль на капвложения")</f>
        <v>0</v>
      </c>
      <c r="AG120" s="777">
        <f ca="1">SUMIFS('ИП + источники'!AH$27:AH$87,'ИП + источники'!$F$27:$F$87,$F120,'ИП + источники'!$AC$27:$AC$87,"Прибыль на капвложения")</f>
        <v>0</v>
      </c>
      <c r="AH120" s="170">
        <f t="shared" ca="1" si="9"/>
        <v>0</v>
      </c>
      <c r="AI120" s="777">
        <f ca="1">SUMIFS('ИП + источники'!AJ$27:AJ$87,'ИП + источники'!$F$27:$F$87,$F120,'ИП + источники'!$AC$27:$AC$87,"Прибыль на капвложения")</f>
        <v>0</v>
      </c>
      <c r="AJ120" s="128">
        <f ca="1">SUMIFS('ИП + источники'!AK$27:AK$87,'ИП + источники'!$F$27:$F$87,$F120,'ИП + источники'!$AC$27:$AC$87,"Прибыль на капвложения")</f>
        <v>0</v>
      </c>
      <c r="AK120" s="128">
        <f ca="1">SUMIFS('ИП + источники'!AL$27:AL$87,'ИП + источники'!$F$27:$F$87,$F120,'ИП + источники'!$AC$27:$AC$87,"Прибыль на капвложения")</f>
        <v>0</v>
      </c>
      <c r="AL120" s="128">
        <f ca="1">SUMIFS('ИП + источники'!AM$27:AM$87,'ИП + источники'!$F$27:$F$87,$F120,'ИП + источники'!$AC$27:$AC$87,"Прибыль на капвложения")</f>
        <v>0</v>
      </c>
      <c r="AM120" s="777">
        <f ca="1">SUMIFS('ИП + источники'!AN$27:AN$87,'ИП + источники'!$F$27:$F$87,$F120,'ИП + источники'!$AC$27:$AC$87,"Прибыль на капвложения")</f>
        <v>0</v>
      </c>
      <c r="AN120" s="777">
        <f ca="1">SUMIFS('ИП + источники'!AO$27:AO$87,'ИП + источники'!$F$27:$F$87,$F120,'ИП + источники'!$AC$27:$AC$87,"Прибыль на капвложения")</f>
        <v>0</v>
      </c>
      <c r="AO120" s="777">
        <f ca="1">SUMIFS('ИП + источники'!AP$27:AP$87,'ИП + источники'!$F$27:$F$87,$F120,'ИП + источники'!$AC$27:$AC$87,"Прибыль на капвложения")</f>
        <v>0</v>
      </c>
      <c r="AP120" s="777">
        <f ca="1">SUMIFS('ИП + источники'!AQ$27:AQ$87,'ИП + источники'!$F$27:$F$87,$F120,'ИП + источники'!$AC$27:$AC$87,"Прибыль на капвложения")</f>
        <v>0</v>
      </c>
      <c r="AQ120" s="777">
        <f ca="1">SUMIFS('ИП + источники'!AR$27:AR$87,'ИП + источники'!$F$27:$F$87,$F120,'ИП + источники'!$AC$27:$AC$87,"Прибыль на капвложения")</f>
        <v>0</v>
      </c>
      <c r="AR120" s="777">
        <f ca="1">SUMIFS('ИП + источники'!AS$27:AS$87,'ИП + источники'!$F$27:$F$87,$F120,'ИП + источники'!$AC$27:$AC$87,"Прибыль на капвложения")</f>
        <v>0</v>
      </c>
      <c r="AS120" s="777">
        <f ca="1">SUMIFS('ИП + источники'!AT$27:AT$87,'ИП + источники'!$F$27:$F$87,$F120,'ИП + источники'!$AC$27:$AC$87,"Прибыль на капвложения")</f>
        <v>0</v>
      </c>
      <c r="AT120" s="128">
        <f ca="1">SUMIFS('ИП + источники'!AU$27:AU$87,'ИП + источники'!$F$27:$F$87,$F120,'ИП + источники'!$AC$27:$AC$87,"Прибыль на капвложения")</f>
        <v>0</v>
      </c>
      <c r="AU120" s="128">
        <f ca="1">SUMIFS('ИП + источники'!AV$27:AV$87,'ИП + источники'!$F$27:$F$87,$F120,'ИП + источники'!$AC$27:$AC$87,"Прибыль на капвложения")</f>
        <v>0</v>
      </c>
      <c r="AV120" s="128">
        <f ca="1">SUMIFS('ИП + источники'!AW$27:AW$87,'ИП + источники'!$F$27:$F$87,$F120,'ИП + источники'!$AC$27:$AC$87,"Прибыль на капвложения")</f>
        <v>0</v>
      </c>
      <c r="AW120" s="777">
        <f ca="1">SUMIFS('ИП + источники'!AX$27:AX$87,'ИП + источники'!$F$27:$F$87,$F120,'ИП + источники'!$AC$27:$AC$87,"Прибыль на капвложения")</f>
        <v>0</v>
      </c>
      <c r="AX120" s="777">
        <f ca="1">SUMIFS('ИП + источники'!AY$27:AY$87,'ИП + источники'!$F$27:$F$87,$F120,'ИП + источники'!$AC$27:$AC$87,"Прибыль на капвложения")</f>
        <v>0</v>
      </c>
      <c r="AY120" s="777">
        <f ca="1">SUMIFS('ИП + источники'!AZ$27:AZ$87,'ИП + источники'!$F$27:$F$87,$F120,'ИП + источники'!$AC$27:$AC$87,"Прибыль на капвложения")</f>
        <v>0</v>
      </c>
      <c r="AZ120" s="777">
        <f ca="1">SUMIFS('ИП + источники'!BA$27:BA$87,'ИП + источники'!$F$27:$F$87,$F120,'ИП + источники'!$AC$27:$AC$87,"Прибыль на капвложения")</f>
        <v>0</v>
      </c>
      <c r="BA120" s="777">
        <f ca="1">SUMIFS('ИП + источники'!BB$27:BB$87,'ИП + источники'!$F$27:$F$87,$F120,'ИП + источники'!$AC$27:$AC$87,"Прибыль на капвложения")</f>
        <v>0</v>
      </c>
      <c r="BB120" s="777">
        <f ca="1">SUMIFS('ИП + источники'!BC$27:BC$87,'ИП + источники'!$F$27:$F$87,$F120,'ИП + источники'!$AC$27:$AC$87,"Прибыль на капвложения")</f>
        <v>0</v>
      </c>
      <c r="BC120" s="777">
        <f ca="1">SUMIFS('ИП + источники'!BD$27:BD$87,'ИП + источники'!$F$27:$F$87,$F120,'ИП + источники'!$AC$27:$AC$87,"Прибыль на капвложения")</f>
        <v>0</v>
      </c>
      <c r="BD120" s="170">
        <f t="shared" ca="1" si="11"/>
        <v>0</v>
      </c>
      <c r="BE120" s="170">
        <f t="shared" ca="1" si="12"/>
        <v>0</v>
      </c>
      <c r="BF120" s="170">
        <f t="shared" ca="1" si="13"/>
        <v>0</v>
      </c>
      <c r="BG120" s="170">
        <f t="shared" ca="1" si="14"/>
        <v>0</v>
      </c>
      <c r="BH120" s="170">
        <f t="shared" ca="1" si="15"/>
        <v>0</v>
      </c>
      <c r="BI120" s="170">
        <f t="shared" ca="1" si="16"/>
        <v>0</v>
      </c>
      <c r="BJ120" s="170">
        <f t="shared" ca="1" si="17"/>
        <v>0</v>
      </c>
      <c r="BK120" s="170">
        <f t="shared" ca="1" si="18"/>
        <v>0</v>
      </c>
      <c r="BL120" s="170">
        <f t="shared" ca="1" si="19"/>
        <v>0</v>
      </c>
      <c r="BM120" s="170">
        <f t="shared" ca="1" si="20"/>
        <v>0</v>
      </c>
      <c r="BN120" s="774"/>
      <c r="BO120" s="778" t="str">
        <f ca="1">IF(IFERROR(INDEX('ИП + источники'!$K$28:$L$87,MATCH($F120&amp;"1komm",'ИП + источники'!$K$28:$K$87,0),2),"")=0,"",IFERROR(INDEX('ИП + источники'!$K$28:$L$87,MATCH($F120&amp;"1komm",'ИП + источники'!$K$28:$K$87,0),2),""))</f>
        <v/>
      </c>
      <c r="BP120" s="774"/>
      <c r="BS120" s="694" t="s">
        <v>1852</v>
      </c>
    </row>
    <row r="121" spans="2:75" ht="21.95" hidden="1" customHeight="1">
      <c r="B121" s="328" t="b" cm="1">
        <f t="array" ref="B121">B120</f>
        <v>1</v>
      </c>
      <c r="C121" s="25"/>
      <c r="D121" s="25"/>
      <c r="E121" s="449">
        <v>22.5</v>
      </c>
      <c r="F121" s="3" cm="1">
        <f t="array" aca="1" ref="F121" ca="1">OFFSET(E121,-1,1)</f>
        <v>0</v>
      </c>
      <c r="G121" s="25" t="s">
        <v>2144</v>
      </c>
      <c r="H121" s="25"/>
      <c r="I121" s="25" t="s">
        <v>993</v>
      </c>
      <c r="J121" s="25"/>
      <c r="L121" s="25" t="s">
        <v>624</v>
      </c>
      <c r="M121" s="25"/>
      <c r="N121" s="25"/>
      <c r="O121" s="25"/>
      <c r="P121" s="25"/>
      <c r="Q121" s="25"/>
      <c r="R121" s="25"/>
      <c r="S121" s="25"/>
      <c r="T121" s="351" t="b" cm="1">
        <f t="array" aca="1" ref="T121" ca="1">T120</f>
        <v>0</v>
      </c>
      <c r="U121" s="25"/>
      <c r="V121" s="25"/>
      <c r="W121" s="25"/>
      <c r="X121" s="1046"/>
      <c r="Z121" s="1008"/>
      <c r="AB121" s="7" t="s">
        <v>994</v>
      </c>
      <c r="AC121" s="127" t="s">
        <v>2145</v>
      </c>
      <c r="AD121" s="7" t="s">
        <v>859</v>
      </c>
      <c r="AE121" s="777"/>
      <c r="AF121" s="777"/>
      <c r="AG121" s="777"/>
      <c r="AH121" s="170">
        <f t="shared" si="9"/>
        <v>0</v>
      </c>
      <c r="AI121" s="777"/>
      <c r="AJ121" s="128"/>
      <c r="AK121" s="128"/>
      <c r="AL121" s="128"/>
      <c r="AM121" s="777"/>
      <c r="AN121" s="777"/>
      <c r="AO121" s="777"/>
      <c r="AP121" s="777"/>
      <c r="AQ121" s="777"/>
      <c r="AR121" s="777"/>
      <c r="AS121" s="777"/>
      <c r="AT121" s="128"/>
      <c r="AU121" s="128"/>
      <c r="AV121" s="128"/>
      <c r="AW121" s="777"/>
      <c r="AX121" s="777"/>
      <c r="AY121" s="777"/>
      <c r="AZ121" s="777"/>
      <c r="BA121" s="777"/>
      <c r="BB121" s="777"/>
      <c r="BC121" s="777"/>
      <c r="BD121" s="170">
        <f t="shared" si="11"/>
        <v>0</v>
      </c>
      <c r="BE121" s="170">
        <f t="shared" si="12"/>
        <v>0</v>
      </c>
      <c r="BF121" s="170">
        <f t="shared" si="13"/>
        <v>0</v>
      </c>
      <c r="BG121" s="170">
        <f t="shared" si="14"/>
        <v>0</v>
      </c>
      <c r="BH121" s="170">
        <f t="shared" si="15"/>
        <v>0</v>
      </c>
      <c r="BI121" s="170">
        <f t="shared" si="16"/>
        <v>0</v>
      </c>
      <c r="BJ121" s="170">
        <f t="shared" si="17"/>
        <v>0</v>
      </c>
      <c r="BK121" s="170">
        <f t="shared" si="18"/>
        <v>0</v>
      </c>
      <c r="BL121" s="170">
        <f t="shared" si="19"/>
        <v>0</v>
      </c>
      <c r="BM121" s="170">
        <f t="shared" si="20"/>
        <v>0</v>
      </c>
      <c r="BN121" s="774"/>
      <c r="BO121" s="774"/>
      <c r="BP121" s="774"/>
      <c r="BS121" s="694" t="s">
        <v>2146</v>
      </c>
    </row>
    <row r="122" spans="2:75" ht="14.65" hidden="1" customHeight="1">
      <c r="B122" s="328" t="b">
        <f>AND(method_reg="Метод индексации",STATUS_GO="да")</f>
        <v>1</v>
      </c>
      <c r="C122" s="25"/>
      <c r="D122" s="25"/>
      <c r="E122" s="449">
        <v>15</v>
      </c>
      <c r="F122" s="3" cm="1">
        <f t="array" aca="1" ref="F122" ca="1">OFFSET(E122,-1,1)</f>
        <v>0</v>
      </c>
      <c r="G122" s="25" t="s">
        <v>1855</v>
      </c>
      <c r="H122" s="25"/>
      <c r="I122" s="25" t="s">
        <v>557</v>
      </c>
      <c r="J122" s="25"/>
      <c r="L122" s="25" t="s">
        <v>628</v>
      </c>
      <c r="M122" s="25"/>
      <c r="N122" s="25"/>
      <c r="O122" s="25"/>
      <c r="P122" s="25"/>
      <c r="Q122" s="25"/>
      <c r="R122" s="25"/>
      <c r="S122" s="25"/>
      <c r="T122" s="351" t="b" cm="1">
        <f t="array" aca="1" ref="T122" ca="1">T121</f>
        <v>0</v>
      </c>
      <c r="U122" s="25"/>
      <c r="V122" s="25"/>
      <c r="W122" s="25"/>
      <c r="X122" s="1046"/>
      <c r="Z122" s="1008"/>
      <c r="AB122" s="7" t="s">
        <v>442</v>
      </c>
      <c r="AC122" s="345" t="s">
        <v>1855</v>
      </c>
      <c r="AD122" s="7" t="s">
        <v>859</v>
      </c>
      <c r="AE122" s="777"/>
      <c r="AF122" s="777"/>
      <c r="AG122" s="777"/>
      <c r="AH122" s="170">
        <f t="shared" si="9"/>
        <v>0</v>
      </c>
      <c r="AI122" s="777"/>
      <c r="AJ122" s="128"/>
      <c r="AK122" s="128"/>
      <c r="AL122" s="128"/>
      <c r="AM122" s="777"/>
      <c r="AN122" s="777"/>
      <c r="AO122" s="777"/>
      <c r="AP122" s="777"/>
      <c r="AQ122" s="777"/>
      <c r="AR122" s="777"/>
      <c r="AS122" s="777"/>
      <c r="AT122" s="128"/>
      <c r="AU122" s="128"/>
      <c r="AV122" s="128"/>
      <c r="AW122" s="777"/>
      <c r="AX122" s="777"/>
      <c r="AY122" s="777"/>
      <c r="AZ122" s="777"/>
      <c r="BA122" s="777"/>
      <c r="BB122" s="777"/>
      <c r="BC122" s="777"/>
      <c r="BD122" s="170">
        <f t="shared" si="11"/>
        <v>0</v>
      </c>
      <c r="BE122" s="170">
        <f t="shared" si="12"/>
        <v>0</v>
      </c>
      <c r="BF122" s="170">
        <f t="shared" si="13"/>
        <v>0</v>
      </c>
      <c r="BG122" s="170">
        <f t="shared" si="14"/>
        <v>0</v>
      </c>
      <c r="BH122" s="170">
        <f t="shared" si="15"/>
        <v>0</v>
      </c>
      <c r="BI122" s="170">
        <f t="shared" si="16"/>
        <v>0</v>
      </c>
      <c r="BJ122" s="170">
        <f t="shared" si="17"/>
        <v>0</v>
      </c>
      <c r="BK122" s="170">
        <f t="shared" si="18"/>
        <v>0</v>
      </c>
      <c r="BL122" s="170">
        <f t="shared" si="19"/>
        <v>0</v>
      </c>
      <c r="BM122" s="170">
        <f t="shared" si="20"/>
        <v>0</v>
      </c>
      <c r="BN122" s="774"/>
      <c r="BO122" s="774"/>
      <c r="BP122" s="774"/>
      <c r="BS122" s="694" t="s">
        <v>1856</v>
      </c>
    </row>
    <row r="123" spans="2:75" ht="14.65" hidden="1" customHeight="1">
      <c r="B123" s="578" t="b">
        <f>method_reg="Метод обеспечения доходности инвестированного капитала"</f>
        <v>0</v>
      </c>
      <c r="C123" s="25"/>
      <c r="D123" s="25"/>
      <c r="E123" s="449">
        <v>15</v>
      </c>
      <c r="F123" s="3" cm="1">
        <f t="array" aca="1" ref="F123" ca="1">OFFSET(E123,-1,1)</f>
        <v>0</v>
      </c>
      <c r="G123" s="25"/>
      <c r="H123" s="25"/>
      <c r="I123" s="25"/>
      <c r="J123" s="25"/>
      <c r="K123" s="25" t="s">
        <v>325</v>
      </c>
      <c r="L123" s="25"/>
      <c r="M123" s="25"/>
      <c r="N123" s="25"/>
      <c r="O123" s="25"/>
      <c r="P123" s="25"/>
      <c r="Q123" s="25"/>
      <c r="R123" s="25"/>
      <c r="S123" s="25"/>
      <c r="T123" s="578" t="b" cm="1">
        <f t="array" aca="1" ref="T123" ca="1">T122</f>
        <v>0</v>
      </c>
      <c r="U123" s="25"/>
      <c r="V123" s="25"/>
      <c r="W123" s="25"/>
      <c r="X123" s="1046"/>
      <c r="Z123" s="1008"/>
      <c r="AB123" s="124" t="s">
        <v>438</v>
      </c>
      <c r="AC123" s="132" t="s">
        <v>2147</v>
      </c>
      <c r="AD123" s="124" t="s">
        <v>859</v>
      </c>
      <c r="AE123" s="773"/>
      <c r="AF123" s="773"/>
      <c r="AG123" s="773"/>
      <c r="AH123" s="126">
        <f t="shared" si="9"/>
        <v>0</v>
      </c>
      <c r="AI123" s="773"/>
      <c r="AJ123" s="138"/>
      <c r="AK123" s="138"/>
      <c r="AL123" s="138"/>
      <c r="AM123" s="773"/>
      <c r="AN123" s="773"/>
      <c r="AO123" s="773"/>
      <c r="AP123" s="773"/>
      <c r="AQ123" s="773"/>
      <c r="AR123" s="773"/>
      <c r="AS123" s="773"/>
      <c r="AT123" s="138"/>
      <c r="AU123" s="138"/>
      <c r="AV123" s="138"/>
      <c r="AW123" s="773"/>
      <c r="AX123" s="773"/>
      <c r="AY123" s="773"/>
      <c r="AZ123" s="773"/>
      <c r="BA123" s="773"/>
      <c r="BB123" s="773"/>
      <c r="BC123" s="773"/>
      <c r="BD123" s="126">
        <f t="shared" si="11"/>
        <v>0</v>
      </c>
      <c r="BE123" s="126">
        <f t="shared" si="12"/>
        <v>0</v>
      </c>
      <c r="BF123" s="126">
        <f t="shared" si="13"/>
        <v>0</v>
      </c>
      <c r="BG123" s="126">
        <f t="shared" si="14"/>
        <v>0</v>
      </c>
      <c r="BH123" s="126">
        <f t="shared" si="15"/>
        <v>0</v>
      </c>
      <c r="BI123" s="126">
        <f t="shared" si="16"/>
        <v>0</v>
      </c>
      <c r="BJ123" s="126">
        <f t="shared" si="17"/>
        <v>0</v>
      </c>
      <c r="BK123" s="126">
        <f t="shared" si="18"/>
        <v>0</v>
      </c>
      <c r="BL123" s="126">
        <f t="shared" si="19"/>
        <v>0</v>
      </c>
      <c r="BM123" s="126">
        <f t="shared" si="20"/>
        <v>0</v>
      </c>
      <c r="BN123" s="776"/>
      <c r="BO123" s="776"/>
      <c r="BP123" s="776"/>
      <c r="BS123" s="694" t="s">
        <v>2148</v>
      </c>
    </row>
    <row r="124" spans="2:75" ht="14.65" hidden="1" customHeight="1">
      <c r="B124" s="578" t="b" cm="1">
        <f t="array" ref="B124">B123</f>
        <v>0</v>
      </c>
      <c r="C124" s="25"/>
      <c r="D124" s="25"/>
      <c r="E124" s="449">
        <v>15</v>
      </c>
      <c r="F124" s="3" cm="1">
        <f t="array" aca="1" ref="F124" ca="1">OFFSET(E124,-1,1)</f>
        <v>0</v>
      </c>
      <c r="G124" s="25"/>
      <c r="H124" s="25"/>
      <c r="I124" s="25"/>
      <c r="J124" s="25"/>
      <c r="K124" s="25" t="s">
        <v>587</v>
      </c>
      <c r="L124" s="25"/>
      <c r="M124" s="25"/>
      <c r="N124" s="25"/>
      <c r="O124" s="25"/>
      <c r="P124" s="25"/>
      <c r="Q124" s="25"/>
      <c r="R124" s="25"/>
      <c r="S124" s="25"/>
      <c r="T124" s="578" t="b" cm="1">
        <f t="array" aca="1" ref="T124" ca="1">T123</f>
        <v>0</v>
      </c>
      <c r="U124" s="25"/>
      <c r="V124" s="25"/>
      <c r="W124" s="25"/>
      <c r="X124" s="1046"/>
      <c r="Z124" s="1008"/>
      <c r="AB124" s="7" t="s">
        <v>722</v>
      </c>
      <c r="AC124" s="127" t="s">
        <v>2149</v>
      </c>
      <c r="AD124" s="7" t="s">
        <v>859</v>
      </c>
      <c r="AE124" s="777"/>
      <c r="AF124" s="777"/>
      <c r="AG124" s="777"/>
      <c r="AH124" s="540"/>
      <c r="AI124" s="777"/>
      <c r="AJ124" s="128"/>
      <c r="AK124" s="128"/>
      <c r="AL124" s="128"/>
      <c r="AM124" s="777"/>
      <c r="AN124" s="777"/>
      <c r="AO124" s="777"/>
      <c r="AP124" s="777"/>
      <c r="AQ124" s="777"/>
      <c r="AR124" s="777"/>
      <c r="AS124" s="777"/>
      <c r="AT124" s="128"/>
      <c r="AU124" s="128"/>
      <c r="AV124" s="128"/>
      <c r="AW124" s="777"/>
      <c r="AX124" s="777"/>
      <c r="AY124" s="777"/>
      <c r="AZ124" s="777"/>
      <c r="BA124" s="777"/>
      <c r="BB124" s="777"/>
      <c r="BC124" s="777"/>
      <c r="BD124" s="540"/>
      <c r="BE124" s="540"/>
      <c r="BF124" s="540"/>
      <c r="BG124" s="540"/>
      <c r="BH124" s="540"/>
      <c r="BI124" s="540"/>
      <c r="BJ124" s="540"/>
      <c r="BK124" s="540"/>
      <c r="BL124" s="540"/>
      <c r="BM124" s="540"/>
      <c r="BN124" s="774"/>
      <c r="BO124" s="774"/>
      <c r="BP124" s="774"/>
      <c r="BS124" s="694" t="s">
        <v>2150</v>
      </c>
    </row>
    <row r="125" spans="2:75" ht="14.65" hidden="1" customHeight="1">
      <c r="B125" s="578" t="b" cm="1">
        <f t="array" ref="B125">B124</f>
        <v>0</v>
      </c>
      <c r="C125" s="25"/>
      <c r="D125" s="25"/>
      <c r="E125" s="449">
        <v>15</v>
      </c>
      <c r="F125" s="3" cm="1">
        <f t="array" aca="1" ref="F125" ca="1">OFFSET(E125,-1,1)</f>
        <v>0</v>
      </c>
      <c r="G125" s="25"/>
      <c r="H125" s="25"/>
      <c r="I125" s="25"/>
      <c r="J125" s="25"/>
      <c r="K125" s="25" t="s">
        <v>591</v>
      </c>
      <c r="L125" s="25"/>
      <c r="M125" s="25"/>
      <c r="N125" s="25"/>
      <c r="O125" s="25"/>
      <c r="P125" s="25"/>
      <c r="Q125" s="25"/>
      <c r="R125" s="25"/>
      <c r="S125" s="25"/>
      <c r="T125" s="578" t="b" cm="1">
        <f t="array" aca="1" ref="T125" ca="1">T124</f>
        <v>0</v>
      </c>
      <c r="U125" s="25"/>
      <c r="V125" s="25"/>
      <c r="W125" s="25"/>
      <c r="X125" s="1046"/>
      <c r="Z125" s="1008"/>
      <c r="AB125" s="7" t="s">
        <v>725</v>
      </c>
      <c r="AC125" s="127" t="s">
        <v>2151</v>
      </c>
      <c r="AD125" s="7" t="s">
        <v>2152</v>
      </c>
      <c r="AE125" s="777"/>
      <c r="AF125" s="777"/>
      <c r="AG125" s="777"/>
      <c r="AH125" s="540"/>
      <c r="AI125" s="777"/>
      <c r="AJ125" s="128"/>
      <c r="AK125" s="128"/>
      <c r="AL125" s="128"/>
      <c r="AM125" s="777"/>
      <c r="AN125" s="777"/>
      <c r="AO125" s="777"/>
      <c r="AP125" s="777"/>
      <c r="AQ125" s="777"/>
      <c r="AR125" s="777"/>
      <c r="AS125" s="777"/>
      <c r="AT125" s="128"/>
      <c r="AU125" s="128"/>
      <c r="AV125" s="128"/>
      <c r="AW125" s="777"/>
      <c r="AX125" s="777"/>
      <c r="AY125" s="777"/>
      <c r="AZ125" s="777"/>
      <c r="BA125" s="777"/>
      <c r="BB125" s="777"/>
      <c r="BC125" s="777"/>
      <c r="BD125" s="540"/>
      <c r="BE125" s="540"/>
      <c r="BF125" s="540"/>
      <c r="BG125" s="540"/>
      <c r="BH125" s="540"/>
      <c r="BI125" s="540"/>
      <c r="BJ125" s="540"/>
      <c r="BK125" s="540"/>
      <c r="BL125" s="540"/>
      <c r="BM125" s="540"/>
      <c r="BN125" s="774"/>
      <c r="BO125" s="774"/>
      <c r="BP125" s="774"/>
      <c r="BS125" s="694" t="s">
        <v>2153</v>
      </c>
    </row>
    <row r="126" spans="2:75" ht="14.65" hidden="1" customHeight="1">
      <c r="B126" s="578" t="b" cm="1">
        <f t="array" ref="B126">B125</f>
        <v>0</v>
      </c>
      <c r="C126" s="25"/>
      <c r="D126" s="25"/>
      <c r="E126" s="449">
        <v>15</v>
      </c>
      <c r="F126" s="3" cm="1">
        <f t="array" aca="1" ref="F126" ca="1">OFFSET(E126,-1,1)</f>
        <v>0</v>
      </c>
      <c r="G126" s="25"/>
      <c r="H126" s="25"/>
      <c r="I126" s="25"/>
      <c r="J126" s="25"/>
      <c r="K126" s="25" t="s">
        <v>324</v>
      </c>
      <c r="L126" s="25"/>
      <c r="M126" s="25"/>
      <c r="N126" s="25"/>
      <c r="O126" s="25"/>
      <c r="P126" s="25"/>
      <c r="Q126" s="25"/>
      <c r="R126" s="25"/>
      <c r="S126" s="25"/>
      <c r="T126" s="578" t="b" cm="1">
        <f t="array" aca="1" ref="T126" ca="1">T125</f>
        <v>0</v>
      </c>
      <c r="U126" s="25"/>
      <c r="V126" s="25"/>
      <c r="W126" s="25"/>
      <c r="X126" s="1046"/>
      <c r="Z126" s="1008"/>
      <c r="AB126" s="124" t="s">
        <v>440</v>
      </c>
      <c r="AC126" s="132" t="s">
        <v>2154</v>
      </c>
      <c r="AD126" s="124" t="s">
        <v>859</v>
      </c>
      <c r="AE126" s="773"/>
      <c r="AF126" s="773"/>
      <c r="AG126" s="773"/>
      <c r="AH126" s="126">
        <f>AG126-AF126</f>
        <v>0</v>
      </c>
      <c r="AI126" s="773"/>
      <c r="AJ126" s="138"/>
      <c r="AK126" s="138"/>
      <c r="AL126" s="138"/>
      <c r="AM126" s="773"/>
      <c r="AN126" s="773"/>
      <c r="AO126" s="773"/>
      <c r="AP126" s="773"/>
      <c r="AQ126" s="773"/>
      <c r="AR126" s="773"/>
      <c r="AS126" s="773"/>
      <c r="AT126" s="138"/>
      <c r="AU126" s="138"/>
      <c r="AV126" s="138"/>
      <c r="AW126" s="773"/>
      <c r="AX126" s="773"/>
      <c r="AY126" s="773"/>
      <c r="AZ126" s="773"/>
      <c r="BA126" s="773"/>
      <c r="BB126" s="773"/>
      <c r="BC126" s="773"/>
      <c r="BD126" s="126">
        <f>IF(AI126=0,0,(AT126-AI126)/AI126*100)</f>
        <v>0</v>
      </c>
      <c r="BE126" s="126">
        <f t="shared" ref="BE126:BM126" si="25">IF(AT126=0,0,(AU126-AT126)/AT126*100)</f>
        <v>0</v>
      </c>
      <c r="BF126" s="126">
        <f t="shared" si="25"/>
        <v>0</v>
      </c>
      <c r="BG126" s="126">
        <f t="shared" si="25"/>
        <v>0</v>
      </c>
      <c r="BH126" s="126">
        <f t="shared" si="25"/>
        <v>0</v>
      </c>
      <c r="BI126" s="126">
        <f t="shared" si="25"/>
        <v>0</v>
      </c>
      <c r="BJ126" s="126">
        <f t="shared" si="25"/>
        <v>0</v>
      </c>
      <c r="BK126" s="126">
        <f t="shared" si="25"/>
        <v>0</v>
      </c>
      <c r="BL126" s="126">
        <f t="shared" si="25"/>
        <v>0</v>
      </c>
      <c r="BM126" s="126">
        <f t="shared" si="25"/>
        <v>0</v>
      </c>
      <c r="BN126" s="776"/>
      <c r="BO126" s="776"/>
      <c r="BP126" s="776"/>
      <c r="BS126" s="694" t="s">
        <v>2155</v>
      </c>
    </row>
    <row r="127" spans="2:75" ht="14.65" hidden="1" customHeight="1">
      <c r="B127" s="578" t="b" cm="1">
        <f t="array" ref="B127">B126</f>
        <v>0</v>
      </c>
      <c r="C127" s="25"/>
      <c r="D127" s="25"/>
      <c r="E127" s="449">
        <v>15</v>
      </c>
      <c r="F127" s="3" cm="1">
        <f t="array" aca="1" ref="F127" ca="1">OFFSET(E127,-1,1)</f>
        <v>0</v>
      </c>
      <c r="G127" s="25"/>
      <c r="H127" s="25"/>
      <c r="I127" s="25"/>
      <c r="J127" s="25"/>
      <c r="K127" s="25" t="s">
        <v>601</v>
      </c>
      <c r="L127" s="25"/>
      <c r="M127" s="25"/>
      <c r="N127" s="25"/>
      <c r="O127" s="25"/>
      <c r="P127" s="25"/>
      <c r="Q127" s="25"/>
      <c r="R127" s="25"/>
      <c r="S127" s="25"/>
      <c r="T127" s="578" t="b" cm="1">
        <f t="array" aca="1" ref="T127" ca="1">T126</f>
        <v>0</v>
      </c>
      <c r="U127" s="25"/>
      <c r="V127" s="25"/>
      <c r="W127" s="25"/>
      <c r="X127" s="1046"/>
      <c r="Z127" s="1008"/>
      <c r="AB127" s="7" t="s">
        <v>729</v>
      </c>
      <c r="AC127" s="127" t="s">
        <v>2156</v>
      </c>
      <c r="AD127" s="7" t="s">
        <v>859</v>
      </c>
      <c r="AE127" s="777"/>
      <c r="AF127" s="777"/>
      <c r="AG127" s="777"/>
      <c r="AH127" s="540"/>
      <c r="AI127" s="777"/>
      <c r="AJ127" s="128"/>
      <c r="AK127" s="128"/>
      <c r="AL127" s="128"/>
      <c r="AM127" s="777"/>
      <c r="AN127" s="777"/>
      <c r="AO127" s="777"/>
      <c r="AP127" s="777"/>
      <c r="AQ127" s="777"/>
      <c r="AR127" s="777"/>
      <c r="AS127" s="777"/>
      <c r="AT127" s="128"/>
      <c r="AU127" s="128"/>
      <c r="AV127" s="128"/>
      <c r="AW127" s="777"/>
      <c r="AX127" s="777"/>
      <c r="AY127" s="777"/>
      <c r="AZ127" s="777"/>
      <c r="BA127" s="777"/>
      <c r="BB127" s="777"/>
      <c r="BC127" s="777"/>
      <c r="BD127" s="540"/>
      <c r="BE127" s="540"/>
      <c r="BF127" s="540"/>
      <c r="BG127" s="540"/>
      <c r="BH127" s="540"/>
      <c r="BI127" s="540"/>
      <c r="BJ127" s="540"/>
      <c r="BK127" s="540"/>
      <c r="BL127" s="540"/>
      <c r="BM127" s="540"/>
      <c r="BN127" s="774"/>
      <c r="BO127" s="774"/>
      <c r="BP127" s="774"/>
      <c r="BS127" s="694" t="s">
        <v>2157</v>
      </c>
    </row>
    <row r="128" spans="2:75" ht="14.65" hidden="1" customHeight="1">
      <c r="B128" s="578" t="b" cm="1">
        <f t="array" ref="B128">B127</f>
        <v>0</v>
      </c>
      <c r="C128" s="25"/>
      <c r="D128" s="25"/>
      <c r="E128" s="449">
        <v>15</v>
      </c>
      <c r="F128" s="3" cm="1">
        <f t="array" aca="1" ref="F128" ca="1">OFFSET(E128,-1,1)</f>
        <v>0</v>
      </c>
      <c r="G128" s="25"/>
      <c r="H128" s="25"/>
      <c r="I128" s="25"/>
      <c r="J128" s="25"/>
      <c r="K128" s="25" t="s">
        <v>605</v>
      </c>
      <c r="L128" s="25"/>
      <c r="M128" s="25"/>
      <c r="N128" s="25"/>
      <c r="O128" s="25"/>
      <c r="P128" s="25"/>
      <c r="Q128" s="25"/>
      <c r="R128" s="25"/>
      <c r="S128" s="25"/>
      <c r="T128" s="578" t="b" cm="1">
        <f t="array" aca="1" ref="T128" ca="1">T127</f>
        <v>0</v>
      </c>
      <c r="U128" s="25"/>
      <c r="V128" s="25"/>
      <c r="W128" s="25"/>
      <c r="X128" s="1046"/>
      <c r="Z128" s="1008"/>
      <c r="AB128" s="7" t="s">
        <v>732</v>
      </c>
      <c r="AC128" s="127" t="s">
        <v>2158</v>
      </c>
      <c r="AD128" s="7" t="s">
        <v>501</v>
      </c>
      <c r="AE128" s="777"/>
      <c r="AF128" s="777"/>
      <c r="AG128" s="777"/>
      <c r="AH128" s="540"/>
      <c r="AI128" s="777"/>
      <c r="AJ128" s="128"/>
      <c r="AK128" s="128"/>
      <c r="AL128" s="128"/>
      <c r="AM128" s="777"/>
      <c r="AN128" s="777"/>
      <c r="AO128" s="777"/>
      <c r="AP128" s="777"/>
      <c r="AQ128" s="777"/>
      <c r="AR128" s="777"/>
      <c r="AS128" s="777"/>
      <c r="AT128" s="128"/>
      <c r="AU128" s="128"/>
      <c r="AV128" s="128"/>
      <c r="AW128" s="777"/>
      <c r="AX128" s="777"/>
      <c r="AY128" s="777"/>
      <c r="AZ128" s="777"/>
      <c r="BA128" s="777"/>
      <c r="BB128" s="777"/>
      <c r="BC128" s="777"/>
      <c r="BD128" s="540"/>
      <c r="BE128" s="540"/>
      <c r="BF128" s="540"/>
      <c r="BG128" s="540"/>
      <c r="BH128" s="540"/>
      <c r="BI128" s="540"/>
      <c r="BJ128" s="540"/>
      <c r="BK128" s="540"/>
      <c r="BL128" s="540"/>
      <c r="BM128" s="540"/>
      <c r="BN128" s="774"/>
      <c r="BO128" s="774"/>
      <c r="BP128" s="774"/>
      <c r="BS128" s="694" t="s">
        <v>2159</v>
      </c>
    </row>
    <row r="129" spans="2:75" ht="14.65" hidden="1" customHeight="1">
      <c r="B129" s="578" t="b" cm="1">
        <f t="array" ref="B129">B128</f>
        <v>0</v>
      </c>
      <c r="C129" s="25"/>
      <c r="D129" s="25"/>
      <c r="E129" s="449">
        <v>15</v>
      </c>
      <c r="F129" s="3" cm="1">
        <f t="array" aca="1" ref="F129" ca="1">OFFSET(E129,-1,1)</f>
        <v>0</v>
      </c>
      <c r="G129" s="25"/>
      <c r="H129" s="25"/>
      <c r="I129" s="25"/>
      <c r="J129" s="25"/>
      <c r="K129" s="25" t="s">
        <v>817</v>
      </c>
      <c r="L129" s="25"/>
      <c r="M129" s="25"/>
      <c r="N129" s="25"/>
      <c r="O129" s="25"/>
      <c r="P129" s="25"/>
      <c r="Q129" s="25"/>
      <c r="R129" s="25"/>
      <c r="S129" s="25"/>
      <c r="T129" s="578" t="b" cm="1">
        <f t="array" aca="1" ref="T129" ca="1">T128</f>
        <v>0</v>
      </c>
      <c r="U129" s="25"/>
      <c r="V129" s="25"/>
      <c r="W129" s="25"/>
      <c r="X129" s="1046"/>
      <c r="Z129" s="1008"/>
      <c r="AB129" s="7" t="s">
        <v>991</v>
      </c>
      <c r="AC129" s="127" t="s">
        <v>2160</v>
      </c>
      <c r="AD129" s="7" t="s">
        <v>859</v>
      </c>
      <c r="AE129" s="777"/>
      <c r="AF129" s="777"/>
      <c r="AG129" s="777"/>
      <c r="AH129" s="540"/>
      <c r="AI129" s="777"/>
      <c r="AJ129" s="128"/>
      <c r="AK129" s="128"/>
      <c r="AL129" s="128"/>
      <c r="AM129" s="777"/>
      <c r="AN129" s="777"/>
      <c r="AO129" s="777"/>
      <c r="AP129" s="777"/>
      <c r="AQ129" s="777"/>
      <c r="AR129" s="777"/>
      <c r="AS129" s="777"/>
      <c r="AT129" s="128"/>
      <c r="AU129" s="128"/>
      <c r="AV129" s="128"/>
      <c r="AW129" s="777"/>
      <c r="AX129" s="777"/>
      <c r="AY129" s="777"/>
      <c r="AZ129" s="777"/>
      <c r="BA129" s="777"/>
      <c r="BB129" s="777"/>
      <c r="BC129" s="777"/>
      <c r="BD129" s="540"/>
      <c r="BE129" s="540"/>
      <c r="BF129" s="540"/>
      <c r="BG129" s="540"/>
      <c r="BH129" s="540"/>
      <c r="BI129" s="540"/>
      <c r="BJ129" s="540"/>
      <c r="BK129" s="540"/>
      <c r="BL129" s="540"/>
      <c r="BM129" s="540"/>
      <c r="BN129" s="774"/>
      <c r="BO129" s="774"/>
      <c r="BP129" s="774"/>
      <c r="BS129" s="694" t="s">
        <v>2161</v>
      </c>
    </row>
    <row r="130" spans="2:75" ht="14.65" hidden="1" customHeight="1">
      <c r="B130" s="578" t="b" cm="1">
        <f t="array" ref="B130">B129</f>
        <v>0</v>
      </c>
      <c r="C130" s="25"/>
      <c r="D130" s="25"/>
      <c r="E130" s="449">
        <v>15</v>
      </c>
      <c r="F130" s="3" cm="1">
        <f t="array" aca="1" ref="F130" ca="1">OFFSET(E130,-1,1)</f>
        <v>0</v>
      </c>
      <c r="G130" s="25"/>
      <c r="H130" s="25"/>
      <c r="I130" s="25"/>
      <c r="J130" s="25"/>
      <c r="K130" s="25" t="s">
        <v>993</v>
      </c>
      <c r="L130" s="25"/>
      <c r="M130" s="25"/>
      <c r="N130" s="25"/>
      <c r="O130" s="25"/>
      <c r="P130" s="25"/>
      <c r="Q130" s="25"/>
      <c r="R130" s="25"/>
      <c r="S130" s="25"/>
      <c r="T130" s="578" t="b" cm="1">
        <f t="array" aca="1" ref="T130" ca="1">T129</f>
        <v>0</v>
      </c>
      <c r="U130" s="25"/>
      <c r="V130" s="25"/>
      <c r="W130" s="25"/>
      <c r="X130" s="1046"/>
      <c r="Z130" s="1008"/>
      <c r="AB130" s="7" t="s">
        <v>994</v>
      </c>
      <c r="AC130" s="127" t="s">
        <v>2162</v>
      </c>
      <c r="AD130" s="7" t="s">
        <v>859</v>
      </c>
      <c r="AE130" s="777"/>
      <c r="AF130" s="777"/>
      <c r="AG130" s="777"/>
      <c r="AH130" s="540"/>
      <c r="AI130" s="777"/>
      <c r="AJ130" s="128"/>
      <c r="AK130" s="128"/>
      <c r="AL130" s="128"/>
      <c r="AM130" s="777"/>
      <c r="AN130" s="777"/>
      <c r="AO130" s="777"/>
      <c r="AP130" s="777"/>
      <c r="AQ130" s="777"/>
      <c r="AR130" s="777"/>
      <c r="AS130" s="777"/>
      <c r="AT130" s="128"/>
      <c r="AU130" s="128"/>
      <c r="AV130" s="128"/>
      <c r="AW130" s="777"/>
      <c r="AX130" s="777"/>
      <c r="AY130" s="777"/>
      <c r="AZ130" s="777"/>
      <c r="BA130" s="777"/>
      <c r="BB130" s="777"/>
      <c r="BC130" s="777"/>
      <c r="BD130" s="540"/>
      <c r="BE130" s="540"/>
      <c r="BF130" s="540"/>
      <c r="BG130" s="540"/>
      <c r="BH130" s="540"/>
      <c r="BI130" s="540"/>
      <c r="BJ130" s="540"/>
      <c r="BK130" s="540"/>
      <c r="BL130" s="540"/>
      <c r="BM130" s="540"/>
      <c r="BN130" s="774"/>
      <c r="BO130" s="774"/>
      <c r="BP130" s="774"/>
      <c r="BS130" s="694" t="s">
        <v>2163</v>
      </c>
    </row>
    <row r="131" spans="2:75" ht="14.65" hidden="1" customHeight="1">
      <c r="B131" s="578" t="b" cm="1">
        <f t="array" ref="B131">B130</f>
        <v>0</v>
      </c>
      <c r="C131" s="25"/>
      <c r="D131" s="25"/>
      <c r="E131" s="449">
        <v>15</v>
      </c>
      <c r="F131" s="3" cm="1">
        <f t="array" aca="1" ref="F131" ca="1">OFFSET(E131,-1,1)</f>
        <v>0</v>
      </c>
      <c r="G131" s="25"/>
      <c r="H131" s="25"/>
      <c r="I131" s="25"/>
      <c r="J131" s="25"/>
      <c r="K131" s="25" t="s">
        <v>2164</v>
      </c>
      <c r="L131" s="25"/>
      <c r="M131" s="25"/>
      <c r="N131" s="25"/>
      <c r="O131" s="25"/>
      <c r="P131" s="25"/>
      <c r="Q131" s="25"/>
      <c r="R131" s="25"/>
      <c r="S131" s="25"/>
      <c r="T131" s="578" t="b" cm="1">
        <f t="array" aca="1" ref="T131" ca="1">T130</f>
        <v>0</v>
      </c>
      <c r="U131" s="25"/>
      <c r="V131" s="25"/>
      <c r="W131" s="25"/>
      <c r="X131" s="1046"/>
      <c r="Z131" s="1008"/>
      <c r="AB131" s="7" t="s">
        <v>2165</v>
      </c>
      <c r="AC131" s="134" t="s">
        <v>2166</v>
      </c>
      <c r="AD131" s="7" t="s">
        <v>501</v>
      </c>
      <c r="AE131" s="777"/>
      <c r="AF131" s="777"/>
      <c r="AG131" s="777"/>
      <c r="AH131" s="540"/>
      <c r="AI131" s="777"/>
      <c r="AJ131" s="128"/>
      <c r="AK131" s="128"/>
      <c r="AL131" s="128"/>
      <c r="AM131" s="777"/>
      <c r="AN131" s="777"/>
      <c r="AO131" s="777"/>
      <c r="AP131" s="777"/>
      <c r="AQ131" s="777"/>
      <c r="AR131" s="777"/>
      <c r="AS131" s="777"/>
      <c r="AT131" s="128"/>
      <c r="AU131" s="128"/>
      <c r="AV131" s="128"/>
      <c r="AW131" s="777"/>
      <c r="AX131" s="777"/>
      <c r="AY131" s="777"/>
      <c r="AZ131" s="777"/>
      <c r="BA131" s="777"/>
      <c r="BB131" s="777"/>
      <c r="BC131" s="777"/>
      <c r="BD131" s="540"/>
      <c r="BE131" s="540"/>
      <c r="BF131" s="540"/>
      <c r="BG131" s="540"/>
      <c r="BH131" s="540"/>
      <c r="BI131" s="540"/>
      <c r="BJ131" s="540"/>
      <c r="BK131" s="540"/>
      <c r="BL131" s="540"/>
      <c r="BM131" s="540"/>
      <c r="BN131" s="774"/>
      <c r="BO131" s="774"/>
      <c r="BP131" s="774"/>
      <c r="BS131" s="694" t="s">
        <v>2167</v>
      </c>
    </row>
    <row r="132" spans="2:75" ht="14.65" hidden="1" customHeight="1">
      <c r="B132" s="578" t="b" cm="1">
        <f t="array" ref="B132">B131</f>
        <v>0</v>
      </c>
      <c r="C132" s="25"/>
      <c r="D132" s="25"/>
      <c r="E132" s="449">
        <v>15</v>
      </c>
      <c r="F132" s="3" cm="1">
        <f t="array" aca="1" ref="F132" ca="1">OFFSET(E132,-1,1)</f>
        <v>0</v>
      </c>
      <c r="G132" s="25"/>
      <c r="H132" s="25"/>
      <c r="I132" s="25"/>
      <c r="J132" s="25"/>
      <c r="K132" s="25" t="s">
        <v>996</v>
      </c>
      <c r="L132" s="25"/>
      <c r="M132" s="25"/>
      <c r="N132" s="25"/>
      <c r="O132" s="25"/>
      <c r="P132" s="25"/>
      <c r="Q132" s="25"/>
      <c r="R132" s="25"/>
      <c r="S132" s="25"/>
      <c r="T132" s="578" t="b" cm="1">
        <f t="array" aca="1" ref="T132" ca="1">T131</f>
        <v>0</v>
      </c>
      <c r="U132" s="25"/>
      <c r="V132" s="25"/>
      <c r="W132" s="25"/>
      <c r="X132" s="1046"/>
      <c r="Z132" s="1008"/>
      <c r="AB132" s="7" t="s">
        <v>997</v>
      </c>
      <c r="AC132" s="127" t="s">
        <v>2168</v>
      </c>
      <c r="AD132" s="7" t="s">
        <v>501</v>
      </c>
      <c r="AE132" s="777"/>
      <c r="AF132" s="777"/>
      <c r="AG132" s="777"/>
      <c r="AH132" s="540"/>
      <c r="AI132" s="777"/>
      <c r="AJ132" s="128"/>
      <c r="AK132" s="128"/>
      <c r="AL132" s="128"/>
      <c r="AM132" s="777"/>
      <c r="AN132" s="777"/>
      <c r="AO132" s="777"/>
      <c r="AP132" s="777"/>
      <c r="AQ132" s="777"/>
      <c r="AR132" s="777"/>
      <c r="AS132" s="777"/>
      <c r="AT132" s="128"/>
      <c r="AU132" s="128"/>
      <c r="AV132" s="128"/>
      <c r="AW132" s="777"/>
      <c r="AX132" s="777"/>
      <c r="AY132" s="777"/>
      <c r="AZ132" s="777"/>
      <c r="BA132" s="777"/>
      <c r="BB132" s="777"/>
      <c r="BC132" s="777"/>
      <c r="BD132" s="540"/>
      <c r="BE132" s="540"/>
      <c r="BF132" s="540"/>
      <c r="BG132" s="540"/>
      <c r="BH132" s="540"/>
      <c r="BI132" s="540"/>
      <c r="BJ132" s="540"/>
      <c r="BK132" s="540"/>
      <c r="BL132" s="540"/>
      <c r="BM132" s="540"/>
      <c r="BN132" s="774"/>
      <c r="BO132" s="774"/>
      <c r="BP132" s="774"/>
      <c r="BS132" s="694" t="s">
        <v>2169</v>
      </c>
    </row>
    <row r="133" spans="2:75" ht="14.65" hidden="1" customHeight="1">
      <c r="B133" s="578" t="b" cm="1">
        <f t="array" ref="B133">B132</f>
        <v>0</v>
      </c>
      <c r="C133" s="25"/>
      <c r="D133" s="25"/>
      <c r="E133" s="449">
        <v>15</v>
      </c>
      <c r="F133" s="3" cm="1">
        <f t="array" aca="1" ref="F133" ca="1">OFFSET(E133,-1,1)</f>
        <v>0</v>
      </c>
      <c r="G133" s="25"/>
      <c r="H133" s="25"/>
      <c r="I133" s="25"/>
      <c r="J133" s="25"/>
      <c r="K133" s="25" t="s">
        <v>2170</v>
      </c>
      <c r="L133" s="25"/>
      <c r="M133" s="25"/>
      <c r="N133" s="25"/>
      <c r="O133" s="25"/>
      <c r="P133" s="25"/>
      <c r="Q133" s="25"/>
      <c r="R133" s="25"/>
      <c r="S133" s="25"/>
      <c r="T133" s="578" t="b" cm="1">
        <f t="array" aca="1" ref="T133" ca="1">T132</f>
        <v>0</v>
      </c>
      <c r="U133" s="25"/>
      <c r="V133" s="25"/>
      <c r="W133" s="25"/>
      <c r="X133" s="1046"/>
      <c r="Z133" s="1008"/>
      <c r="AB133" s="7" t="s">
        <v>2171</v>
      </c>
      <c r="AC133" s="134" t="s">
        <v>2172</v>
      </c>
      <c r="AD133" s="7" t="s">
        <v>501</v>
      </c>
      <c r="AE133" s="777"/>
      <c r="AF133" s="777"/>
      <c r="AG133" s="777"/>
      <c r="AH133" s="540"/>
      <c r="AI133" s="777"/>
      <c r="AJ133" s="128"/>
      <c r="AK133" s="128"/>
      <c r="AL133" s="128"/>
      <c r="AM133" s="777"/>
      <c r="AN133" s="777"/>
      <c r="AO133" s="777"/>
      <c r="AP133" s="777"/>
      <c r="AQ133" s="777"/>
      <c r="AR133" s="777"/>
      <c r="AS133" s="777"/>
      <c r="AT133" s="128"/>
      <c r="AU133" s="128"/>
      <c r="AV133" s="128"/>
      <c r="AW133" s="777"/>
      <c r="AX133" s="777"/>
      <c r="AY133" s="777"/>
      <c r="AZ133" s="777"/>
      <c r="BA133" s="777"/>
      <c r="BB133" s="777"/>
      <c r="BC133" s="777"/>
      <c r="BD133" s="540"/>
      <c r="BE133" s="540"/>
      <c r="BF133" s="540"/>
      <c r="BG133" s="540"/>
      <c r="BH133" s="540"/>
      <c r="BI133" s="540"/>
      <c r="BJ133" s="540"/>
      <c r="BK133" s="540"/>
      <c r="BL133" s="540"/>
      <c r="BM133" s="540"/>
      <c r="BN133" s="774"/>
      <c r="BO133" s="774"/>
      <c r="BP133" s="774"/>
      <c r="BS133" s="694" t="s">
        <v>2173</v>
      </c>
    </row>
    <row r="134" spans="2:75" ht="14.65" hidden="1" customHeight="1">
      <c r="B134" s="578" t="b" cm="1">
        <f t="array" ref="B134">B133</f>
        <v>0</v>
      </c>
      <c r="C134" s="25"/>
      <c r="D134" s="25"/>
      <c r="E134" s="449">
        <v>15</v>
      </c>
      <c r="F134" s="3" cm="1">
        <f t="array" aca="1" ref="F134" ca="1">OFFSET(E134,-1,1)</f>
        <v>0</v>
      </c>
      <c r="G134" s="25"/>
      <c r="H134" s="25"/>
      <c r="I134" s="25"/>
      <c r="J134" s="25"/>
      <c r="K134" s="25" t="s">
        <v>2174</v>
      </c>
      <c r="L134" s="25"/>
      <c r="M134" s="25"/>
      <c r="N134" s="25"/>
      <c r="O134" s="25"/>
      <c r="P134" s="25"/>
      <c r="Q134" s="25"/>
      <c r="R134" s="25"/>
      <c r="S134" s="25"/>
      <c r="T134" s="578" t="b" cm="1">
        <f t="array" aca="1" ref="T134" ca="1">T133</f>
        <v>0</v>
      </c>
      <c r="U134" s="25"/>
      <c r="V134" s="25"/>
      <c r="W134" s="25"/>
      <c r="X134" s="1046"/>
      <c r="Z134" s="1008"/>
      <c r="AB134" s="7" t="s">
        <v>2175</v>
      </c>
      <c r="AC134" s="134" t="s">
        <v>2176</v>
      </c>
      <c r="AD134" s="7" t="s">
        <v>501</v>
      </c>
      <c r="AE134" s="777"/>
      <c r="AF134" s="777"/>
      <c r="AG134" s="777"/>
      <c r="AH134" s="540"/>
      <c r="AI134" s="777"/>
      <c r="AJ134" s="128"/>
      <c r="AK134" s="128"/>
      <c r="AL134" s="128"/>
      <c r="AM134" s="777"/>
      <c r="AN134" s="777"/>
      <c r="AO134" s="777"/>
      <c r="AP134" s="777"/>
      <c r="AQ134" s="777"/>
      <c r="AR134" s="777"/>
      <c r="AS134" s="777"/>
      <c r="AT134" s="128"/>
      <c r="AU134" s="128"/>
      <c r="AV134" s="128"/>
      <c r="AW134" s="777"/>
      <c r="AX134" s="777"/>
      <c r="AY134" s="777"/>
      <c r="AZ134" s="777"/>
      <c r="BA134" s="777"/>
      <c r="BB134" s="777"/>
      <c r="BC134" s="777"/>
      <c r="BD134" s="540"/>
      <c r="BE134" s="540"/>
      <c r="BF134" s="540"/>
      <c r="BG134" s="540"/>
      <c r="BH134" s="540"/>
      <c r="BI134" s="540"/>
      <c r="BJ134" s="540"/>
      <c r="BK134" s="540"/>
      <c r="BL134" s="540"/>
      <c r="BM134" s="540"/>
      <c r="BN134" s="774"/>
      <c r="BO134" s="774"/>
      <c r="BP134" s="774"/>
      <c r="BS134" s="694" t="s">
        <v>2177</v>
      </c>
    </row>
    <row r="135" spans="2:75" s="76" customFormat="1" ht="20.45" hidden="1" customHeight="1">
      <c r="B135" s="331"/>
      <c r="C135" s="27"/>
      <c r="D135" s="27" t="str">
        <f>IF(B134,"6","7")</f>
        <v>7</v>
      </c>
      <c r="E135" s="557">
        <v>21</v>
      </c>
      <c r="F135" s="3" cm="1">
        <f t="array" aca="1" ref="F135" ca="1">OFFSET(E135,-1,1)</f>
        <v>0</v>
      </c>
      <c r="G135" s="25" t="s">
        <v>2178</v>
      </c>
      <c r="H135" s="25"/>
      <c r="I135" s="282" t="s">
        <v>2179</v>
      </c>
      <c r="J135" s="27"/>
      <c r="K135" s="278" t="s">
        <v>2179</v>
      </c>
      <c r="L135" s="27"/>
      <c r="M135" s="27"/>
      <c r="N135" s="27"/>
      <c r="O135" s="27"/>
      <c r="P135" s="27"/>
      <c r="Q135" s="27"/>
      <c r="R135" s="27"/>
      <c r="S135" s="27"/>
      <c r="T135" s="351" t="b" cm="1">
        <f t="array" aca="1" ref="T135" ca="1">T134</f>
        <v>0</v>
      </c>
      <c r="U135" s="27"/>
      <c r="V135" s="27"/>
      <c r="W135" s="27"/>
      <c r="X135" s="1046"/>
      <c r="Z135" s="1008"/>
      <c r="AB135" s="124" t="str" cm="1">
        <f t="array" ref="AB135">D135</f>
        <v>7</v>
      </c>
      <c r="AC135" s="132" t="s">
        <v>1632</v>
      </c>
      <c r="AD135" s="124" t="s">
        <v>859</v>
      </c>
      <c r="AE135" s="773"/>
      <c r="AF135" s="773"/>
      <c r="AG135" s="773"/>
      <c r="AH135" s="126">
        <f>AG135-AF135</f>
        <v>0</v>
      </c>
      <c r="AI135" s="773"/>
      <c r="AJ135" s="128">
        <f ca="1">SUMIFS('Корректировка НВВ'!$AF$25:$AF$129,'Корректировка НВВ'!$F$25:$F$129,$F135,'Корректировка НВВ'!$I$25:$I$129,$G135)</f>
        <v>0</v>
      </c>
      <c r="AK135" s="138"/>
      <c r="AL135" s="138"/>
      <c r="AM135" s="773"/>
      <c r="AN135" s="773"/>
      <c r="AO135" s="773"/>
      <c r="AP135" s="773"/>
      <c r="AQ135" s="773"/>
      <c r="AR135" s="773"/>
      <c r="AS135" s="773"/>
      <c r="AT135" s="128">
        <f ca="1">SUMIFS('Корректировка НВВ'!$AG$25:$AG$129,'Корректировка НВВ'!$F$25:$F$129,$F135,'Корректировка НВВ'!$I$25:$I$129,$G135)</f>
        <v>0</v>
      </c>
      <c r="AU135" s="138"/>
      <c r="AV135" s="138"/>
      <c r="AW135" s="773"/>
      <c r="AX135" s="773"/>
      <c r="AY135" s="773"/>
      <c r="AZ135" s="773"/>
      <c r="BA135" s="773"/>
      <c r="BB135" s="773"/>
      <c r="BC135" s="773"/>
      <c r="BD135" s="126">
        <f>IF(AI135=0,0,(AT135-AI135)/AI135*100)</f>
        <v>0</v>
      </c>
      <c r="BE135" s="126">
        <f t="shared" ref="BE135:BM135" ca="1" si="26">IF(AT135=0,0,(AU135-AT135)/AT135*100)</f>
        <v>0</v>
      </c>
      <c r="BF135" s="126">
        <f t="shared" si="26"/>
        <v>0</v>
      </c>
      <c r="BG135" s="126">
        <f t="shared" si="26"/>
        <v>0</v>
      </c>
      <c r="BH135" s="126">
        <f t="shared" si="26"/>
        <v>0</v>
      </c>
      <c r="BI135" s="126">
        <f t="shared" si="26"/>
        <v>0</v>
      </c>
      <c r="BJ135" s="126">
        <f t="shared" si="26"/>
        <v>0</v>
      </c>
      <c r="BK135" s="126">
        <f t="shared" si="26"/>
        <v>0</v>
      </c>
      <c r="BL135" s="126">
        <f t="shared" si="26"/>
        <v>0</v>
      </c>
      <c r="BM135" s="126">
        <f t="shared" si="26"/>
        <v>0</v>
      </c>
      <c r="BN135" s="776"/>
      <c r="BO135" s="778" t="str">
        <f ca="1">IF(IFERROR(INDEX('Корректировка НВВ'!$K$26:$L$129,MATCH($F135&amp;"11komm",'Корректировка НВВ'!$K$26:$K$129,0),2),"")=0,"",IFERROR(INDEX('Корректировка НВВ'!$K$26:$L$129,MATCH($F135&amp;"11komm",'Корректировка НВВ'!$K$26:$K$129,0),2),""))</f>
        <v/>
      </c>
      <c r="BP135" s="776"/>
      <c r="BS135" s="700" t="s">
        <v>2180</v>
      </c>
      <c r="BT135" s="700"/>
      <c r="BU135" s="700"/>
      <c r="BV135" s="509"/>
      <c r="BW135" s="509"/>
    </row>
    <row r="136" spans="2:75" ht="14.65" hidden="1" customHeight="1">
      <c r="C136" s="25"/>
      <c r="D136" s="25" t="str" cm="1">
        <f t="array" ref="D136">D135</f>
        <v>7</v>
      </c>
      <c r="E136" s="449">
        <v>15</v>
      </c>
      <c r="F136" s="3" cm="1">
        <f t="array" aca="1" ref="F136" ca="1">OFFSET(E136,-1,1)</f>
        <v>0</v>
      </c>
      <c r="G136" s="25"/>
      <c r="H136" s="25"/>
      <c r="I136" s="25"/>
      <c r="J136" s="25"/>
      <c r="L136" s="25"/>
      <c r="M136" s="25"/>
      <c r="N136" s="25"/>
      <c r="O136" s="25"/>
      <c r="P136" s="25"/>
      <c r="Q136" s="25"/>
      <c r="R136" s="25"/>
      <c r="S136" s="25"/>
      <c r="T136" s="351" t="b" cm="1">
        <f t="array" aca="1" ref="T136" ca="1">T135</f>
        <v>0</v>
      </c>
      <c r="U136" s="25"/>
      <c r="V136" s="25"/>
      <c r="W136" s="25"/>
      <c r="X136" s="1046"/>
      <c r="Z136" s="1008"/>
      <c r="AB136" s="7"/>
      <c r="AC136" s="345" t="s">
        <v>2181</v>
      </c>
      <c r="AD136" s="7"/>
      <c r="AE136" s="540"/>
      <c r="AF136" s="540"/>
      <c r="AG136" s="540"/>
      <c r="AH136" s="540"/>
      <c r="AI136" s="540"/>
      <c r="AJ136" s="540"/>
      <c r="AK136" s="540"/>
      <c r="AL136" s="540"/>
      <c r="AM136" s="540"/>
      <c r="AN136" s="540"/>
      <c r="AO136" s="540"/>
      <c r="AP136" s="540"/>
      <c r="AQ136" s="540"/>
      <c r="AR136" s="540"/>
      <c r="AS136" s="540"/>
      <c r="AT136" s="540"/>
      <c r="AU136" s="540"/>
      <c r="AV136" s="540"/>
      <c r="AW136" s="540"/>
      <c r="AX136" s="540"/>
      <c r="AY136" s="540"/>
      <c r="AZ136" s="540"/>
      <c r="BA136" s="540"/>
      <c r="BB136" s="540"/>
      <c r="BC136" s="540"/>
      <c r="BD136" s="540"/>
      <c r="BE136" s="540"/>
      <c r="BF136" s="540"/>
      <c r="BG136" s="540"/>
      <c r="BH136" s="540"/>
      <c r="BI136" s="540"/>
      <c r="BJ136" s="540"/>
      <c r="BK136" s="540"/>
      <c r="BL136" s="540"/>
      <c r="BM136" s="540"/>
      <c r="BN136" s="384"/>
      <c r="BO136" s="384"/>
      <c r="BP136" s="384"/>
    </row>
    <row r="137" spans="2:75" ht="21.95" hidden="1" customHeight="1">
      <c r="C137" s="25"/>
      <c r="D137" s="25" t="str" cm="1">
        <f t="array" ref="D137">D136</f>
        <v>7</v>
      </c>
      <c r="E137" s="449">
        <v>22.5</v>
      </c>
      <c r="F137" s="3" cm="1">
        <f t="array" aca="1" ref="F137" ca="1">OFFSET(E137,-1,1)</f>
        <v>0</v>
      </c>
      <c r="G137" s="25" t="s">
        <v>364</v>
      </c>
      <c r="H137" s="25"/>
      <c r="I137" s="25" t="s">
        <v>560</v>
      </c>
      <c r="J137" s="25"/>
      <c r="K137" s="72" t="s">
        <v>560</v>
      </c>
      <c r="L137" s="25"/>
      <c r="M137" s="25"/>
      <c r="N137" s="25"/>
      <c r="O137" s="25"/>
      <c r="P137" s="25"/>
      <c r="Q137" s="25"/>
      <c r="R137" s="25"/>
      <c r="S137" s="25"/>
      <c r="T137" s="351" t="b" cm="1">
        <f t="array" aca="1" ref="T137" ca="1">T136</f>
        <v>0</v>
      </c>
      <c r="U137" s="25"/>
      <c r="V137" s="25"/>
      <c r="W137" s="25"/>
      <c r="X137" s="1046"/>
      <c r="Z137" s="1008"/>
      <c r="AB137" s="7" t="str">
        <f>D137&amp;".1"</f>
        <v>7.1</v>
      </c>
      <c r="AC137" s="127" t="s">
        <v>2182</v>
      </c>
      <c r="AD137" s="7" t="s">
        <v>859</v>
      </c>
      <c r="AE137" s="777"/>
      <c r="AF137" s="777"/>
      <c r="AG137" s="777"/>
      <c r="AH137" s="170">
        <f t="shared" ref="AH137:AH150" si="27">AG137-AF137</f>
        <v>0</v>
      </c>
      <c r="AI137" s="777"/>
      <c r="AJ137" s="128">
        <f ca="1">SUMIFS('Корректировка НВВ'!$AF$25:$AF$129,'Корректировка НВВ'!$F$25:$F$129,$F137,'Корректировка НВВ'!$I$25:$I$129,$G137)</f>
        <v>0</v>
      </c>
      <c r="AK137" s="128"/>
      <c r="AL137" s="128"/>
      <c r="AM137" s="777"/>
      <c r="AN137" s="777"/>
      <c r="AO137" s="777"/>
      <c r="AP137" s="777"/>
      <c r="AQ137" s="777"/>
      <c r="AR137" s="777"/>
      <c r="AS137" s="777"/>
      <c r="AT137" s="128">
        <f ca="1">SUMIFS('Корректировка НВВ'!$AG$25:$AG$129,'Корректировка НВВ'!$F$25:$F$129,$F137,'Корректировка НВВ'!$I$25:$I$129,$G137)</f>
        <v>0</v>
      </c>
      <c r="AU137" s="128"/>
      <c r="AV137" s="128"/>
      <c r="AW137" s="777"/>
      <c r="AX137" s="777"/>
      <c r="AY137" s="777"/>
      <c r="AZ137" s="777"/>
      <c r="BA137" s="777"/>
      <c r="BB137" s="777"/>
      <c r="BC137" s="777"/>
      <c r="BD137" s="540"/>
      <c r="BE137" s="540"/>
      <c r="BF137" s="540"/>
      <c r="BG137" s="540"/>
      <c r="BH137" s="540"/>
      <c r="BI137" s="540"/>
      <c r="BJ137" s="540"/>
      <c r="BK137" s="540"/>
      <c r="BL137" s="540"/>
      <c r="BM137" s="540"/>
      <c r="BN137" s="774"/>
      <c r="BO137" s="778" t="str">
        <f ca="1">IF(IFERROR(INDEX('Корректировка НВВ'!$K$26:$L$129,MATCH($F137&amp;"1komm",'Корректировка НВВ'!$K$26:$K$129,0),2),"")=0,"",IFERROR(INDEX('Корректировка НВВ'!$K$26:$L$129,MATCH($F137&amp;"1komm",'Корректировка НВВ'!$K$26:$K$129,0),2),""))</f>
        <v/>
      </c>
      <c r="BP137" s="774"/>
      <c r="BS137" s="694" t="s">
        <v>2183</v>
      </c>
    </row>
    <row r="138" spans="2:75" ht="98.65" hidden="1" customHeight="1">
      <c r="C138" s="25"/>
      <c r="D138" s="25" t="str" cm="1">
        <f t="array" ref="D138">D137</f>
        <v>7</v>
      </c>
      <c r="E138" s="449">
        <v>101.25</v>
      </c>
      <c r="F138" s="3" cm="1">
        <f t="array" aca="1" ref="F138" ca="1">OFFSET(E138,-1,1)</f>
        <v>0</v>
      </c>
      <c r="G138" s="25" t="s">
        <v>2184</v>
      </c>
      <c r="H138" s="25"/>
      <c r="I138" s="25" t="s">
        <v>613</v>
      </c>
      <c r="J138" s="25"/>
      <c r="K138" s="72" t="s">
        <v>613</v>
      </c>
      <c r="L138" s="25"/>
      <c r="M138" s="25"/>
      <c r="N138" s="25"/>
      <c r="O138" s="25"/>
      <c r="P138" s="25"/>
      <c r="Q138" s="25"/>
      <c r="R138" s="25"/>
      <c r="S138" s="25"/>
      <c r="T138" s="351" t="b" cm="1">
        <f t="array" aca="1" ref="T138" ca="1">T137</f>
        <v>0</v>
      </c>
      <c r="U138" s="25"/>
      <c r="V138" s="25"/>
      <c r="W138" s="25"/>
      <c r="X138" s="1046"/>
      <c r="Z138" s="1008"/>
      <c r="AB138" s="7" t="str">
        <f>D138&amp;".2"</f>
        <v>7.2</v>
      </c>
      <c r="AC138" s="127" t="s">
        <v>2185</v>
      </c>
      <c r="AD138" s="7" t="s">
        <v>859</v>
      </c>
      <c r="AE138" s="777"/>
      <c r="AF138" s="777"/>
      <c r="AG138" s="777"/>
      <c r="AH138" s="170">
        <f t="shared" si="27"/>
        <v>0</v>
      </c>
      <c r="AI138" s="777"/>
      <c r="AJ138" s="128">
        <f ca="1">SUMIFS('Корректировка НВВ'!$AF$25:$AF$129,'Корректировка НВВ'!$F$25:$F$129,$F138,'Корректировка НВВ'!$I$25:$I$129,$G138)</f>
        <v>0</v>
      </c>
      <c r="AK138" s="128"/>
      <c r="AL138" s="128"/>
      <c r="AM138" s="777"/>
      <c r="AN138" s="777"/>
      <c r="AO138" s="777"/>
      <c r="AP138" s="777"/>
      <c r="AQ138" s="777"/>
      <c r="AR138" s="777"/>
      <c r="AS138" s="777"/>
      <c r="AT138" s="128">
        <f ca="1">SUMIFS('Корректировка НВВ'!$AG$25:$AG$129,'Корректировка НВВ'!$F$25:$F$129,$F138,'Корректировка НВВ'!$I$25:$I$129,$G138)</f>
        <v>0</v>
      </c>
      <c r="AU138" s="128"/>
      <c r="AV138" s="128"/>
      <c r="AW138" s="777"/>
      <c r="AX138" s="777"/>
      <c r="AY138" s="777"/>
      <c r="AZ138" s="777"/>
      <c r="BA138" s="777"/>
      <c r="BB138" s="777"/>
      <c r="BC138" s="777"/>
      <c r="BD138" s="540"/>
      <c r="BE138" s="540"/>
      <c r="BF138" s="540"/>
      <c r="BG138" s="540"/>
      <c r="BH138" s="540"/>
      <c r="BI138" s="540"/>
      <c r="BJ138" s="540"/>
      <c r="BK138" s="540"/>
      <c r="BL138" s="540"/>
      <c r="BM138" s="540"/>
      <c r="BN138" s="774"/>
      <c r="BO138" s="778" t="str">
        <f ca="1">IF(IFERROR(INDEX('Корректировка НВВ'!$K$26:$L$129,MATCH($F138&amp;"2komm",'Корректировка НВВ'!$K$26:$K$129,0),2),"")=0,"",IFERROR(INDEX('Корректировка НВВ'!$K$26:$L$129,MATCH($F138&amp;"2komm",'Корректировка НВВ'!$K$26:$K$129,0),2),""))</f>
        <v/>
      </c>
      <c r="BP138" s="774"/>
      <c r="BS138" s="694" t="s">
        <v>2186</v>
      </c>
    </row>
    <row r="139" spans="2:75" ht="43.9" hidden="1" customHeight="1">
      <c r="C139" s="25"/>
      <c r="D139" s="25" t="str" cm="1">
        <f t="array" ref="D139">D138</f>
        <v>7</v>
      </c>
      <c r="E139" s="449">
        <v>45</v>
      </c>
      <c r="F139" s="3" cm="1">
        <f t="array" aca="1" ref="F139" ca="1">OFFSET(E139,-1,1)</f>
        <v>0</v>
      </c>
      <c r="G139" s="25"/>
      <c r="H139" s="25"/>
      <c r="I139" s="25" t="s">
        <v>628</v>
      </c>
      <c r="J139" s="25"/>
      <c r="K139" s="72" t="s">
        <v>628</v>
      </c>
      <c r="L139" s="25"/>
      <c r="M139" s="25"/>
      <c r="N139" s="25"/>
      <c r="O139" s="25"/>
      <c r="P139" s="25"/>
      <c r="Q139" s="25"/>
      <c r="R139" s="25"/>
      <c r="S139" s="25"/>
      <c r="T139" s="351" t="b" cm="1">
        <f t="array" aca="1" ref="T139" ca="1">T138</f>
        <v>0</v>
      </c>
      <c r="U139" s="25"/>
      <c r="V139" s="25"/>
      <c r="W139" s="25"/>
      <c r="X139" s="1046"/>
      <c r="Z139" s="1008"/>
      <c r="AB139" s="7" t="str">
        <f>D139&amp;".3"</f>
        <v>7.3</v>
      </c>
      <c r="AC139" s="127" t="s">
        <v>2187</v>
      </c>
      <c r="AD139" s="7" t="s">
        <v>859</v>
      </c>
      <c r="AE139" s="777"/>
      <c r="AF139" s="777"/>
      <c r="AG139" s="777"/>
      <c r="AH139" s="170">
        <f t="shared" si="27"/>
        <v>0</v>
      </c>
      <c r="AI139" s="777"/>
      <c r="AJ139" s="128">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28"/>
      <c r="AL139" s="128"/>
      <c r="AM139" s="777"/>
      <c r="AN139" s="777"/>
      <c r="AO139" s="777"/>
      <c r="AP139" s="777"/>
      <c r="AQ139" s="777"/>
      <c r="AR139" s="777"/>
      <c r="AS139" s="777"/>
      <c r="AT139" s="128">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28"/>
      <c r="AV139" s="128"/>
      <c r="AW139" s="777"/>
      <c r="AX139" s="777"/>
      <c r="AY139" s="777"/>
      <c r="AZ139" s="777"/>
      <c r="BA139" s="777"/>
      <c r="BB139" s="777"/>
      <c r="BC139" s="777"/>
      <c r="BD139" s="540"/>
      <c r="BE139" s="540"/>
      <c r="BF139" s="540"/>
      <c r="BG139" s="540"/>
      <c r="BH139" s="540"/>
      <c r="BI139" s="540"/>
      <c r="BJ139" s="540"/>
      <c r="BK139" s="540"/>
      <c r="BL139" s="540"/>
      <c r="BM139" s="540"/>
      <c r="BN139" s="774"/>
      <c r="BO139" s="778"/>
      <c r="BP139" s="774"/>
      <c r="BS139" s="694" t="s">
        <v>2188</v>
      </c>
    </row>
    <row r="140" spans="2:75" ht="87.75" hidden="1" customHeight="1">
      <c r="B140" s="340" t="b">
        <f>S27="Водоотведение"</f>
        <v>0</v>
      </c>
      <c r="C140" s="25"/>
      <c r="D140" s="25" t="str" cm="1">
        <f t="array" ref="D140">D139</f>
        <v>7</v>
      </c>
      <c r="E140" s="449">
        <v>90</v>
      </c>
      <c r="F140" s="3" cm="1">
        <f t="array" aca="1" ref="F140" ca="1">OFFSET(E140,-1,1)</f>
        <v>0</v>
      </c>
      <c r="G140" s="25" t="s">
        <v>2189</v>
      </c>
      <c r="H140" s="569"/>
      <c r="I140" s="25" t="s">
        <v>794</v>
      </c>
      <c r="J140" s="25"/>
      <c r="K140" s="72" t="s">
        <v>794</v>
      </c>
      <c r="L140" s="25" t="s">
        <v>792</v>
      </c>
      <c r="M140" s="25"/>
      <c r="N140" s="25"/>
      <c r="O140" s="25"/>
      <c r="P140" s="25"/>
      <c r="Q140" s="25"/>
      <c r="R140" s="25"/>
      <c r="S140" s="25"/>
      <c r="T140" s="351" t="b" cm="1">
        <f t="array" aca="1" ref="T140" ca="1">T139</f>
        <v>0</v>
      </c>
      <c r="U140" s="25"/>
      <c r="V140" s="25"/>
      <c r="W140" s="25"/>
      <c r="X140" s="1046"/>
      <c r="Z140" s="1008"/>
      <c r="AB140" s="7" t="str">
        <f>D140&amp;".4"</f>
        <v>7.4</v>
      </c>
      <c r="AC140" s="127" t="s">
        <v>1858</v>
      </c>
      <c r="AD140" s="9" t="s">
        <v>859</v>
      </c>
      <c r="AE140" s="777"/>
      <c r="AF140" s="777"/>
      <c r="AG140" s="777"/>
      <c r="AH140" s="170">
        <f t="shared" si="27"/>
        <v>0</v>
      </c>
      <c r="AI140" s="777"/>
      <c r="AJ140" s="128">
        <f ca="1">SUMIFS('Корректировка НВВ'!$AF$25:$AF$129,'Корректировка НВВ'!$F$25:$F$129,$F140,'Корректировка НВВ'!$I$25:$I$129,$G140)</f>
        <v>0</v>
      </c>
      <c r="AK140" s="128"/>
      <c r="AL140" s="128"/>
      <c r="AM140" s="777"/>
      <c r="AN140" s="777"/>
      <c r="AO140" s="777"/>
      <c r="AP140" s="777"/>
      <c r="AQ140" s="777"/>
      <c r="AR140" s="777"/>
      <c r="AS140" s="777"/>
      <c r="AT140" s="128">
        <f ca="1">SUMIFS('Корректировка НВВ'!$AG$25:$AG$129,'Корректировка НВВ'!$F$25:$F$129,$F140,'Корректировка НВВ'!$I$25:$I$129,$G140)</f>
        <v>0</v>
      </c>
      <c r="AU140" s="128"/>
      <c r="AV140" s="128"/>
      <c r="AW140" s="777"/>
      <c r="AX140" s="777"/>
      <c r="AY140" s="777"/>
      <c r="AZ140" s="777"/>
      <c r="BA140" s="777"/>
      <c r="BB140" s="777"/>
      <c r="BC140" s="777"/>
      <c r="BD140" s="540"/>
      <c r="BE140" s="540"/>
      <c r="BF140" s="540"/>
      <c r="BG140" s="540"/>
      <c r="BH140" s="540"/>
      <c r="BI140" s="540"/>
      <c r="BJ140" s="540"/>
      <c r="BK140" s="540"/>
      <c r="BL140" s="540"/>
      <c r="BM140" s="540"/>
      <c r="BN140" s="774"/>
      <c r="BO140" s="778" t="str">
        <f ca="1">IF(IFERROR(INDEX('Корректировка НВВ'!$K$26:$L$129,MATCH($F140&amp;"3komm",'Корректировка НВВ'!$K$26:$K$129,0),2),"")=0,"",IFERROR(INDEX('Корректировка НВВ'!$K$26:$L$129,MATCH($F140&amp;"3komm",'Корректировка НВВ'!$K$26:$K$129,0),2),""))</f>
        <v/>
      </c>
      <c r="BP140" s="774"/>
      <c r="BS140" s="694" t="s">
        <v>1408</v>
      </c>
    </row>
    <row r="141" spans="2:75" ht="54.75" hidden="1" customHeight="1">
      <c r="B141" s="340" t="b" cm="1">
        <f t="array" ref="B141">B140</f>
        <v>0</v>
      </c>
      <c r="C141" s="25"/>
      <c r="D141" s="25" t="str" cm="1">
        <f t="array" ref="D141">D140</f>
        <v>7</v>
      </c>
      <c r="E141" s="449">
        <v>56.25</v>
      </c>
      <c r="F141" s="3" cm="1">
        <f t="array" aca="1" ref="F141" ca="1">OFFSET(E141,-1,1)</f>
        <v>0</v>
      </c>
      <c r="G141" s="25" t="s">
        <v>2190</v>
      </c>
      <c r="H141" s="569"/>
      <c r="I141" s="25" t="s">
        <v>837</v>
      </c>
      <c r="J141" s="25"/>
      <c r="K141" s="72" t="s">
        <v>837</v>
      </c>
      <c r="L141" s="25" t="s">
        <v>794</v>
      </c>
      <c r="M141" s="25"/>
      <c r="N141" s="25"/>
      <c r="O141" s="25"/>
      <c r="P141" s="25"/>
      <c r="Q141" s="25"/>
      <c r="R141" s="25"/>
      <c r="S141" s="25"/>
      <c r="T141" s="351" t="b" cm="1">
        <f t="array" aca="1" ref="T141" ca="1">T140</f>
        <v>0</v>
      </c>
      <c r="U141" s="25"/>
      <c r="V141" s="25"/>
      <c r="W141" s="25"/>
      <c r="X141" s="1046"/>
      <c r="Z141" s="1008"/>
      <c r="AB141" s="7" t="str">
        <f>D141&amp;".5"</f>
        <v>7.5</v>
      </c>
      <c r="AC141" s="127" t="s">
        <v>1859</v>
      </c>
      <c r="AD141" s="9" t="s">
        <v>859</v>
      </c>
      <c r="AE141" s="777"/>
      <c r="AF141" s="777"/>
      <c r="AG141" s="777"/>
      <c r="AH141" s="170">
        <f t="shared" si="27"/>
        <v>0</v>
      </c>
      <c r="AI141" s="777"/>
      <c r="AJ141" s="128">
        <f ca="1">SUMIFS('Корректировка НВВ'!$AF$25:$AF$129,'Корректировка НВВ'!$F$25:$F$129,$F141,'Корректировка НВВ'!$I$25:$I$129,$G141)</f>
        <v>0</v>
      </c>
      <c r="AK141" s="128"/>
      <c r="AL141" s="128"/>
      <c r="AM141" s="777"/>
      <c r="AN141" s="777"/>
      <c r="AO141" s="777"/>
      <c r="AP141" s="777"/>
      <c r="AQ141" s="777"/>
      <c r="AR141" s="777"/>
      <c r="AS141" s="777"/>
      <c r="AT141" s="128">
        <f ca="1">SUMIFS('Корректировка НВВ'!$AG$25:$AG$129,'Корректировка НВВ'!$F$25:$F$129,$F141,'Корректировка НВВ'!$I$25:$I$129,$G141)</f>
        <v>0</v>
      </c>
      <c r="AU141" s="128"/>
      <c r="AV141" s="128"/>
      <c r="AW141" s="777"/>
      <c r="AX141" s="777"/>
      <c r="AY141" s="777"/>
      <c r="AZ141" s="777"/>
      <c r="BA141" s="777"/>
      <c r="BB141" s="777"/>
      <c r="BC141" s="777"/>
      <c r="BD141" s="540"/>
      <c r="BE141" s="540"/>
      <c r="BF141" s="540"/>
      <c r="BG141" s="540"/>
      <c r="BH141" s="540"/>
      <c r="BI141" s="540"/>
      <c r="BJ141" s="540"/>
      <c r="BK141" s="540"/>
      <c r="BL141" s="540"/>
      <c r="BM141" s="540"/>
      <c r="BN141" s="774"/>
      <c r="BO141" s="778" t="str">
        <f ca="1">IF(IFERROR(INDEX('Корректировка НВВ'!$K$26:$L$129,MATCH($F141&amp;"4komm",'Корректировка НВВ'!$K$26:$K$129,0),2),"")=0,"",IFERROR(INDEX('Корректировка НВВ'!$K$26:$L$129,MATCH($F141&amp;"4komm",'Корректировка НВВ'!$K$26:$K$129,0),2),""))</f>
        <v/>
      </c>
      <c r="BP141" s="774"/>
      <c r="BS141" s="694" t="s">
        <v>1412</v>
      </c>
    </row>
    <row r="142" spans="2:75" ht="14.65" hidden="1" customHeight="1">
      <c r="B142" s="46"/>
      <c r="C142" s="25"/>
      <c r="D142" s="25" t="str" cm="1">
        <f t="array" ref="D142">D141</f>
        <v>7</v>
      </c>
      <c r="E142" s="449">
        <v>15</v>
      </c>
      <c r="F142" s="3" cm="1">
        <f t="array" aca="1" ref="F142" ca="1">OFFSET(E142,-1,1)</f>
        <v>0</v>
      </c>
      <c r="G142" s="25" t="s">
        <v>2191</v>
      </c>
      <c r="H142" s="25"/>
      <c r="I142" s="25" t="s">
        <v>838</v>
      </c>
      <c r="J142" s="25"/>
      <c r="K142" s="72" t="s">
        <v>838</v>
      </c>
      <c r="L142" s="25" t="s">
        <v>837</v>
      </c>
      <c r="M142" s="25"/>
      <c r="N142" s="25"/>
      <c r="O142" s="25"/>
      <c r="P142" s="25"/>
      <c r="Q142" s="25"/>
      <c r="R142" s="25"/>
      <c r="S142" s="25"/>
      <c r="T142" s="351" t="b" cm="1">
        <f t="array" aca="1" ref="T142" ca="1">T141</f>
        <v>0</v>
      </c>
      <c r="U142" s="25"/>
      <c r="V142" s="25"/>
      <c r="W142" s="25"/>
      <c r="X142" s="1046"/>
      <c r="Z142" s="1008"/>
      <c r="AB142" s="7" t="str">
        <f>IF(B141,D142&amp;".6",D142&amp;".4")</f>
        <v>7.4</v>
      </c>
      <c r="AC142" s="127" t="s">
        <v>1625</v>
      </c>
      <c r="AD142" s="7" t="s">
        <v>859</v>
      </c>
      <c r="AE142" s="777"/>
      <c r="AF142" s="777"/>
      <c r="AG142" s="777"/>
      <c r="AH142" s="170">
        <f t="shared" si="27"/>
        <v>0</v>
      </c>
      <c r="AI142" s="777"/>
      <c r="AJ142" s="128">
        <f ca="1">SUMIFS('Корректировка НВВ'!$AF$25:$AF$129,'Корректировка НВВ'!$F$25:$F$129,$F142,'Корректировка НВВ'!$I$25:$I$129,$G142)</f>
        <v>0</v>
      </c>
      <c r="AK142" s="128"/>
      <c r="AL142" s="128"/>
      <c r="AM142" s="777"/>
      <c r="AN142" s="777"/>
      <c r="AO142" s="777"/>
      <c r="AP142" s="777"/>
      <c r="AQ142" s="777"/>
      <c r="AR142" s="777"/>
      <c r="AS142" s="777"/>
      <c r="AT142" s="128">
        <f ca="1">SUMIFS('Корректировка НВВ'!$AG$25:$AG$129,'Корректировка НВВ'!$F$25:$F$129,$F142,'Корректировка НВВ'!$I$25:$I$129,$G142)</f>
        <v>0</v>
      </c>
      <c r="AU142" s="128"/>
      <c r="AV142" s="128"/>
      <c r="AW142" s="777"/>
      <c r="AX142" s="777"/>
      <c r="AY142" s="777"/>
      <c r="AZ142" s="777"/>
      <c r="BA142" s="777"/>
      <c r="BB142" s="777"/>
      <c r="BC142" s="777"/>
      <c r="BD142" s="540"/>
      <c r="BE142" s="540"/>
      <c r="BF142" s="540"/>
      <c r="BG142" s="540"/>
      <c r="BH142" s="540"/>
      <c r="BI142" s="540"/>
      <c r="BJ142" s="540"/>
      <c r="BK142" s="540"/>
      <c r="BL142" s="540"/>
      <c r="BM142" s="540"/>
      <c r="BN142" s="774"/>
      <c r="BO142" s="778" t="str">
        <f ca="1">IF(IFERROR(INDEX('Корректировка НВВ'!$K$26:$L$129,MATCH($F142&amp;"5komm",'Корректировка НВВ'!$K$26:$K$129,0),2),"")=0,"",IFERROR(INDEX('Корректировка НВВ'!$K$26:$L$129,MATCH($F142&amp;"5komm",'Корректировка НВВ'!$K$26:$K$129,0),2),""))</f>
        <v/>
      </c>
      <c r="BP142" s="774"/>
      <c r="BS142" s="694" t="s">
        <v>2192</v>
      </c>
    </row>
    <row r="143" spans="2:75" ht="14.65" hidden="1" customHeight="1">
      <c r="C143" s="25"/>
      <c r="D143" s="25" t="str" cm="1">
        <f t="array" ref="D143">D142</f>
        <v>7</v>
      </c>
      <c r="E143" s="449">
        <v>15</v>
      </c>
      <c r="F143" s="3" cm="1">
        <f t="array" aca="1" ref="F143" ca="1">OFFSET(E143,-1,1)</f>
        <v>0</v>
      </c>
      <c r="G143" s="25" t="s">
        <v>2193</v>
      </c>
      <c r="H143" s="25"/>
      <c r="I143" s="25" t="s">
        <v>1867</v>
      </c>
      <c r="J143" s="25"/>
      <c r="K143" s="72" t="s">
        <v>1867</v>
      </c>
      <c r="L143" s="25" t="s">
        <v>838</v>
      </c>
      <c r="M143" s="25"/>
      <c r="N143" s="25"/>
      <c r="O143" s="25"/>
      <c r="P143" s="25"/>
      <c r="Q143" s="25"/>
      <c r="R143" s="25"/>
      <c r="S143" s="25"/>
      <c r="T143" s="351" t="b" cm="1">
        <f t="array" aca="1" ref="T143" ca="1">T142</f>
        <v>0</v>
      </c>
      <c r="U143" s="25"/>
      <c r="V143" s="25"/>
      <c r="W143" s="25"/>
      <c r="X143" s="1046"/>
      <c r="Z143" s="1008"/>
      <c r="AB143" s="7" t="str">
        <f>IF(B141,D142&amp;".7",D142&amp;".5")</f>
        <v>7.5</v>
      </c>
      <c r="AC143" s="127" t="s">
        <v>1587</v>
      </c>
      <c r="AD143" s="7" t="s">
        <v>859</v>
      </c>
      <c r="AE143" s="777">
        <f>AE144+AE145</f>
        <v>0</v>
      </c>
      <c r="AF143" s="777">
        <f>AF144+AF145</f>
        <v>0</v>
      </c>
      <c r="AG143" s="777">
        <f>AG144+AG145</f>
        <v>0</v>
      </c>
      <c r="AH143" s="170">
        <f t="shared" si="27"/>
        <v>0</v>
      </c>
      <c r="AI143" s="777">
        <f>AI144+AI145</f>
        <v>0</v>
      </c>
      <c r="AJ143" s="128">
        <f ca="1">SUMIFS('Корректировка НВВ'!$AF$25:$AF$129,'Корректировка НВВ'!$F$25:$F$129,$F143,'Корректировка НВВ'!$I$25:$I$129,$G143)</f>
        <v>0</v>
      </c>
      <c r="AK143" s="128">
        <f t="shared" ref="AK143:AS143" si="28">AK144+AK145</f>
        <v>0</v>
      </c>
      <c r="AL143" s="128">
        <f t="shared" si="28"/>
        <v>0</v>
      </c>
      <c r="AM143" s="777">
        <f t="shared" si="28"/>
        <v>0</v>
      </c>
      <c r="AN143" s="777">
        <f t="shared" si="28"/>
        <v>0</v>
      </c>
      <c r="AO143" s="777">
        <f t="shared" si="28"/>
        <v>0</v>
      </c>
      <c r="AP143" s="777">
        <f t="shared" si="28"/>
        <v>0</v>
      </c>
      <c r="AQ143" s="777">
        <f t="shared" si="28"/>
        <v>0</v>
      </c>
      <c r="AR143" s="777">
        <f t="shared" si="28"/>
        <v>0</v>
      </c>
      <c r="AS143" s="777">
        <f t="shared" si="28"/>
        <v>0</v>
      </c>
      <c r="AT143" s="128">
        <f ca="1">SUMIFS('Корректировка НВВ'!$AG$25:$AG$129,'Корректировка НВВ'!$F$25:$F$129,$F143,'Корректировка НВВ'!$I$25:$I$129,$G143)</f>
        <v>0</v>
      </c>
      <c r="AU143" s="128">
        <f t="shared" ref="AU143:BC143" si="29">AU144+AU145</f>
        <v>0</v>
      </c>
      <c r="AV143" s="128">
        <f t="shared" si="29"/>
        <v>0</v>
      </c>
      <c r="AW143" s="777">
        <f t="shared" si="29"/>
        <v>0</v>
      </c>
      <c r="AX143" s="777">
        <f t="shared" si="29"/>
        <v>0</v>
      </c>
      <c r="AY143" s="777">
        <f t="shared" si="29"/>
        <v>0</v>
      </c>
      <c r="AZ143" s="777">
        <f t="shared" si="29"/>
        <v>0</v>
      </c>
      <c r="BA143" s="777">
        <f t="shared" si="29"/>
        <v>0</v>
      </c>
      <c r="BB143" s="777">
        <f t="shared" si="29"/>
        <v>0</v>
      </c>
      <c r="BC143" s="777">
        <f t="shared" si="29"/>
        <v>0</v>
      </c>
      <c r="BD143" s="170">
        <f>IF(AI143=0,0,(AT143-AI143)/AI143*100)</f>
        <v>0</v>
      </c>
      <c r="BE143" s="170">
        <f t="shared" ref="BE143:BM143" ca="1" si="30">IF(AT143=0,0,(AU143-AT143)/AT143*100)</f>
        <v>0</v>
      </c>
      <c r="BF143" s="170">
        <f t="shared" si="30"/>
        <v>0</v>
      </c>
      <c r="BG143" s="170">
        <f t="shared" si="30"/>
        <v>0</v>
      </c>
      <c r="BH143" s="170">
        <f t="shared" si="30"/>
        <v>0</v>
      </c>
      <c r="BI143" s="170">
        <f t="shared" si="30"/>
        <v>0</v>
      </c>
      <c r="BJ143" s="170">
        <f t="shared" si="30"/>
        <v>0</v>
      </c>
      <c r="BK143" s="170">
        <f t="shared" si="30"/>
        <v>0</v>
      </c>
      <c r="BL143" s="170">
        <f t="shared" si="30"/>
        <v>0</v>
      </c>
      <c r="BM143" s="170">
        <f t="shared" si="30"/>
        <v>0</v>
      </c>
      <c r="BN143" s="774"/>
      <c r="BO143" s="778" t="str">
        <f ca="1">IF(IFERROR(INDEX('Корректировка НВВ'!$K$26:$L$129,MATCH($F143&amp;"6komm",'Корректировка НВВ'!$K$26:$K$129,0),2),"")=0,"",IFERROR(INDEX('Корректировка НВВ'!$K$26:$L$129,MATCH($F143&amp;"6komm",'Корректировка НВВ'!$K$26:$K$129,0),2),""))</f>
        <v/>
      </c>
      <c r="BP143" s="774"/>
      <c r="BS143" s="694" t="s">
        <v>1589</v>
      </c>
    </row>
    <row r="144" spans="2:75" ht="21.95" hidden="1" customHeight="1">
      <c r="C144" s="25"/>
      <c r="D144" s="25" t="str" cm="1">
        <f t="array" ref="D144">D143</f>
        <v>7</v>
      </c>
      <c r="E144" s="449">
        <v>22.5</v>
      </c>
      <c r="F144" s="3" cm="1">
        <f t="array" aca="1" ref="F144" ca="1">OFFSET(E144,-1,1)</f>
        <v>0</v>
      </c>
      <c r="G144" s="25" t="s">
        <v>2194</v>
      </c>
      <c r="H144" s="25"/>
      <c r="I144" s="25" t="s">
        <v>2195</v>
      </c>
      <c r="J144" s="25"/>
      <c r="K144" s="72" t="s">
        <v>2195</v>
      </c>
      <c r="L144" s="25" t="s">
        <v>1862</v>
      </c>
      <c r="M144" s="25"/>
      <c r="N144" s="25"/>
      <c r="O144" s="25"/>
      <c r="P144" s="25"/>
      <c r="Q144" s="25"/>
      <c r="R144" s="25"/>
      <c r="S144" s="25"/>
      <c r="T144" s="351" t="b" cm="1">
        <f t="array" aca="1" ref="T144" ca="1">T143</f>
        <v>0</v>
      </c>
      <c r="U144" s="25"/>
      <c r="V144" s="25"/>
      <c r="W144" s="25"/>
      <c r="X144" s="1046"/>
      <c r="Z144" s="1008"/>
      <c r="AB144" s="7" t="str">
        <f>AB143&amp;".1"</f>
        <v>7.5.1</v>
      </c>
      <c r="AC144" s="547" t="s">
        <v>1590</v>
      </c>
      <c r="AD144" s="7" t="s">
        <v>859</v>
      </c>
      <c r="AE144" s="777"/>
      <c r="AF144" s="777"/>
      <c r="AG144" s="777"/>
      <c r="AH144" s="170">
        <f t="shared" si="27"/>
        <v>0</v>
      </c>
      <c r="AI144" s="777"/>
      <c r="AJ144" s="128">
        <f ca="1">SUMIFS('Корректировка НВВ'!$AF$25:$AF$129,'Корректировка НВВ'!$F$25:$F$129,$F144,'Корректировка НВВ'!$I$25:$I$129,$G144)</f>
        <v>0</v>
      </c>
      <c r="AK144" s="128"/>
      <c r="AL144" s="128"/>
      <c r="AM144" s="777"/>
      <c r="AN144" s="777"/>
      <c r="AO144" s="777"/>
      <c r="AP144" s="777"/>
      <c r="AQ144" s="777"/>
      <c r="AR144" s="777"/>
      <c r="AS144" s="777"/>
      <c r="AT144" s="128">
        <f ca="1">SUMIFS('Корректировка НВВ'!$AG$25:$AG$129,'Корректировка НВВ'!$F$25:$F$129,$F144,'Корректировка НВВ'!$I$25:$I$129,$G144)</f>
        <v>0</v>
      </c>
      <c r="AU144" s="128"/>
      <c r="AV144" s="128"/>
      <c r="AW144" s="777"/>
      <c r="AX144" s="777"/>
      <c r="AY144" s="777"/>
      <c r="AZ144" s="777"/>
      <c r="BA144" s="777"/>
      <c r="BB144" s="777"/>
      <c r="BC144" s="777"/>
      <c r="BD144" s="540"/>
      <c r="BE144" s="540"/>
      <c r="BF144" s="540"/>
      <c r="BG144" s="540"/>
      <c r="BH144" s="540"/>
      <c r="BI144" s="540"/>
      <c r="BJ144" s="540"/>
      <c r="BK144" s="540"/>
      <c r="BL144" s="540"/>
      <c r="BM144" s="540"/>
      <c r="BN144" s="774"/>
      <c r="BO144" s="778" t="str">
        <f ca="1">IF(IFERROR(INDEX('Корректировка НВВ'!$K$26:$L$129,MATCH($F144&amp;"7komm",'Корректировка НВВ'!$K$26:$K$129,0),2),"")=0,"",IFERROR(INDEX('Корректировка НВВ'!$K$26:$L$129,MATCH($F144&amp;"7komm",'Корректировка НВВ'!$K$26:$K$129,0),2),""))</f>
        <v/>
      </c>
      <c r="BP144" s="774"/>
      <c r="BS144" s="694" t="s">
        <v>1591</v>
      </c>
    </row>
    <row r="145" spans="2:75" ht="21.95" hidden="1" customHeight="1">
      <c r="C145" s="25"/>
      <c r="D145" s="25" t="str" cm="1">
        <f t="array" ref="D145">D144</f>
        <v>7</v>
      </c>
      <c r="E145" s="449">
        <v>22.5</v>
      </c>
      <c r="F145" s="3" cm="1">
        <f t="array" aca="1" ref="F145" ca="1">OFFSET(E145,-1,1)</f>
        <v>0</v>
      </c>
      <c r="G145" s="25" t="s">
        <v>2196</v>
      </c>
      <c r="H145" s="25"/>
      <c r="I145" s="25" t="s">
        <v>2197</v>
      </c>
      <c r="J145" s="25"/>
      <c r="K145" s="72" t="s">
        <v>2197</v>
      </c>
      <c r="L145" s="25" t="s">
        <v>1864</v>
      </c>
      <c r="M145" s="25"/>
      <c r="N145" s="25"/>
      <c r="O145" s="25"/>
      <c r="P145" s="25"/>
      <c r="Q145" s="25"/>
      <c r="R145" s="25"/>
      <c r="S145" s="25"/>
      <c r="T145" s="351" t="b" cm="1">
        <f t="array" aca="1" ref="T145" ca="1">T144</f>
        <v>0</v>
      </c>
      <c r="U145" s="25"/>
      <c r="V145" s="25"/>
      <c r="W145" s="25"/>
      <c r="X145" s="1046"/>
      <c r="Z145" s="1008"/>
      <c r="AB145" s="7" t="str">
        <f>AB143&amp;".2"</f>
        <v>7.5.2</v>
      </c>
      <c r="AC145" s="547" t="s">
        <v>1592</v>
      </c>
      <c r="AD145" s="7" t="s">
        <v>859</v>
      </c>
      <c r="AE145" s="777"/>
      <c r="AF145" s="777"/>
      <c r="AG145" s="777"/>
      <c r="AH145" s="170">
        <f t="shared" si="27"/>
        <v>0</v>
      </c>
      <c r="AI145" s="777"/>
      <c r="AJ145" s="128">
        <f ca="1">SUMIFS('Корректировка НВВ'!$AF$25:$AF$129,'Корректировка НВВ'!$F$25:$F$129,$F145,'Корректировка НВВ'!$I$25:$I$129,$G145)</f>
        <v>0</v>
      </c>
      <c r="AK145" s="128"/>
      <c r="AL145" s="128"/>
      <c r="AM145" s="777"/>
      <c r="AN145" s="777"/>
      <c r="AO145" s="777"/>
      <c r="AP145" s="777"/>
      <c r="AQ145" s="777"/>
      <c r="AR145" s="777"/>
      <c r="AS145" s="777"/>
      <c r="AT145" s="128">
        <f ca="1">SUMIFS('Корректировка НВВ'!$AG$25:$AG$129,'Корректировка НВВ'!$F$25:$F$129,$F145,'Корректировка НВВ'!$I$25:$I$129,$G145)</f>
        <v>0</v>
      </c>
      <c r="AU145" s="128"/>
      <c r="AV145" s="128"/>
      <c r="AW145" s="777"/>
      <c r="AX145" s="777"/>
      <c r="AY145" s="777"/>
      <c r="AZ145" s="777"/>
      <c r="BA145" s="777"/>
      <c r="BB145" s="777"/>
      <c r="BC145" s="777"/>
      <c r="BD145" s="540"/>
      <c r="BE145" s="540"/>
      <c r="BF145" s="540"/>
      <c r="BG145" s="540"/>
      <c r="BH145" s="540"/>
      <c r="BI145" s="540"/>
      <c r="BJ145" s="540"/>
      <c r="BK145" s="540"/>
      <c r="BL145" s="540"/>
      <c r="BM145" s="540"/>
      <c r="BN145" s="774"/>
      <c r="BO145" s="778" t="str">
        <f ca="1">IF(IFERROR(INDEX('Корректировка НВВ'!$K$26:$L$129,MATCH($F145&amp;"8komm",'Корректировка НВВ'!$K$26:$K$129,0),2),"")=0,"",IFERROR(INDEX('Корректировка НВВ'!$K$26:$L$129,MATCH($F145&amp;"8komm",'Корректировка НВВ'!$K$26:$K$129,0),2),""))</f>
        <v/>
      </c>
      <c r="BP145" s="774"/>
      <c r="BS145" s="694" t="s">
        <v>1593</v>
      </c>
    </row>
    <row r="146" spans="2:75" ht="14.65" hidden="1" customHeight="1">
      <c r="C146" s="25"/>
      <c r="D146" s="25" t="str" cm="1">
        <f t="array" ref="D146">D145</f>
        <v>7</v>
      </c>
      <c r="E146" s="449">
        <v>15</v>
      </c>
      <c r="F146" s="3" cm="1">
        <f t="array" aca="1" ref="F146" ca="1">OFFSET(E146,-1,1)</f>
        <v>0</v>
      </c>
      <c r="G146" s="25" t="s">
        <v>308</v>
      </c>
      <c r="H146" s="25"/>
      <c r="I146" s="25" t="s">
        <v>1868</v>
      </c>
      <c r="J146" s="25"/>
      <c r="K146" s="72" t="s">
        <v>1868</v>
      </c>
      <c r="L146" s="25" t="s">
        <v>1867</v>
      </c>
      <c r="M146" s="25"/>
      <c r="N146" s="25"/>
      <c r="O146" s="25"/>
      <c r="P146" s="25"/>
      <c r="Q146" s="25"/>
      <c r="R146" s="25"/>
      <c r="S146" s="25"/>
      <c r="T146" s="351" t="b" cm="1">
        <f t="array" aca="1" ref="T146" ca="1">T145</f>
        <v>0</v>
      </c>
      <c r="U146" s="25"/>
      <c r="V146" s="25"/>
      <c r="W146" s="25"/>
      <c r="X146" s="1046"/>
      <c r="Z146" s="1008"/>
      <c r="AB146" s="7" t="str">
        <f>IF(B141,D142&amp;".8",D142&amp;".6")</f>
        <v>7.6</v>
      </c>
      <c r="AC146" s="548" t="s">
        <v>1594</v>
      </c>
      <c r="AD146" s="7" t="s">
        <v>859</v>
      </c>
      <c r="AE146" s="777"/>
      <c r="AF146" s="777"/>
      <c r="AG146" s="777"/>
      <c r="AH146" s="170">
        <f t="shared" si="27"/>
        <v>0</v>
      </c>
      <c r="AI146" s="777"/>
      <c r="AJ146" s="128">
        <f ca="1">SUMIFS('Корректировка НВВ'!$AF$25:$AF$129,'Корректировка НВВ'!$F$25:$F$129,$F146,'Корректировка НВВ'!$I$25:$I$129,$G146)</f>
        <v>0</v>
      </c>
      <c r="AK146" s="128"/>
      <c r="AL146" s="128"/>
      <c r="AM146" s="777"/>
      <c r="AN146" s="777"/>
      <c r="AO146" s="777"/>
      <c r="AP146" s="777"/>
      <c r="AQ146" s="777"/>
      <c r="AR146" s="777"/>
      <c r="AS146" s="777"/>
      <c r="AT146" s="128">
        <f ca="1">SUMIFS('Корректировка НВВ'!$AG$25:$AG$129,'Корректировка НВВ'!$F$25:$F$129,$F146,'Корректировка НВВ'!$I$25:$I$129,$G146)</f>
        <v>0</v>
      </c>
      <c r="AU146" s="128"/>
      <c r="AV146" s="128"/>
      <c r="AW146" s="777"/>
      <c r="AX146" s="777"/>
      <c r="AY146" s="777"/>
      <c r="AZ146" s="777"/>
      <c r="BA146" s="777"/>
      <c r="BB146" s="777"/>
      <c r="BC146" s="777"/>
      <c r="BD146" s="540"/>
      <c r="BE146" s="540"/>
      <c r="BF146" s="540"/>
      <c r="BG146" s="540"/>
      <c r="BH146" s="540"/>
      <c r="BI146" s="540"/>
      <c r="BJ146" s="540"/>
      <c r="BK146" s="540"/>
      <c r="BL146" s="540"/>
      <c r="BM146" s="540"/>
      <c r="BN146" s="774"/>
      <c r="BO146" s="778" t="str">
        <f ca="1">IF(IFERROR(INDEX('Корректировка НВВ'!$K$26:$L$129,MATCH($F146&amp;"9komm",'Корректировка НВВ'!$K$26:$K$129,0),2),"")=0,"",IFERROR(INDEX('Корректировка НВВ'!$K$26:$L$129,MATCH($F146&amp;"9komm",'Корректировка НВВ'!$K$26:$K$129,0),2),""))</f>
        <v/>
      </c>
      <c r="BP146" s="774"/>
      <c r="BS146" s="694" t="s">
        <v>2198</v>
      </c>
    </row>
    <row r="147" spans="2:75" ht="14.65" hidden="1" customHeight="1">
      <c r="C147" s="25"/>
      <c r="D147" s="25" t="str" cm="1">
        <f t="array" ref="D147">D146</f>
        <v>7</v>
      </c>
      <c r="E147" s="449">
        <v>15</v>
      </c>
      <c r="F147" s="3" cm="1">
        <f t="array" aca="1" ref="F147" ca="1">OFFSET(E147,-1,1)</f>
        <v>0</v>
      </c>
      <c r="G147" s="25" t="s">
        <v>2199</v>
      </c>
      <c r="H147" s="25"/>
      <c r="I147" s="25" t="s">
        <v>1869</v>
      </c>
      <c r="J147" s="25"/>
      <c r="K147" s="72" t="s">
        <v>1869</v>
      </c>
      <c r="L147" s="25" t="s">
        <v>1868</v>
      </c>
      <c r="M147" s="25"/>
      <c r="N147" s="25"/>
      <c r="O147" s="25"/>
      <c r="P147" s="25"/>
      <c r="Q147" s="25"/>
      <c r="R147" s="25"/>
      <c r="S147" s="25"/>
      <c r="T147" s="351" t="b" cm="1">
        <f t="array" aca="1" ref="T147" ca="1">T146</f>
        <v>0</v>
      </c>
      <c r="U147" s="25"/>
      <c r="V147" s="25"/>
      <c r="W147" s="25"/>
      <c r="X147" s="1046"/>
      <c r="Z147" s="1008"/>
      <c r="AB147" s="7" t="str">
        <f>IF(B141,D142&amp;".9",D142&amp;".7")</f>
        <v>7.7</v>
      </c>
      <c r="AC147" s="548" t="s">
        <v>1596</v>
      </c>
      <c r="AD147" s="7" t="s">
        <v>859</v>
      </c>
      <c r="AE147" s="777"/>
      <c r="AF147" s="777"/>
      <c r="AG147" s="777"/>
      <c r="AH147" s="170">
        <f t="shared" si="27"/>
        <v>0</v>
      </c>
      <c r="AI147" s="777"/>
      <c r="AJ147" s="128">
        <f ca="1">SUMIFS('Корректировка НВВ'!$AF$25:$AF$129,'Корректировка НВВ'!$F$25:$F$129,$F147,'Корректировка НВВ'!$I$25:$I$129,$G147)</f>
        <v>0</v>
      </c>
      <c r="AK147" s="128"/>
      <c r="AL147" s="128"/>
      <c r="AM147" s="777"/>
      <c r="AN147" s="777"/>
      <c r="AO147" s="777"/>
      <c r="AP147" s="777"/>
      <c r="AQ147" s="777"/>
      <c r="AR147" s="777"/>
      <c r="AS147" s="777"/>
      <c r="AT147" s="128">
        <f ca="1">SUMIFS('Корректировка НВВ'!$AG$25:$AG$129,'Корректировка НВВ'!$F$25:$F$129,$F147,'Корректировка НВВ'!$I$25:$I$129,$G147)</f>
        <v>0</v>
      </c>
      <c r="AU147" s="128"/>
      <c r="AV147" s="128"/>
      <c r="AW147" s="777"/>
      <c r="AX147" s="777"/>
      <c r="AY147" s="777"/>
      <c r="AZ147" s="777"/>
      <c r="BA147" s="777"/>
      <c r="BB147" s="777"/>
      <c r="BC147" s="777"/>
      <c r="BD147" s="540"/>
      <c r="BE147" s="540"/>
      <c r="BF147" s="540"/>
      <c r="BG147" s="540"/>
      <c r="BH147" s="540"/>
      <c r="BI147" s="540"/>
      <c r="BJ147" s="540"/>
      <c r="BK147" s="540"/>
      <c r="BL147" s="540"/>
      <c r="BM147" s="540"/>
      <c r="BN147" s="774"/>
      <c r="BO147" s="778" t="str">
        <f ca="1">IF(IFERROR(INDEX('Корректировка НВВ'!$K$26:$L$129,MATCH($F147&amp;"10komm",'Корректировка НВВ'!$K$26:$K$129,0),2),"")=0,"",IFERROR(INDEX('Корректировка НВВ'!$K$26:$L$129,MATCH($F147&amp;"10komm",'Корректировка НВВ'!$K$26:$K$129,0),2),""))</f>
        <v/>
      </c>
      <c r="BP147" s="774"/>
      <c r="BS147" s="694" t="s">
        <v>1597</v>
      </c>
    </row>
    <row r="148" spans="2:75" s="76" customFormat="1" ht="20.45" hidden="1" customHeight="1">
      <c r="B148" s="331"/>
      <c r="C148" s="27"/>
      <c r="D148" s="27">
        <f>D147+1</f>
        <v>8</v>
      </c>
      <c r="E148" s="557">
        <v>21</v>
      </c>
      <c r="F148" s="3" cm="1">
        <f t="array" aca="1" ref="F148" ca="1">OFFSET(E148,-1,1)</f>
        <v>0</v>
      </c>
      <c r="G148" s="27"/>
      <c r="H148" s="27"/>
      <c r="I148" s="27" t="s">
        <v>635</v>
      </c>
      <c r="J148" s="27"/>
      <c r="K148" s="76" t="s">
        <v>635</v>
      </c>
      <c r="L148" s="27"/>
      <c r="M148" s="27"/>
      <c r="N148" s="27"/>
      <c r="O148" s="27"/>
      <c r="P148" s="27"/>
      <c r="Q148" s="27"/>
      <c r="R148" s="27"/>
      <c r="S148" s="27"/>
      <c r="T148" s="351" t="b" cm="1">
        <f t="array" aca="1" ref="T148" ca="1">T147</f>
        <v>0</v>
      </c>
      <c r="U148" s="27"/>
      <c r="V148" s="27"/>
      <c r="W148" s="27"/>
      <c r="X148" s="1046"/>
      <c r="Z148" s="1008"/>
      <c r="AB148" s="124" cm="1">
        <f t="array" ref="AB148">D148</f>
        <v>8</v>
      </c>
      <c r="AC148" s="125" t="s">
        <v>2200</v>
      </c>
      <c r="AD148" s="124" t="s">
        <v>859</v>
      </c>
      <c r="AE148" s="773"/>
      <c r="AF148" s="773"/>
      <c r="AG148" s="773"/>
      <c r="AH148" s="126">
        <f t="shared" si="27"/>
        <v>0</v>
      </c>
      <c r="AI148" s="773"/>
      <c r="AJ148" s="138"/>
      <c r="AK148" s="138"/>
      <c r="AL148" s="138"/>
      <c r="AM148" s="773"/>
      <c r="AN148" s="773"/>
      <c r="AO148" s="773"/>
      <c r="AP148" s="773"/>
      <c r="AQ148" s="773"/>
      <c r="AR148" s="773"/>
      <c r="AS148" s="773"/>
      <c r="AT148" s="138"/>
      <c r="AU148" s="138"/>
      <c r="AV148" s="138"/>
      <c r="AW148" s="773"/>
      <c r="AX148" s="773"/>
      <c r="AY148" s="773"/>
      <c r="AZ148" s="773"/>
      <c r="BA148" s="773"/>
      <c r="BB148" s="773"/>
      <c r="BC148" s="773"/>
      <c r="BD148" s="129"/>
      <c r="BE148" s="129"/>
      <c r="BF148" s="129"/>
      <c r="BG148" s="129"/>
      <c r="BH148" s="129"/>
      <c r="BI148" s="129"/>
      <c r="BJ148" s="129"/>
      <c r="BK148" s="129"/>
      <c r="BL148" s="129"/>
      <c r="BM148" s="129"/>
      <c r="BN148" s="776"/>
      <c r="BO148" s="776"/>
      <c r="BP148" s="776"/>
      <c r="BS148" s="700" t="s">
        <v>2201</v>
      </c>
      <c r="BT148" s="700"/>
      <c r="BU148" s="700"/>
      <c r="BV148" s="509"/>
      <c r="BW148" s="509"/>
    </row>
    <row r="149" spans="2:75" ht="14.65" hidden="1" customHeight="1">
      <c r="C149" s="25"/>
      <c r="D149" s="27" cm="1">
        <f t="array" ref="D149">D148</f>
        <v>8</v>
      </c>
      <c r="E149" s="449">
        <v>15</v>
      </c>
      <c r="F149" s="3" cm="1">
        <f t="array" aca="1" ref="F149" ca="1">OFFSET(E149,-1,1)</f>
        <v>0</v>
      </c>
      <c r="G149" s="25"/>
      <c r="H149" s="25"/>
      <c r="I149" s="25" t="s">
        <v>638</v>
      </c>
      <c r="J149" s="25"/>
      <c r="K149" s="72" t="s">
        <v>638</v>
      </c>
      <c r="L149" s="25"/>
      <c r="M149" s="25"/>
      <c r="N149" s="25"/>
      <c r="O149" s="25"/>
      <c r="P149" s="25"/>
      <c r="Q149" s="25"/>
      <c r="R149" s="25"/>
      <c r="S149" s="25"/>
      <c r="T149" s="351" t="b" cm="1">
        <f t="array" aca="1" ref="T149" ca="1">T148</f>
        <v>0</v>
      </c>
      <c r="U149" s="25"/>
      <c r="V149" s="25"/>
      <c r="W149" s="25"/>
      <c r="X149" s="1046"/>
      <c r="Z149" s="1008"/>
      <c r="AB149" s="7" t="str">
        <f>D149&amp;".1"</f>
        <v>8.1</v>
      </c>
      <c r="AC149" s="127" t="s">
        <v>2202</v>
      </c>
      <c r="AD149" s="7" t="s">
        <v>501</v>
      </c>
      <c r="AE149" s="170">
        <f ca="1">IF(AE150=0,0,AE148/(AE150+AE135)*100)</f>
        <v>0</v>
      </c>
      <c r="AF149" s="170">
        <f ca="1">IF(AF150=0,0,AF148/(AF150+AF135)*100)</f>
        <v>0</v>
      </c>
      <c r="AG149" s="170">
        <f ca="1">IF(AG150=0,0,AG148/(AG150+AG135)*100)</f>
        <v>0</v>
      </c>
      <c r="AH149" s="170">
        <f t="shared" ca="1" si="27"/>
        <v>0</v>
      </c>
      <c r="AI149" s="170">
        <f t="shared" ref="AI149:BC149" ca="1" si="31">IF(AI150=0,0,AI148/(AI150+AI135)*100)</f>
        <v>0</v>
      </c>
      <c r="AJ149" s="170">
        <f t="shared" ca="1" si="31"/>
        <v>0</v>
      </c>
      <c r="AK149" s="170">
        <f t="shared" ca="1" si="31"/>
        <v>0</v>
      </c>
      <c r="AL149" s="170">
        <f t="shared" ca="1" si="31"/>
        <v>0</v>
      </c>
      <c r="AM149" s="170">
        <f t="shared" ca="1" si="31"/>
        <v>0</v>
      </c>
      <c r="AN149" s="170">
        <f t="shared" ca="1" si="31"/>
        <v>0</v>
      </c>
      <c r="AO149" s="170">
        <f t="shared" ca="1" si="31"/>
        <v>0</v>
      </c>
      <c r="AP149" s="170">
        <f t="shared" ca="1" si="31"/>
        <v>0</v>
      </c>
      <c r="AQ149" s="170">
        <f t="shared" ca="1" si="31"/>
        <v>0</v>
      </c>
      <c r="AR149" s="170">
        <f t="shared" ca="1" si="31"/>
        <v>0</v>
      </c>
      <c r="AS149" s="170">
        <f t="shared" ca="1" si="31"/>
        <v>0</v>
      </c>
      <c r="AT149" s="170">
        <f t="shared" ca="1" si="31"/>
        <v>0</v>
      </c>
      <c r="AU149" s="170">
        <f t="shared" ca="1" si="31"/>
        <v>0</v>
      </c>
      <c r="AV149" s="170">
        <f t="shared" ca="1" si="31"/>
        <v>0</v>
      </c>
      <c r="AW149" s="170">
        <f t="shared" ca="1" si="31"/>
        <v>0</v>
      </c>
      <c r="AX149" s="170">
        <f t="shared" ca="1" si="31"/>
        <v>0</v>
      </c>
      <c r="AY149" s="170">
        <f t="shared" ca="1" si="31"/>
        <v>0</v>
      </c>
      <c r="AZ149" s="170">
        <f t="shared" ca="1" si="31"/>
        <v>0</v>
      </c>
      <c r="BA149" s="170">
        <f t="shared" ca="1" si="31"/>
        <v>0</v>
      </c>
      <c r="BB149" s="170">
        <f t="shared" ca="1" si="31"/>
        <v>0</v>
      </c>
      <c r="BC149" s="170">
        <f t="shared" ca="1" si="31"/>
        <v>0</v>
      </c>
      <c r="BD149" s="540"/>
      <c r="BE149" s="540"/>
      <c r="BF149" s="540"/>
      <c r="BG149" s="540"/>
      <c r="BH149" s="540"/>
      <c r="BI149" s="540"/>
      <c r="BJ149" s="540"/>
      <c r="BK149" s="540"/>
      <c r="BL149" s="540"/>
      <c r="BM149" s="540"/>
      <c r="BN149" s="774"/>
      <c r="BO149" s="774"/>
      <c r="BP149" s="774"/>
      <c r="BS149" s="694" t="s">
        <v>2203</v>
      </c>
    </row>
    <row r="150" spans="2:75" s="76" customFormat="1" ht="20.45" hidden="1" customHeight="1">
      <c r="B150" s="331"/>
      <c r="C150" s="27"/>
      <c r="D150" s="27">
        <f>D149+1</f>
        <v>9</v>
      </c>
      <c r="E150" s="557">
        <v>21</v>
      </c>
      <c r="F150" s="3" cm="1">
        <f t="array" aca="1" ref="F150" ca="1">OFFSET(E150,-1,1)</f>
        <v>0</v>
      </c>
      <c r="G150" s="27"/>
      <c r="H150" s="25"/>
      <c r="I150" s="25" t="s">
        <v>792</v>
      </c>
      <c r="J150" s="27"/>
      <c r="K150" s="72" t="s">
        <v>792</v>
      </c>
      <c r="L150" s="27" t="s">
        <v>1869</v>
      </c>
      <c r="M150" s="27"/>
      <c r="N150" s="27"/>
      <c r="O150" s="27"/>
      <c r="P150" s="27"/>
      <c r="Q150" s="27"/>
      <c r="R150" s="27"/>
      <c r="S150" s="27"/>
      <c r="T150" s="351" t="b" cm="1">
        <f t="array" aca="1" ref="T150" ca="1">T149</f>
        <v>0</v>
      </c>
      <c r="U150" s="27"/>
      <c r="V150" s="27"/>
      <c r="W150" s="27"/>
      <c r="X150" s="1046"/>
      <c r="Z150" s="1008"/>
      <c r="AB150" s="124" cm="1">
        <f t="array" ref="AB150">D150</f>
        <v>9</v>
      </c>
      <c r="AC150" s="125" t="s">
        <v>1870</v>
      </c>
      <c r="AD150" s="147" t="s">
        <v>859</v>
      </c>
      <c r="AE150" s="126">
        <f ca="1">AE28+AE78+AE114+AE115+AE117+AE122+AE123+AE126</f>
        <v>0</v>
      </c>
      <c r="AF150" s="126">
        <f ca="1">AF28+AF78+AF114+AF115+AF117+AF122+AF123+AF126</f>
        <v>0</v>
      </c>
      <c r="AG150" s="126">
        <f ca="1">AG28+AG78+AG114+AG115+AG117+AG122+AG123+AG126</f>
        <v>0</v>
      </c>
      <c r="AH150" s="126">
        <f t="shared" ca="1" si="27"/>
        <v>0</v>
      </c>
      <c r="AI150" s="126">
        <f t="shared" ref="AI150:BC150" ca="1" si="32">AI28+AI78+AI114+AI115+AI117+AI122+AI123+AI126</f>
        <v>0</v>
      </c>
      <c r="AJ150" s="126">
        <f t="shared" ca="1" si="32"/>
        <v>0</v>
      </c>
      <c r="AK150" s="126">
        <f t="shared" ca="1" si="32"/>
        <v>0</v>
      </c>
      <c r="AL150" s="126">
        <f t="shared" ca="1" si="32"/>
        <v>0</v>
      </c>
      <c r="AM150" s="126">
        <f t="shared" ca="1" si="32"/>
        <v>0</v>
      </c>
      <c r="AN150" s="126">
        <f t="shared" ca="1" si="32"/>
        <v>0</v>
      </c>
      <c r="AO150" s="126">
        <f t="shared" ca="1" si="32"/>
        <v>0</v>
      </c>
      <c r="AP150" s="126">
        <f t="shared" ca="1" si="32"/>
        <v>0</v>
      </c>
      <c r="AQ150" s="126">
        <f t="shared" ca="1" si="32"/>
        <v>0</v>
      </c>
      <c r="AR150" s="126">
        <f t="shared" ca="1" si="32"/>
        <v>0</v>
      </c>
      <c r="AS150" s="126">
        <f t="shared" ca="1" si="32"/>
        <v>0</v>
      </c>
      <c r="AT150" s="126">
        <f t="shared" ca="1" si="32"/>
        <v>0</v>
      </c>
      <c r="AU150" s="126">
        <f t="shared" ca="1" si="32"/>
        <v>0</v>
      </c>
      <c r="AV150" s="126">
        <f t="shared" ca="1" si="32"/>
        <v>0</v>
      </c>
      <c r="AW150" s="126">
        <f t="shared" ca="1" si="32"/>
        <v>0</v>
      </c>
      <c r="AX150" s="126">
        <f t="shared" ca="1" si="32"/>
        <v>0</v>
      </c>
      <c r="AY150" s="126">
        <f t="shared" ca="1" si="32"/>
        <v>0</v>
      </c>
      <c r="AZ150" s="126">
        <f t="shared" ca="1" si="32"/>
        <v>0</v>
      </c>
      <c r="BA150" s="126">
        <f t="shared" ca="1" si="32"/>
        <v>0</v>
      </c>
      <c r="BB150" s="126">
        <f t="shared" ca="1" si="32"/>
        <v>0</v>
      </c>
      <c r="BC150" s="126">
        <f t="shared" ca="1" si="32"/>
        <v>0</v>
      </c>
      <c r="BD150" s="126">
        <f ca="1">IF(AI150=0,0,(AT150-AI150)/AI150*100)</f>
        <v>0</v>
      </c>
      <c r="BE150" s="126">
        <f t="shared" ref="BE150:BM151" ca="1" si="33">IF(AT150=0,0,(AU150-AT150)/AT150*100)</f>
        <v>0</v>
      </c>
      <c r="BF150" s="126">
        <f t="shared" ca="1" si="33"/>
        <v>0</v>
      </c>
      <c r="BG150" s="126">
        <f t="shared" ca="1" si="33"/>
        <v>0</v>
      </c>
      <c r="BH150" s="126">
        <f t="shared" ca="1" si="33"/>
        <v>0</v>
      </c>
      <c r="BI150" s="126">
        <f t="shared" ca="1" si="33"/>
        <v>0</v>
      </c>
      <c r="BJ150" s="126">
        <f t="shared" ca="1" si="33"/>
        <v>0</v>
      </c>
      <c r="BK150" s="126">
        <f t="shared" ca="1" si="33"/>
        <v>0</v>
      </c>
      <c r="BL150" s="126">
        <f t="shared" ca="1" si="33"/>
        <v>0</v>
      </c>
      <c r="BM150" s="126">
        <f t="shared" ca="1" si="33"/>
        <v>0</v>
      </c>
      <c r="BN150" s="774"/>
      <c r="BO150" s="774"/>
      <c r="BP150" s="774"/>
      <c r="BS150" s="700" t="s">
        <v>1871</v>
      </c>
      <c r="BT150" s="700"/>
      <c r="BU150" s="700"/>
      <c r="BV150" s="509"/>
      <c r="BW150" s="509"/>
    </row>
    <row r="151" spans="2:75" s="76" customFormat="1" ht="20.45" hidden="1" customHeight="1">
      <c r="B151" s="331"/>
      <c r="C151" s="27"/>
      <c r="D151" s="27">
        <f>D150+1</f>
        <v>10</v>
      </c>
      <c r="E151" s="557">
        <v>21</v>
      </c>
      <c r="F151" s="3" cm="1">
        <f t="array" aca="1" ref="F151" ca="1">OFFSET(E151,-1,1)</f>
        <v>0</v>
      </c>
      <c r="G151" s="27"/>
      <c r="H151" s="25"/>
      <c r="I151" s="25" t="s">
        <v>1880</v>
      </c>
      <c r="J151" s="27"/>
      <c r="K151" s="72" t="s">
        <v>1880</v>
      </c>
      <c r="L151" s="27"/>
      <c r="M151" s="27"/>
      <c r="N151" s="27"/>
      <c r="O151" s="27"/>
      <c r="P151" s="27"/>
      <c r="Q151" s="27"/>
      <c r="R151" s="27"/>
      <c r="S151" s="27"/>
      <c r="T151" s="351" t="b" cm="1">
        <f t="array" aca="1" ref="T151" ca="1">T150</f>
        <v>0</v>
      </c>
      <c r="U151" s="27"/>
      <c r="V151" s="27"/>
      <c r="W151" s="27"/>
      <c r="X151" s="1046"/>
      <c r="Z151" s="1008"/>
      <c r="AB151" s="124" cm="1">
        <f t="array" ref="AB151">D151</f>
        <v>10</v>
      </c>
      <c r="AC151" s="125" t="s">
        <v>2204</v>
      </c>
      <c r="AD151" s="124" t="s">
        <v>859</v>
      </c>
      <c r="AE151" s="126">
        <f t="shared" ref="AE151:BC151" ca="1" si="34">AE150+AE135+AE148</f>
        <v>0</v>
      </c>
      <c r="AF151" s="126">
        <f t="shared" ca="1" si="34"/>
        <v>0</v>
      </c>
      <c r="AG151" s="126">
        <f t="shared" ca="1" si="34"/>
        <v>0</v>
      </c>
      <c r="AH151" s="126">
        <f t="shared" ca="1" si="34"/>
        <v>0</v>
      </c>
      <c r="AI151" s="126">
        <f t="shared" ca="1" si="34"/>
        <v>0</v>
      </c>
      <c r="AJ151" s="126">
        <f t="shared" ca="1" si="34"/>
        <v>0</v>
      </c>
      <c r="AK151" s="126">
        <f t="shared" ca="1" si="34"/>
        <v>0</v>
      </c>
      <c r="AL151" s="126">
        <f t="shared" ca="1" si="34"/>
        <v>0</v>
      </c>
      <c r="AM151" s="126">
        <f t="shared" ca="1" si="34"/>
        <v>0</v>
      </c>
      <c r="AN151" s="126">
        <f t="shared" ca="1" si="34"/>
        <v>0</v>
      </c>
      <c r="AO151" s="126">
        <f t="shared" ca="1" si="34"/>
        <v>0</v>
      </c>
      <c r="AP151" s="126">
        <f t="shared" ca="1" si="34"/>
        <v>0</v>
      </c>
      <c r="AQ151" s="126">
        <f t="shared" ca="1" si="34"/>
        <v>0</v>
      </c>
      <c r="AR151" s="126">
        <f t="shared" ca="1" si="34"/>
        <v>0</v>
      </c>
      <c r="AS151" s="126">
        <f t="shared" ca="1" si="34"/>
        <v>0</v>
      </c>
      <c r="AT151" s="126">
        <f t="shared" ca="1" si="34"/>
        <v>0</v>
      </c>
      <c r="AU151" s="126">
        <f t="shared" ca="1" si="34"/>
        <v>0</v>
      </c>
      <c r="AV151" s="126">
        <f t="shared" ca="1" si="34"/>
        <v>0</v>
      </c>
      <c r="AW151" s="126">
        <f t="shared" ca="1" si="34"/>
        <v>0</v>
      </c>
      <c r="AX151" s="126">
        <f t="shared" ca="1" si="34"/>
        <v>0</v>
      </c>
      <c r="AY151" s="126">
        <f t="shared" ca="1" si="34"/>
        <v>0</v>
      </c>
      <c r="AZ151" s="126">
        <f t="shared" ca="1" si="34"/>
        <v>0</v>
      </c>
      <c r="BA151" s="126">
        <f t="shared" ca="1" si="34"/>
        <v>0</v>
      </c>
      <c r="BB151" s="126">
        <f t="shared" ca="1" si="34"/>
        <v>0</v>
      </c>
      <c r="BC151" s="126">
        <f t="shared" ca="1" si="34"/>
        <v>0</v>
      </c>
      <c r="BD151" s="126">
        <f ca="1">IF(AI151=0,0,(AT151-AI151)/AI151*100)</f>
        <v>0</v>
      </c>
      <c r="BE151" s="126">
        <f t="shared" ca="1" si="33"/>
        <v>0</v>
      </c>
      <c r="BF151" s="126">
        <f t="shared" ca="1" si="33"/>
        <v>0</v>
      </c>
      <c r="BG151" s="126">
        <f t="shared" ca="1" si="33"/>
        <v>0</v>
      </c>
      <c r="BH151" s="126">
        <f t="shared" ca="1" si="33"/>
        <v>0</v>
      </c>
      <c r="BI151" s="126">
        <f t="shared" ca="1" si="33"/>
        <v>0</v>
      </c>
      <c r="BJ151" s="126">
        <f t="shared" ca="1" si="33"/>
        <v>0</v>
      </c>
      <c r="BK151" s="126">
        <f t="shared" ca="1" si="33"/>
        <v>0</v>
      </c>
      <c r="BL151" s="126">
        <f t="shared" ca="1" si="33"/>
        <v>0</v>
      </c>
      <c r="BM151" s="126">
        <f t="shared" ca="1" si="33"/>
        <v>0</v>
      </c>
      <c r="BN151" s="774"/>
      <c r="BO151" s="774"/>
      <c r="BP151" s="774"/>
      <c r="BS151" s="700" t="s">
        <v>2205</v>
      </c>
      <c r="BT151" s="700"/>
      <c r="BU151" s="700"/>
      <c r="BV151" s="509"/>
      <c r="BW151" s="509"/>
    </row>
    <row r="152" spans="2:75" ht="14.65" hidden="1" customHeight="1">
      <c r="B152" s="340" t="b">
        <f>A27="двухставочный"</f>
        <v>0</v>
      </c>
      <c r="C152" s="25"/>
      <c r="D152" s="25" cm="1">
        <f t="array" ref="D152">D151</f>
        <v>10</v>
      </c>
      <c r="E152" s="449">
        <v>15</v>
      </c>
      <c r="F152" s="3" cm="1">
        <f t="array" aca="1" ref="F152" ca="1">OFFSET(E152,-1,1)</f>
        <v>0</v>
      </c>
      <c r="G152" s="25"/>
      <c r="H152" s="569"/>
      <c r="I152" s="569" t="s">
        <v>1883</v>
      </c>
      <c r="J152" s="25"/>
      <c r="K152" s="277" t="s">
        <v>1883</v>
      </c>
      <c r="L152" s="25" t="s">
        <v>1872</v>
      </c>
      <c r="M152" s="25"/>
      <c r="N152" s="25"/>
      <c r="O152" s="25"/>
      <c r="P152" s="25"/>
      <c r="Q152" s="25"/>
      <c r="R152" s="25"/>
      <c r="S152" s="25"/>
      <c r="T152" s="351" t="b" cm="1">
        <f t="array" aca="1" ref="T152" ca="1">T151</f>
        <v>0</v>
      </c>
      <c r="U152" s="25"/>
      <c r="V152" s="25"/>
      <c r="W152" s="25"/>
      <c r="X152" s="1046"/>
      <c r="Z152" s="1008"/>
      <c r="AB152" s="7" t="str">
        <f>D152&amp;".1"</f>
        <v>10.1</v>
      </c>
      <c r="AC152" s="548" t="s">
        <v>1874</v>
      </c>
      <c r="AD152" s="7" t="s">
        <v>859</v>
      </c>
      <c r="AE152" s="777"/>
      <c r="AF152" s="777"/>
      <c r="AG152" s="777"/>
      <c r="AH152" s="170">
        <f t="shared" ref="AH152:AH158" si="35">AG152-AF152</f>
        <v>0</v>
      </c>
      <c r="AI152" s="777"/>
      <c r="AJ152" s="128"/>
      <c r="AK152" s="128"/>
      <c r="AL152" s="128"/>
      <c r="AM152" s="777"/>
      <c r="AN152" s="777"/>
      <c r="AO152" s="777"/>
      <c r="AP152" s="777"/>
      <c r="AQ152" s="777"/>
      <c r="AR152" s="777"/>
      <c r="AS152" s="777"/>
      <c r="AT152" s="128"/>
      <c r="AU152" s="128"/>
      <c r="AV152" s="128"/>
      <c r="AW152" s="777"/>
      <c r="AX152" s="777"/>
      <c r="AY152" s="777"/>
      <c r="AZ152" s="777"/>
      <c r="BA152" s="777"/>
      <c r="BB152" s="777"/>
      <c r="BC152" s="777"/>
      <c r="BD152" s="540"/>
      <c r="BE152" s="540"/>
      <c r="BF152" s="540"/>
      <c r="BG152" s="540"/>
      <c r="BH152" s="540"/>
      <c r="BI152" s="540"/>
      <c r="BJ152" s="540"/>
      <c r="BK152" s="540"/>
      <c r="BL152" s="540"/>
      <c r="BM152" s="540"/>
      <c r="BN152" s="774"/>
      <c r="BO152" s="774"/>
      <c r="BP152" s="774"/>
      <c r="BS152" s="692" t="s">
        <v>1875</v>
      </c>
    </row>
    <row r="153" spans="2:75" ht="14.65" hidden="1" customHeight="1">
      <c r="B153" s="340" t="b">
        <f>A27="двухставочный"</f>
        <v>0</v>
      </c>
      <c r="C153" s="25"/>
      <c r="D153" s="25" cm="1">
        <f t="array" ref="D153">D152</f>
        <v>10</v>
      </c>
      <c r="E153" s="449">
        <v>15</v>
      </c>
      <c r="F153" s="3" cm="1">
        <f t="array" aca="1" ref="F153" ca="1">OFFSET(E153,-1,1)</f>
        <v>0</v>
      </c>
      <c r="G153" s="25"/>
      <c r="H153" s="569"/>
      <c r="I153" s="569" t="s">
        <v>1887</v>
      </c>
      <c r="J153" s="25"/>
      <c r="K153" s="277" t="s">
        <v>1887</v>
      </c>
      <c r="L153" s="25" t="s">
        <v>1876</v>
      </c>
      <c r="M153" s="25"/>
      <c r="N153" s="25"/>
      <c r="O153" s="25"/>
      <c r="P153" s="25"/>
      <c r="Q153" s="25"/>
      <c r="R153" s="25"/>
      <c r="S153" s="25"/>
      <c r="T153" s="351" t="b" cm="1">
        <f t="array" aca="1" ref="T153" ca="1">T152</f>
        <v>0</v>
      </c>
      <c r="U153" s="25"/>
      <c r="V153" s="25"/>
      <c r="W153" s="25"/>
      <c r="X153" s="1046"/>
      <c r="Z153" s="1008"/>
      <c r="AB153" s="7" t="str">
        <f>D153&amp;".2"</f>
        <v>10.2</v>
      </c>
      <c r="AC153" s="548" t="s">
        <v>1878</v>
      </c>
      <c r="AD153" s="7" t="s">
        <v>859</v>
      </c>
      <c r="AE153" s="777"/>
      <c r="AF153" s="777"/>
      <c r="AG153" s="777"/>
      <c r="AH153" s="170">
        <f t="shared" si="35"/>
        <v>0</v>
      </c>
      <c r="AI153" s="777"/>
      <c r="AJ153" s="128"/>
      <c r="AK153" s="128"/>
      <c r="AL153" s="128"/>
      <c r="AM153" s="777"/>
      <c r="AN153" s="777"/>
      <c r="AO153" s="777"/>
      <c r="AP153" s="777"/>
      <c r="AQ153" s="777"/>
      <c r="AR153" s="777"/>
      <c r="AS153" s="777"/>
      <c r="AT153" s="128"/>
      <c r="AU153" s="128"/>
      <c r="AV153" s="128"/>
      <c r="AW153" s="777"/>
      <c r="AX153" s="777"/>
      <c r="AY153" s="777"/>
      <c r="AZ153" s="777"/>
      <c r="BA153" s="777"/>
      <c r="BB153" s="777"/>
      <c r="BC153" s="777"/>
      <c r="BD153" s="540"/>
      <c r="BE153" s="540"/>
      <c r="BF153" s="540"/>
      <c r="BG153" s="540"/>
      <c r="BH153" s="540"/>
      <c r="BI153" s="540"/>
      <c r="BJ153" s="540"/>
      <c r="BK153" s="540"/>
      <c r="BL153" s="540"/>
      <c r="BM153" s="540"/>
      <c r="BN153" s="774"/>
      <c r="BO153" s="774"/>
      <c r="BP153" s="774"/>
      <c r="BS153" s="692" t="s">
        <v>1879</v>
      </c>
    </row>
    <row r="154" spans="2:75" s="76" customFormat="1" ht="20.45" hidden="1" customHeight="1">
      <c r="B154" s="331"/>
      <c r="C154" s="27"/>
      <c r="D154" s="27">
        <f>D153+1</f>
        <v>11</v>
      </c>
      <c r="E154" s="557">
        <v>21</v>
      </c>
      <c r="F154" s="3" cm="1">
        <f t="array" aca="1" ref="F154" ca="1">OFFSET(E154,-1,1)</f>
        <v>0</v>
      </c>
      <c r="G154" s="25" t="s">
        <v>1656</v>
      </c>
      <c r="H154" s="25"/>
      <c r="I154" s="25" t="s">
        <v>1907</v>
      </c>
      <c r="J154" s="27"/>
      <c r="K154" s="72" t="s">
        <v>1907</v>
      </c>
      <c r="L154" s="27" t="s">
        <v>1880</v>
      </c>
      <c r="M154" s="27"/>
      <c r="N154" s="27"/>
      <c r="O154" s="27"/>
      <c r="P154" s="27"/>
      <c r="Q154" s="27"/>
      <c r="R154" s="27"/>
      <c r="S154" s="27"/>
      <c r="T154" s="351" t="b" cm="1">
        <f t="array" aca="1" ref="T154" ca="1">T153</f>
        <v>0</v>
      </c>
      <c r="U154" s="27"/>
      <c r="V154" s="27"/>
      <c r="W154" s="27"/>
      <c r="X154" s="1046"/>
      <c r="Z154" s="1008"/>
      <c r="AB154" s="124" cm="1">
        <f t="array" ref="AB154">D154</f>
        <v>11</v>
      </c>
      <c r="AC154" s="125" t="s">
        <v>1881</v>
      </c>
      <c r="AD154" s="124" t="s">
        <v>585</v>
      </c>
      <c r="AE154" s="550">
        <f ca="1">SUMIFS(Баланс!AE$26:AE$209,Баланс!$F$26:$F$209,$F154,Баланс!$G$26:$G$209,"ПО")</f>
        <v>0</v>
      </c>
      <c r="AF154" s="550">
        <f ca="1">SUMIFS(Баланс!AF$26:AF$209,Баланс!$F$26:$F$209,$F154,Баланс!$G$26:$G$209,"ПО")</f>
        <v>0</v>
      </c>
      <c r="AG154" s="550">
        <f ca="1">SUMIFS(Баланс!AG$26:AG$209,Баланс!$F$26:$F$209,$F154,Баланс!$G$26:$G$209,"ПО")</f>
        <v>0</v>
      </c>
      <c r="AH154" s="550">
        <f t="shared" ca="1" si="35"/>
        <v>0</v>
      </c>
      <c r="AI154" s="550">
        <f ca="1">SUMIFS(Баланс!AH$26:AH$209,Баланс!$F$26:$F$209,$F154,Баланс!$G$26:$G$209,"ПО")</f>
        <v>0</v>
      </c>
      <c r="AJ154" s="550">
        <f ca="1">SUMIFS(Баланс!AI$26:AI$209,Баланс!$F$26:$F$209,$F154,Баланс!$G$26:$G$209,"ПО")</f>
        <v>0</v>
      </c>
      <c r="AK154" s="550">
        <f ca="1">SUMIFS(Баланс!AJ$26:AJ$209,Баланс!$F$26:$F$209,$F154,Баланс!$G$26:$G$209,"ПО")</f>
        <v>0</v>
      </c>
      <c r="AL154" s="550">
        <f ca="1">SUMIFS(Баланс!AK$26:AK$209,Баланс!$F$26:$F$209,$F154,Баланс!$G$26:$G$209,"ПО")</f>
        <v>0</v>
      </c>
      <c r="AM154" s="550">
        <f ca="1">SUMIFS(Баланс!AL$26:AL$209,Баланс!$F$26:$F$209,$F154,Баланс!$G$26:$G$209,"ПО")</f>
        <v>0</v>
      </c>
      <c r="AN154" s="550">
        <f ca="1">SUMIFS(Баланс!AM$26:AM$209,Баланс!$F$26:$F$209,$F154,Баланс!$G$26:$G$209,"ПО")</f>
        <v>0</v>
      </c>
      <c r="AO154" s="550">
        <f ca="1">SUMIFS(Баланс!AN$26:AN$209,Баланс!$F$26:$F$209,$F154,Баланс!$G$26:$G$209,"ПО")</f>
        <v>0</v>
      </c>
      <c r="AP154" s="550">
        <f ca="1">SUMIFS(Баланс!AO$26:AO$209,Баланс!$F$26:$F$209,$F154,Баланс!$G$26:$G$209,"ПО")</f>
        <v>0</v>
      </c>
      <c r="AQ154" s="550">
        <f ca="1">SUMIFS(Баланс!AP$26:AP$209,Баланс!$F$26:$F$209,$F154,Баланс!$G$26:$G$209,"ПО")</f>
        <v>0</v>
      </c>
      <c r="AR154" s="550">
        <f ca="1">SUMIFS(Баланс!AQ$26:AQ$209,Баланс!$F$26:$F$209,$F154,Баланс!$G$26:$G$209,"ПО")</f>
        <v>0</v>
      </c>
      <c r="AS154" s="550">
        <f ca="1">SUMIFS(Баланс!AR$26:AR$209,Баланс!$F$26:$F$209,$F154,Баланс!$G$26:$G$209,"ПО")</f>
        <v>0</v>
      </c>
      <c r="AT154" s="550">
        <f ca="1">SUMIFS(Баланс!AS$26:AS$209,Баланс!$F$26:$F$209,$F154,Баланс!$G$26:$G$209,"ПО")</f>
        <v>0</v>
      </c>
      <c r="AU154" s="550">
        <f ca="1">SUMIFS(Баланс!AT$26:AT$209,Баланс!$F$26:$F$209,$F154,Баланс!$G$26:$G$209,"ПО")</f>
        <v>0</v>
      </c>
      <c r="AV154" s="550">
        <f ca="1">SUMIFS(Баланс!AU$26:AU$209,Баланс!$F$26:$F$209,$F154,Баланс!$G$26:$G$209,"ПО")</f>
        <v>0</v>
      </c>
      <c r="AW154" s="550">
        <f ca="1">SUMIFS(Баланс!AV$26:AV$209,Баланс!$F$26:$F$209,$F154,Баланс!$G$26:$G$209,"ПО")</f>
        <v>0</v>
      </c>
      <c r="AX154" s="550">
        <f ca="1">SUMIFS(Баланс!AW$26:AW$209,Баланс!$F$26:$F$209,$F154,Баланс!$G$26:$G$209,"ПО")</f>
        <v>0</v>
      </c>
      <c r="AY154" s="550">
        <f ca="1">SUMIFS(Баланс!AX$26:AX$209,Баланс!$F$26:$F$209,$F154,Баланс!$G$26:$G$209,"ПО")</f>
        <v>0</v>
      </c>
      <c r="AZ154" s="550">
        <f ca="1">SUMIFS(Баланс!AY$26:AY$209,Баланс!$F$26:$F$209,$F154,Баланс!$G$26:$G$209,"ПО")</f>
        <v>0</v>
      </c>
      <c r="BA154" s="550">
        <f ca="1">SUMIFS(Баланс!AZ$26:AZ$209,Баланс!$F$26:$F$209,$F154,Баланс!$G$26:$G$209,"ПО")</f>
        <v>0</v>
      </c>
      <c r="BB154" s="550">
        <f ca="1">SUMIFS(Баланс!BA$26:BA$209,Баланс!$F$26:$F$209,$F154,Баланс!$G$26:$G$209,"ПО")</f>
        <v>0</v>
      </c>
      <c r="BC154" s="550">
        <f ca="1">SUMIFS(Баланс!BB$26:BB$209,Баланс!$F$26:$F$209,$F154,Баланс!$G$26:$G$209,"ПО")</f>
        <v>0</v>
      </c>
      <c r="BD154" s="129"/>
      <c r="BE154" s="129"/>
      <c r="BF154" s="129"/>
      <c r="BG154" s="129"/>
      <c r="BH154" s="129"/>
      <c r="BI154" s="129"/>
      <c r="BJ154" s="129"/>
      <c r="BK154" s="129"/>
      <c r="BL154" s="129"/>
      <c r="BM154" s="129"/>
      <c r="BN154" s="774"/>
      <c r="BO154" s="774"/>
      <c r="BP154" s="774"/>
      <c r="BS154" s="693" t="s">
        <v>1882</v>
      </c>
      <c r="BT154" s="700"/>
      <c r="BU154" s="700"/>
      <c r="BV154" s="509"/>
      <c r="BW154" s="509"/>
    </row>
    <row r="155" spans="2:75" ht="14.65" hidden="1" customHeight="1">
      <c r="C155" s="25"/>
      <c r="D155" s="25" cm="1">
        <f t="array" ref="D155">D154</f>
        <v>11</v>
      </c>
      <c r="E155" s="449">
        <v>15</v>
      </c>
      <c r="F155" s="3" cm="1">
        <f t="array" aca="1" ref="F155" ca="1">OFFSET(E155,-1,1)</f>
        <v>0</v>
      </c>
      <c r="G155" s="25" t="s">
        <v>1683</v>
      </c>
      <c r="H155" s="25"/>
      <c r="I155" s="25" t="s">
        <v>2206</v>
      </c>
      <c r="J155" s="25"/>
      <c r="K155" s="72" t="s">
        <v>2206</v>
      </c>
      <c r="L155" s="25" t="s">
        <v>1883</v>
      </c>
      <c r="M155" s="25"/>
      <c r="N155" s="25"/>
      <c r="O155" s="25"/>
      <c r="P155" s="25"/>
      <c r="Q155" s="25"/>
      <c r="R155" s="25"/>
      <c r="S155" s="25"/>
      <c r="T155" s="351" t="b" cm="1">
        <f t="array" aca="1" ref="T155" ca="1">T154</f>
        <v>0</v>
      </c>
      <c r="U155" s="25"/>
      <c r="V155" s="25"/>
      <c r="W155" s="25"/>
      <c r="X155" s="1046"/>
      <c r="Z155" s="1008"/>
      <c r="AB155" s="7" t="str">
        <f>D155&amp;".1"</f>
        <v>11.1</v>
      </c>
      <c r="AC155" s="127" t="s">
        <v>1885</v>
      </c>
      <c r="AD155" s="7" t="s">
        <v>585</v>
      </c>
      <c r="AE155" s="775">
        <f ca="1">AE154/2</f>
        <v>0</v>
      </c>
      <c r="AF155" s="775">
        <f ca="1">AF154/2</f>
        <v>0</v>
      </c>
      <c r="AG155" s="775">
        <f ca="1">AG154/2</f>
        <v>0</v>
      </c>
      <c r="AH155" s="556">
        <f t="shared" ca="1" si="35"/>
        <v>0</v>
      </c>
      <c r="AI155" s="775">
        <f ca="1">AI154/2</f>
        <v>0</v>
      </c>
      <c r="AJ155" s="442">
        <f ca="1">IF(god=2026,AJ154/12*9,AJ154/2)</f>
        <v>0</v>
      </c>
      <c r="AK155" s="442">
        <f ca="1">IF(god=2025,AK154/12*9,AK154/2)</f>
        <v>0</v>
      </c>
      <c r="AL155" s="442">
        <f t="shared" ref="AL155:AS155" ca="1" si="36">AL154/2</f>
        <v>0</v>
      </c>
      <c r="AM155" s="775">
        <f t="shared" ca="1" si="36"/>
        <v>0</v>
      </c>
      <c r="AN155" s="775">
        <f t="shared" ca="1" si="36"/>
        <v>0</v>
      </c>
      <c r="AO155" s="775">
        <f t="shared" ca="1" si="36"/>
        <v>0</v>
      </c>
      <c r="AP155" s="775">
        <f t="shared" ca="1" si="36"/>
        <v>0</v>
      </c>
      <c r="AQ155" s="775">
        <f t="shared" ca="1" si="36"/>
        <v>0</v>
      </c>
      <c r="AR155" s="775">
        <f t="shared" ca="1" si="36"/>
        <v>0</v>
      </c>
      <c r="AS155" s="775">
        <f t="shared" ca="1" si="36"/>
        <v>0</v>
      </c>
      <c r="AT155" s="442">
        <f ca="1">IF(god=2026,AT154/12*9,AT154/2)</f>
        <v>0</v>
      </c>
      <c r="AU155" s="442">
        <f ca="1">IF(god=2025,AU154/12*9,AU154/2)</f>
        <v>0</v>
      </c>
      <c r="AV155" s="442">
        <f t="shared" ref="AV155:BC155" ca="1" si="37">AV154/2</f>
        <v>0</v>
      </c>
      <c r="AW155" s="775">
        <f t="shared" ca="1" si="37"/>
        <v>0</v>
      </c>
      <c r="AX155" s="775">
        <f t="shared" ca="1" si="37"/>
        <v>0</v>
      </c>
      <c r="AY155" s="775">
        <f t="shared" ca="1" si="37"/>
        <v>0</v>
      </c>
      <c r="AZ155" s="775">
        <f t="shared" ca="1" si="37"/>
        <v>0</v>
      </c>
      <c r="BA155" s="775">
        <f t="shared" ca="1" si="37"/>
        <v>0</v>
      </c>
      <c r="BB155" s="775">
        <f t="shared" ca="1" si="37"/>
        <v>0</v>
      </c>
      <c r="BC155" s="775">
        <f t="shared" ca="1" si="37"/>
        <v>0</v>
      </c>
      <c r="BD155" s="540"/>
      <c r="BE155" s="540"/>
      <c r="BF155" s="540"/>
      <c r="BG155" s="540"/>
      <c r="BH155" s="540"/>
      <c r="BI155" s="540"/>
      <c r="BJ155" s="540"/>
      <c r="BK155" s="540"/>
      <c r="BL155" s="540"/>
      <c r="BM155" s="540"/>
      <c r="BN155" s="774"/>
      <c r="BO155" s="774"/>
      <c r="BP155" s="774"/>
      <c r="BS155" s="692" t="s">
        <v>1886</v>
      </c>
    </row>
    <row r="156" spans="2:75" ht="14.65" hidden="1" customHeight="1">
      <c r="C156" s="25"/>
      <c r="D156" s="25" cm="1">
        <f t="array" ref="D156">D155</f>
        <v>11</v>
      </c>
      <c r="E156" s="449">
        <v>15</v>
      </c>
      <c r="F156" s="3" cm="1">
        <f t="array" aca="1" ref="F156" ca="1">OFFSET(E156,-1,1)</f>
        <v>0</v>
      </c>
      <c r="G156" s="25" t="s">
        <v>1644</v>
      </c>
      <c r="H156" s="25"/>
      <c r="I156" s="25" t="s">
        <v>2207</v>
      </c>
      <c r="J156" s="25"/>
      <c r="K156" s="72" t="s">
        <v>2207</v>
      </c>
      <c r="L156" s="25" t="s">
        <v>1887</v>
      </c>
      <c r="M156" s="25"/>
      <c r="N156" s="25"/>
      <c r="O156" s="25"/>
      <c r="P156" s="25"/>
      <c r="Q156" s="25"/>
      <c r="R156" s="25"/>
      <c r="S156" s="25"/>
      <c r="T156" s="351" t="b" cm="1">
        <f t="array" aca="1" ref="T156" ca="1">T155</f>
        <v>0</v>
      </c>
      <c r="U156" s="25"/>
      <c r="V156" s="25"/>
      <c r="W156" s="25"/>
      <c r="X156" s="1046"/>
      <c r="Z156" s="1008"/>
      <c r="AB156" s="7" t="str">
        <f>D156&amp;".2"</f>
        <v>11.2</v>
      </c>
      <c r="AC156" s="127" t="s">
        <v>1889</v>
      </c>
      <c r="AD156" s="7" t="s">
        <v>1647</v>
      </c>
      <c r="AE156" s="777"/>
      <c r="AF156" s="777"/>
      <c r="AG156" s="777"/>
      <c r="AH156" s="170">
        <f t="shared" si="35"/>
        <v>0</v>
      </c>
      <c r="AI156" s="777"/>
      <c r="AJ156" s="128"/>
      <c r="AK156" s="128"/>
      <c r="AL156" s="128"/>
      <c r="AM156" s="777"/>
      <c r="AN156" s="777"/>
      <c r="AO156" s="777"/>
      <c r="AP156" s="777"/>
      <c r="AQ156" s="777"/>
      <c r="AR156" s="777"/>
      <c r="AS156" s="777"/>
      <c r="AT156" s="128"/>
      <c r="AU156" s="128" cm="1">
        <f t="array" aca="1" ref="AU156" ca="1">AT158</f>
        <v>0</v>
      </c>
      <c r="AV156" s="128" cm="1">
        <f t="array" aca="1" ref="AV156" ca="1">AU158</f>
        <v>0</v>
      </c>
      <c r="AW156" s="777" cm="1">
        <f t="array" aca="1" ref="AW156" ca="1">AV158</f>
        <v>0</v>
      </c>
      <c r="AX156" s="777" cm="1">
        <f t="array" aca="1" ref="AX156" ca="1">AW158</f>
        <v>0</v>
      </c>
      <c r="AY156" s="777" cm="1">
        <f t="array" aca="1" ref="AY156" ca="1">AX158</f>
        <v>0</v>
      </c>
      <c r="AZ156" s="777" cm="1">
        <f t="array" aca="1" ref="AZ156" ca="1">AY158</f>
        <v>0</v>
      </c>
      <c r="BA156" s="777" cm="1">
        <f t="array" aca="1" ref="BA156" ca="1">AZ158</f>
        <v>0</v>
      </c>
      <c r="BB156" s="777" cm="1">
        <f t="array" aca="1" ref="BB156" ca="1">BA158</f>
        <v>0</v>
      </c>
      <c r="BC156" s="777" cm="1">
        <f t="array" aca="1" ref="BC156" ca="1">BB158</f>
        <v>0</v>
      </c>
      <c r="BD156" s="540"/>
      <c r="BE156" s="540"/>
      <c r="BF156" s="540"/>
      <c r="BG156" s="540"/>
      <c r="BH156" s="540"/>
      <c r="BI156" s="540"/>
      <c r="BJ156" s="540"/>
      <c r="BK156" s="540"/>
      <c r="BL156" s="540"/>
      <c r="BM156" s="540"/>
      <c r="BN156" s="774"/>
      <c r="BO156" s="774"/>
      <c r="BP156" s="774"/>
      <c r="BS156" s="692" t="s">
        <v>1890</v>
      </c>
    </row>
    <row r="157" spans="2:75" ht="14.65" hidden="1" customHeight="1">
      <c r="C157" s="25"/>
      <c r="D157" s="25" cm="1">
        <f t="array" ref="D157">D156</f>
        <v>11</v>
      </c>
      <c r="E157" s="449">
        <v>15</v>
      </c>
      <c r="F157" s="3" cm="1">
        <f t="array" aca="1" ref="F157" ca="1">OFFSET(E157,-1,1)</f>
        <v>0</v>
      </c>
      <c r="G157" s="25" t="s">
        <v>1696</v>
      </c>
      <c r="H157" s="25"/>
      <c r="I157" s="25" t="s">
        <v>2208</v>
      </c>
      <c r="J157" s="25"/>
      <c r="K157" s="72" t="s">
        <v>2208</v>
      </c>
      <c r="L157" s="25" t="s">
        <v>1891</v>
      </c>
      <c r="M157" s="25"/>
      <c r="N157" s="25"/>
      <c r="O157" s="25"/>
      <c r="P157" s="25"/>
      <c r="Q157" s="25"/>
      <c r="R157" s="25"/>
      <c r="S157" s="25"/>
      <c r="T157" s="351" t="b" cm="1">
        <f t="array" aca="1" ref="T157" ca="1">T156</f>
        <v>0</v>
      </c>
      <c r="U157" s="25"/>
      <c r="V157" s="25"/>
      <c r="W157" s="25"/>
      <c r="X157" s="1046"/>
      <c r="Z157" s="1008"/>
      <c r="AB157" s="7" t="str">
        <f>D157&amp;".3"</f>
        <v>11.3</v>
      </c>
      <c r="AC157" s="127" t="s">
        <v>2209</v>
      </c>
      <c r="AD157" s="7" t="s">
        <v>585</v>
      </c>
      <c r="AE157" s="556">
        <f ca="1">AE154-AE155</f>
        <v>0</v>
      </c>
      <c r="AF157" s="556">
        <f ca="1">AF154-AF155</f>
        <v>0</v>
      </c>
      <c r="AG157" s="556">
        <f ca="1">AG154-AG155</f>
        <v>0</v>
      </c>
      <c r="AH157" s="556">
        <f t="shared" ca="1" si="35"/>
        <v>0</v>
      </c>
      <c r="AI157" s="556">
        <f t="shared" ref="AI157:BC157" ca="1" si="38">AI154-AI155</f>
        <v>0</v>
      </c>
      <c r="AJ157" s="556">
        <f t="shared" ca="1" si="38"/>
        <v>0</v>
      </c>
      <c r="AK157" s="556">
        <f t="shared" ca="1" si="38"/>
        <v>0</v>
      </c>
      <c r="AL157" s="556">
        <f t="shared" ca="1" si="38"/>
        <v>0</v>
      </c>
      <c r="AM157" s="556">
        <f t="shared" ca="1" si="38"/>
        <v>0</v>
      </c>
      <c r="AN157" s="556">
        <f t="shared" ca="1" si="38"/>
        <v>0</v>
      </c>
      <c r="AO157" s="556">
        <f t="shared" ca="1" si="38"/>
        <v>0</v>
      </c>
      <c r="AP157" s="556">
        <f t="shared" ca="1" si="38"/>
        <v>0</v>
      </c>
      <c r="AQ157" s="556">
        <f t="shared" ca="1" si="38"/>
        <v>0</v>
      </c>
      <c r="AR157" s="556">
        <f t="shared" ca="1" si="38"/>
        <v>0</v>
      </c>
      <c r="AS157" s="556">
        <f t="shared" ca="1" si="38"/>
        <v>0</v>
      </c>
      <c r="AT157" s="556">
        <f t="shared" ca="1" si="38"/>
        <v>0</v>
      </c>
      <c r="AU157" s="556">
        <f t="shared" ca="1" si="38"/>
        <v>0</v>
      </c>
      <c r="AV157" s="556">
        <f t="shared" ca="1" si="38"/>
        <v>0</v>
      </c>
      <c r="AW157" s="556">
        <f t="shared" ca="1" si="38"/>
        <v>0</v>
      </c>
      <c r="AX157" s="556">
        <f t="shared" ca="1" si="38"/>
        <v>0</v>
      </c>
      <c r="AY157" s="556">
        <f t="shared" ca="1" si="38"/>
        <v>0</v>
      </c>
      <c r="AZ157" s="556">
        <f t="shared" ca="1" si="38"/>
        <v>0</v>
      </c>
      <c r="BA157" s="556">
        <f t="shared" ca="1" si="38"/>
        <v>0</v>
      </c>
      <c r="BB157" s="556">
        <f t="shared" ca="1" si="38"/>
        <v>0</v>
      </c>
      <c r="BC157" s="556">
        <f t="shared" ca="1" si="38"/>
        <v>0</v>
      </c>
      <c r="BD157" s="540"/>
      <c r="BE157" s="540"/>
      <c r="BF157" s="540"/>
      <c r="BG157" s="540"/>
      <c r="BH157" s="540"/>
      <c r="BI157" s="540"/>
      <c r="BJ157" s="540"/>
      <c r="BK157" s="540"/>
      <c r="BL157" s="540"/>
      <c r="BM157" s="540"/>
      <c r="BN157" s="774"/>
      <c r="BO157" s="774"/>
      <c r="BP157" s="774"/>
      <c r="BS157" s="692" t="s">
        <v>1894</v>
      </c>
    </row>
    <row r="158" spans="2:75" ht="14.65" hidden="1" customHeight="1">
      <c r="C158" s="25"/>
      <c r="D158" s="25" cm="1">
        <f t="array" ref="D158">D157</f>
        <v>11</v>
      </c>
      <c r="E158" s="449">
        <v>15</v>
      </c>
      <c r="F158" s="3" cm="1">
        <f t="array" aca="1" ref="F158" ca="1">OFFSET(E158,-1,1)</f>
        <v>0</v>
      </c>
      <c r="G158" s="25" t="s">
        <v>1649</v>
      </c>
      <c r="H158" s="25"/>
      <c r="I158" s="25" t="s">
        <v>2210</v>
      </c>
      <c r="J158" s="25"/>
      <c r="K158" s="72" t="s">
        <v>2210</v>
      </c>
      <c r="L158" s="25" t="s">
        <v>1895</v>
      </c>
      <c r="M158" s="25"/>
      <c r="N158" s="25"/>
      <c r="O158" s="25"/>
      <c r="P158" s="25"/>
      <c r="Q158" s="25"/>
      <c r="R158" s="25"/>
      <c r="S158" s="25"/>
      <c r="T158" s="351" t="b" cm="1">
        <f t="array" aca="1" ref="T158" ca="1">T157</f>
        <v>0</v>
      </c>
      <c r="U158" s="25"/>
      <c r="V158" s="25"/>
      <c r="W158" s="25"/>
      <c r="X158" s="1046"/>
      <c r="Z158" s="1008"/>
      <c r="AB158" s="7" t="str">
        <f>D158&amp;".4"</f>
        <v>11.4</v>
      </c>
      <c r="AC158" s="127" t="s">
        <v>1897</v>
      </c>
      <c r="AD158" s="7" t="s">
        <v>1647</v>
      </c>
      <c r="AE158" s="777">
        <f ca="1">IF(AE157=0,0,(AE151-AE155*AE156)/AE157)</f>
        <v>0</v>
      </c>
      <c r="AF158" s="777">
        <f ca="1">IF(AF157=0,0,(AF151-AF155*AF156)/AF157)</f>
        <v>0</v>
      </c>
      <c r="AG158" s="777">
        <f ca="1">IF(AG157=0,0,(AG151-AG155*AG156)/AG157)</f>
        <v>0</v>
      </c>
      <c r="AH158" s="170">
        <f t="shared" ca="1" si="35"/>
        <v>0</v>
      </c>
      <c r="AI158" s="777">
        <f t="shared" ref="AI158:BC158" ca="1" si="39">IF(AI157=0,0,(AI151-AI155*AI156)/AI157)</f>
        <v>0</v>
      </c>
      <c r="AJ158" s="128">
        <f t="shared" ca="1" si="39"/>
        <v>0</v>
      </c>
      <c r="AK158" s="128">
        <f t="shared" ca="1" si="39"/>
        <v>0</v>
      </c>
      <c r="AL158" s="128">
        <f t="shared" ca="1" si="39"/>
        <v>0</v>
      </c>
      <c r="AM158" s="777">
        <f t="shared" ca="1" si="39"/>
        <v>0</v>
      </c>
      <c r="AN158" s="777">
        <f t="shared" ca="1" si="39"/>
        <v>0</v>
      </c>
      <c r="AO158" s="777">
        <f t="shared" ca="1" si="39"/>
        <v>0</v>
      </c>
      <c r="AP158" s="777">
        <f t="shared" ca="1" si="39"/>
        <v>0</v>
      </c>
      <c r="AQ158" s="777">
        <f t="shared" ca="1" si="39"/>
        <v>0</v>
      </c>
      <c r="AR158" s="777">
        <f t="shared" ca="1" si="39"/>
        <v>0</v>
      </c>
      <c r="AS158" s="777">
        <f t="shared" ca="1" si="39"/>
        <v>0</v>
      </c>
      <c r="AT158" s="128">
        <f t="shared" ca="1" si="39"/>
        <v>0</v>
      </c>
      <c r="AU158" s="128">
        <f t="shared" ca="1" si="39"/>
        <v>0</v>
      </c>
      <c r="AV158" s="128">
        <f t="shared" ca="1" si="39"/>
        <v>0</v>
      </c>
      <c r="AW158" s="777">
        <f t="shared" ca="1" si="39"/>
        <v>0</v>
      </c>
      <c r="AX158" s="777">
        <f t="shared" ca="1" si="39"/>
        <v>0</v>
      </c>
      <c r="AY158" s="777">
        <f t="shared" ca="1" si="39"/>
        <v>0</v>
      </c>
      <c r="AZ158" s="777">
        <f t="shared" ca="1" si="39"/>
        <v>0</v>
      </c>
      <c r="BA158" s="777">
        <f t="shared" ca="1" si="39"/>
        <v>0</v>
      </c>
      <c r="BB158" s="777">
        <f t="shared" ca="1" si="39"/>
        <v>0</v>
      </c>
      <c r="BC158" s="777">
        <f t="shared" ca="1" si="39"/>
        <v>0</v>
      </c>
      <c r="BD158" s="540"/>
      <c r="BE158" s="540"/>
      <c r="BF158" s="540"/>
      <c r="BG158" s="540"/>
      <c r="BH158" s="540"/>
      <c r="BI158" s="540"/>
      <c r="BJ158" s="540"/>
      <c r="BK158" s="540"/>
      <c r="BL158" s="540"/>
      <c r="BM158" s="540"/>
      <c r="BN158" s="774"/>
      <c r="BO158" s="774"/>
      <c r="BP158" s="774"/>
      <c r="BS158" s="692" t="s">
        <v>1898</v>
      </c>
    </row>
    <row r="159" spans="2:75" ht="14.65" hidden="1" customHeight="1">
      <c r="C159" s="25"/>
      <c r="D159" s="25" cm="1">
        <f t="array" ref="D159">D158</f>
        <v>11</v>
      </c>
      <c r="E159" s="449">
        <v>15</v>
      </c>
      <c r="F159" s="3" cm="1">
        <f t="array" aca="1" ref="F159" ca="1">OFFSET(E159,-1,1)</f>
        <v>0</v>
      </c>
      <c r="G159" s="25"/>
      <c r="H159" s="25"/>
      <c r="I159" s="25" t="s">
        <v>2211</v>
      </c>
      <c r="J159" s="25"/>
      <c r="K159" s="72" t="s">
        <v>2211</v>
      </c>
      <c r="L159" s="25" t="s">
        <v>1899</v>
      </c>
      <c r="M159" s="25"/>
      <c r="N159" s="25"/>
      <c r="O159" s="25"/>
      <c r="P159" s="25"/>
      <c r="Q159" s="25"/>
      <c r="R159" s="25"/>
      <c r="S159" s="25"/>
      <c r="T159" s="351" t="b" cm="1">
        <f t="array" aca="1" ref="T159" ca="1">T158</f>
        <v>0</v>
      </c>
      <c r="U159" s="25"/>
      <c r="V159" s="25"/>
      <c r="W159" s="25"/>
      <c r="X159" s="1046"/>
      <c r="Z159" s="1008"/>
      <c r="AB159" s="7" t="str">
        <f>D159&amp;".5"</f>
        <v>11.5</v>
      </c>
      <c r="AC159" s="127" t="s">
        <v>1901</v>
      </c>
      <c r="AD159" s="7" t="s">
        <v>501</v>
      </c>
      <c r="AE159" s="170">
        <f>IF(AE156=0,0,AE158/AE156*100)</f>
        <v>0</v>
      </c>
      <c r="AF159" s="170">
        <f>IF(AF156=0,0,AF158/AF156*100)</f>
        <v>0</v>
      </c>
      <c r="AG159" s="170">
        <f>IF(AG156=0,0,AG158/AG156*100)</f>
        <v>0</v>
      </c>
      <c r="AH159" s="540"/>
      <c r="AI159" s="170">
        <f t="shared" ref="AI159:BC159" si="40">IF(AI156=0,0,AI158/AI156*100)</f>
        <v>0</v>
      </c>
      <c r="AJ159" s="170">
        <f t="shared" si="40"/>
        <v>0</v>
      </c>
      <c r="AK159" s="170">
        <f t="shared" si="40"/>
        <v>0</v>
      </c>
      <c r="AL159" s="170">
        <f t="shared" si="40"/>
        <v>0</v>
      </c>
      <c r="AM159" s="170">
        <f t="shared" si="40"/>
        <v>0</v>
      </c>
      <c r="AN159" s="170">
        <f t="shared" si="40"/>
        <v>0</v>
      </c>
      <c r="AO159" s="170">
        <f t="shared" si="40"/>
        <v>0</v>
      </c>
      <c r="AP159" s="170">
        <f t="shared" si="40"/>
        <v>0</v>
      </c>
      <c r="AQ159" s="170">
        <f t="shared" si="40"/>
        <v>0</v>
      </c>
      <c r="AR159" s="170">
        <f t="shared" si="40"/>
        <v>0</v>
      </c>
      <c r="AS159" s="170">
        <f t="shared" si="40"/>
        <v>0</v>
      </c>
      <c r="AT159" s="170">
        <f t="shared" si="40"/>
        <v>0</v>
      </c>
      <c r="AU159" s="170">
        <f t="shared" ca="1" si="40"/>
        <v>0</v>
      </c>
      <c r="AV159" s="170">
        <f t="shared" ca="1" si="40"/>
        <v>0</v>
      </c>
      <c r="AW159" s="170">
        <f t="shared" ca="1" si="40"/>
        <v>0</v>
      </c>
      <c r="AX159" s="170">
        <f t="shared" ca="1" si="40"/>
        <v>0</v>
      </c>
      <c r="AY159" s="170">
        <f t="shared" ca="1" si="40"/>
        <v>0</v>
      </c>
      <c r="AZ159" s="170">
        <f t="shared" ca="1" si="40"/>
        <v>0</v>
      </c>
      <c r="BA159" s="170">
        <f t="shared" ca="1" si="40"/>
        <v>0</v>
      </c>
      <c r="BB159" s="170">
        <f t="shared" ca="1" si="40"/>
        <v>0</v>
      </c>
      <c r="BC159" s="170">
        <f t="shared" ca="1" si="40"/>
        <v>0</v>
      </c>
      <c r="BD159" s="540"/>
      <c r="BE159" s="540"/>
      <c r="BF159" s="540"/>
      <c r="BG159" s="540"/>
      <c r="BH159" s="540"/>
      <c r="BI159" s="540"/>
      <c r="BJ159" s="540"/>
      <c r="BK159" s="540"/>
      <c r="BL159" s="540"/>
      <c r="BM159" s="540"/>
      <c r="BN159" s="774"/>
      <c r="BO159" s="774"/>
      <c r="BP159" s="774"/>
      <c r="BS159" s="692" t="s">
        <v>1902</v>
      </c>
    </row>
    <row r="160" spans="2:75" ht="14.65" hidden="1" customHeight="1">
      <c r="C160" s="25"/>
      <c r="D160" s="25" cm="1">
        <f t="array" ref="D160">D159</f>
        <v>11</v>
      </c>
      <c r="E160" s="449">
        <v>15</v>
      </c>
      <c r="F160" s="3" cm="1">
        <f t="array" aca="1" ref="F160" ca="1">OFFSET(E160,-1,1)</f>
        <v>0</v>
      </c>
      <c r="G160" s="25"/>
      <c r="H160" s="25"/>
      <c r="I160" s="25" t="s">
        <v>2212</v>
      </c>
      <c r="J160" s="25"/>
      <c r="K160" s="72" t="s">
        <v>2212</v>
      </c>
      <c r="L160" s="25" t="s">
        <v>1903</v>
      </c>
      <c r="M160" s="25"/>
      <c r="N160" s="25"/>
      <c r="O160" s="25"/>
      <c r="P160" s="25"/>
      <c r="Q160" s="25"/>
      <c r="R160" s="25"/>
      <c r="S160" s="25"/>
      <c r="T160" s="351" t="b" cm="1">
        <f t="array" aca="1" ref="T160" ca="1">T159</f>
        <v>0</v>
      </c>
      <c r="U160" s="25"/>
      <c r="V160" s="25"/>
      <c r="W160" s="25"/>
      <c r="X160" s="1046"/>
      <c r="Z160" s="1008"/>
      <c r="AB160" s="7" t="str">
        <f>D160&amp;".6"</f>
        <v>11.6</v>
      </c>
      <c r="AC160" s="127" t="s">
        <v>1905</v>
      </c>
      <c r="AD160" s="7" t="s">
        <v>1647</v>
      </c>
      <c r="AE160" s="777">
        <f ca="1">IF(AE154=0,0,AE151/AE154)</f>
        <v>0</v>
      </c>
      <c r="AF160" s="777">
        <f ca="1">IF(AF154=0,0,AF151/AF154)</f>
        <v>0</v>
      </c>
      <c r="AG160" s="777">
        <f ca="1">IF(AG154=0,0,AG151/AG154)</f>
        <v>0</v>
      </c>
      <c r="AH160" s="170">
        <f ca="1">AG160-AF160</f>
        <v>0</v>
      </c>
      <c r="AI160" s="777">
        <f t="shared" ref="AI160:BC160" ca="1" si="41">IF(AI154=0,0,AI151/AI154)</f>
        <v>0</v>
      </c>
      <c r="AJ160" s="128">
        <f t="shared" ca="1" si="41"/>
        <v>0</v>
      </c>
      <c r="AK160" s="128">
        <f t="shared" ca="1" si="41"/>
        <v>0</v>
      </c>
      <c r="AL160" s="128">
        <f t="shared" ca="1" si="41"/>
        <v>0</v>
      </c>
      <c r="AM160" s="777">
        <f t="shared" ca="1" si="41"/>
        <v>0</v>
      </c>
      <c r="AN160" s="777">
        <f t="shared" ca="1" si="41"/>
        <v>0</v>
      </c>
      <c r="AO160" s="777">
        <f t="shared" ca="1" si="41"/>
        <v>0</v>
      </c>
      <c r="AP160" s="777">
        <f t="shared" ca="1" si="41"/>
        <v>0</v>
      </c>
      <c r="AQ160" s="777">
        <f t="shared" ca="1" si="41"/>
        <v>0</v>
      </c>
      <c r="AR160" s="777">
        <f t="shared" ca="1" si="41"/>
        <v>0</v>
      </c>
      <c r="AS160" s="777">
        <f t="shared" ca="1" si="41"/>
        <v>0</v>
      </c>
      <c r="AT160" s="128">
        <f t="shared" ca="1" si="41"/>
        <v>0</v>
      </c>
      <c r="AU160" s="128">
        <f t="shared" ca="1" si="41"/>
        <v>0</v>
      </c>
      <c r="AV160" s="128">
        <f t="shared" ca="1" si="41"/>
        <v>0</v>
      </c>
      <c r="AW160" s="777">
        <f t="shared" ca="1" si="41"/>
        <v>0</v>
      </c>
      <c r="AX160" s="777">
        <f t="shared" ca="1" si="41"/>
        <v>0</v>
      </c>
      <c r="AY160" s="777">
        <f t="shared" ca="1" si="41"/>
        <v>0</v>
      </c>
      <c r="AZ160" s="777">
        <f t="shared" ca="1" si="41"/>
        <v>0</v>
      </c>
      <c r="BA160" s="777">
        <f t="shared" ca="1" si="41"/>
        <v>0</v>
      </c>
      <c r="BB160" s="777">
        <f t="shared" ca="1" si="41"/>
        <v>0</v>
      </c>
      <c r="BC160" s="777">
        <f t="shared" ca="1" si="41"/>
        <v>0</v>
      </c>
      <c r="BD160" s="540"/>
      <c r="BE160" s="540"/>
      <c r="BF160" s="540"/>
      <c r="BG160" s="540"/>
      <c r="BH160" s="540"/>
      <c r="BI160" s="540"/>
      <c r="BJ160" s="540"/>
      <c r="BK160" s="540"/>
      <c r="BL160" s="540"/>
      <c r="BM160" s="540"/>
      <c r="BN160" s="774"/>
      <c r="BO160" s="774"/>
      <c r="BP160" s="774"/>
      <c r="BS160" s="692" t="s">
        <v>1906</v>
      </c>
    </row>
    <row r="161" spans="1:75" s="76" customFormat="1" ht="20.45" hidden="1" customHeight="1">
      <c r="B161" s="331"/>
      <c r="C161" s="27"/>
      <c r="D161" s="27">
        <f>D160+1</f>
        <v>12</v>
      </c>
      <c r="E161" s="557">
        <v>21</v>
      </c>
      <c r="F161" s="3" cm="1">
        <f t="array" aca="1" ref="F161" ca="1">OFFSET(E161,-1,1)</f>
        <v>0</v>
      </c>
      <c r="G161" s="27"/>
      <c r="H161" s="25"/>
      <c r="I161" s="25" t="s">
        <v>1910</v>
      </c>
      <c r="J161" s="27"/>
      <c r="K161" s="72" t="s">
        <v>1910</v>
      </c>
      <c r="L161" s="27" t="s">
        <v>1907</v>
      </c>
      <c r="M161" s="27"/>
      <c r="N161" s="27"/>
      <c r="O161" s="27"/>
      <c r="P161" s="27"/>
      <c r="Q161" s="27"/>
      <c r="R161" s="27"/>
      <c r="S161" s="27"/>
      <c r="T161" s="351" t="b" cm="1">
        <f t="array" aca="1" ref="T161" ca="1">T160</f>
        <v>0</v>
      </c>
      <c r="U161" s="27"/>
      <c r="V161" s="27"/>
      <c r="W161" s="27"/>
      <c r="X161" s="1046"/>
      <c r="Z161" s="1008"/>
      <c r="AB161" s="124" cm="1">
        <f t="array" ref="AB161">D161</f>
        <v>12</v>
      </c>
      <c r="AC161" s="125" t="s">
        <v>1908</v>
      </c>
      <c r="AD161" s="124" t="s">
        <v>859</v>
      </c>
      <c r="AE161" s="773">
        <f ca="1">IF(AE154=0,0,AE151/AE154*AE162)</f>
        <v>0</v>
      </c>
      <c r="AF161" s="773">
        <f ca="1">IF(AF154=0,0,AF151/AF154*AF162)</f>
        <v>0</v>
      </c>
      <c r="AG161" s="773">
        <f ca="1">IF(AG154=0,0,AG151/AG154*AG162)</f>
        <v>0</v>
      </c>
      <c r="AH161" s="126">
        <f ca="1">AH163*AH164+AH165*AH166</f>
        <v>0</v>
      </c>
      <c r="AI161" s="773">
        <f t="shared" ref="AI161:BC161" ca="1" si="42">IF(AI154=0,0,AI151/AI154*AI162)</f>
        <v>0</v>
      </c>
      <c r="AJ161" s="138">
        <f t="shared" ca="1" si="42"/>
        <v>0</v>
      </c>
      <c r="AK161" s="138">
        <f t="shared" ca="1" si="42"/>
        <v>0</v>
      </c>
      <c r="AL161" s="138">
        <f t="shared" ca="1" si="42"/>
        <v>0</v>
      </c>
      <c r="AM161" s="773">
        <f t="shared" ca="1" si="42"/>
        <v>0</v>
      </c>
      <c r="AN161" s="773">
        <f t="shared" ca="1" si="42"/>
        <v>0</v>
      </c>
      <c r="AO161" s="773">
        <f t="shared" ca="1" si="42"/>
        <v>0</v>
      </c>
      <c r="AP161" s="773">
        <f t="shared" ca="1" si="42"/>
        <v>0</v>
      </c>
      <c r="AQ161" s="773">
        <f t="shared" ca="1" si="42"/>
        <v>0</v>
      </c>
      <c r="AR161" s="773">
        <f t="shared" ca="1" si="42"/>
        <v>0</v>
      </c>
      <c r="AS161" s="773">
        <f t="shared" ca="1" si="42"/>
        <v>0</v>
      </c>
      <c r="AT161" s="138">
        <f t="shared" ca="1" si="42"/>
        <v>0</v>
      </c>
      <c r="AU161" s="138">
        <f t="shared" ca="1" si="42"/>
        <v>0</v>
      </c>
      <c r="AV161" s="138">
        <f t="shared" ca="1" si="42"/>
        <v>0</v>
      </c>
      <c r="AW161" s="773">
        <f t="shared" ca="1" si="42"/>
        <v>0</v>
      </c>
      <c r="AX161" s="773">
        <f t="shared" ca="1" si="42"/>
        <v>0</v>
      </c>
      <c r="AY161" s="773">
        <f t="shared" ca="1" si="42"/>
        <v>0</v>
      </c>
      <c r="AZ161" s="773">
        <f t="shared" ca="1" si="42"/>
        <v>0</v>
      </c>
      <c r="BA161" s="773">
        <f t="shared" ca="1" si="42"/>
        <v>0</v>
      </c>
      <c r="BB161" s="773">
        <f t="shared" ca="1" si="42"/>
        <v>0</v>
      </c>
      <c r="BC161" s="773">
        <f t="shared" ca="1" si="42"/>
        <v>0</v>
      </c>
      <c r="BD161" s="126">
        <f ca="1">IF(AI161=0,0,(AT161-AI161)/AI161*100)</f>
        <v>0</v>
      </c>
      <c r="BE161" s="126">
        <f t="shared" ref="BE161:BM161" ca="1" si="43">IF(AT161=0,0,(AU161-AT161)/AT161*100)</f>
        <v>0</v>
      </c>
      <c r="BF161" s="126">
        <f t="shared" ca="1" si="43"/>
        <v>0</v>
      </c>
      <c r="BG161" s="126">
        <f t="shared" ca="1" si="43"/>
        <v>0</v>
      </c>
      <c r="BH161" s="126">
        <f t="shared" ca="1" si="43"/>
        <v>0</v>
      </c>
      <c r="BI161" s="126">
        <f t="shared" ca="1" si="43"/>
        <v>0</v>
      </c>
      <c r="BJ161" s="126">
        <f t="shared" ca="1" si="43"/>
        <v>0</v>
      </c>
      <c r="BK161" s="126">
        <f t="shared" ca="1" si="43"/>
        <v>0</v>
      </c>
      <c r="BL161" s="126">
        <f t="shared" ca="1" si="43"/>
        <v>0</v>
      </c>
      <c r="BM161" s="126">
        <f t="shared" ca="1" si="43"/>
        <v>0</v>
      </c>
      <c r="BN161" s="774"/>
      <c r="BO161" s="774"/>
      <c r="BP161" s="774"/>
      <c r="BS161" s="693" t="s">
        <v>1909</v>
      </c>
      <c r="BT161" s="700"/>
      <c r="BU161" s="700"/>
      <c r="BV161" s="509"/>
      <c r="BW161" s="509"/>
    </row>
    <row r="162" spans="1:75" s="76" customFormat="1" ht="20.45" hidden="1" customHeight="1">
      <c r="B162" s="331"/>
      <c r="C162" s="27"/>
      <c r="D162" s="27">
        <f>D161+1</f>
        <v>13</v>
      </c>
      <c r="E162" s="557">
        <v>21</v>
      </c>
      <c r="F162" s="3" cm="1">
        <f t="array" aca="1" ref="F162" ca="1">OFFSET(E162,-1,1)</f>
        <v>0</v>
      </c>
      <c r="G162" s="25" t="s">
        <v>1669</v>
      </c>
      <c r="H162" s="25"/>
      <c r="I162" s="25" t="s">
        <v>2213</v>
      </c>
      <c r="J162" s="27"/>
      <c r="K162" s="72" t="s">
        <v>2213</v>
      </c>
      <c r="L162" s="27" t="s">
        <v>1910</v>
      </c>
      <c r="M162" s="27"/>
      <c r="N162" s="27"/>
      <c r="O162" s="27"/>
      <c r="P162" s="27"/>
      <c r="Q162" s="27"/>
      <c r="R162" s="27"/>
      <c r="S162" s="27"/>
      <c r="T162" s="351" t="b" cm="1">
        <f t="array" aca="1" ref="T162" ca="1">T161</f>
        <v>0</v>
      </c>
      <c r="U162" s="27"/>
      <c r="V162" s="27"/>
      <c r="W162" s="27"/>
      <c r="X162" s="1046"/>
      <c r="Z162" s="1008"/>
      <c r="AB162" s="124" cm="1">
        <f t="array" ref="AB162">D162</f>
        <v>13</v>
      </c>
      <c r="AC162" s="125" t="s">
        <v>1911</v>
      </c>
      <c r="AD162" s="124" t="s">
        <v>585</v>
      </c>
      <c r="AE162" s="550">
        <f ca="1">SUMIFS(Баланс!AE$26:AE$209,Баланс!$F$26:$F$209,$F162,Баланс!$G$26:$G$209,"население")</f>
        <v>0</v>
      </c>
      <c r="AF162" s="550">
        <f ca="1">SUMIFS(Баланс!AF$26:AF$209,Баланс!$F$26:$F$209,$F162,Баланс!$G$26:$G$209,"население")</f>
        <v>0</v>
      </c>
      <c r="AG162" s="550">
        <f ca="1">SUMIFS(Баланс!AG$26:AG$209,Баланс!$F$26:$F$209,$F162,Баланс!$G$26:$G$209,"население")</f>
        <v>0</v>
      </c>
      <c r="AH162" s="550">
        <f t="shared" ref="AH162:AH170" ca="1" si="44">AG162-AF162</f>
        <v>0</v>
      </c>
      <c r="AI162" s="550">
        <f ca="1">SUMIFS(Баланс!AH$26:AH$209,Баланс!$F$26:$F$209,$F162,Баланс!$G$26:$G$209,"население")</f>
        <v>0</v>
      </c>
      <c r="AJ162" s="550">
        <f ca="1">SUMIFS(Баланс!AI$26:AI$209,Баланс!$F$26:$F$209,$F162,Баланс!$G$26:$G$209,"население")</f>
        <v>0</v>
      </c>
      <c r="AK162" s="550">
        <f ca="1">SUMIFS(Баланс!AJ$26:AJ$209,Баланс!$F$26:$F$209,$F162,Баланс!$G$26:$G$209,"население")</f>
        <v>0</v>
      </c>
      <c r="AL162" s="550">
        <f ca="1">SUMIFS(Баланс!AK$26:AK$209,Баланс!$F$26:$F$209,$F162,Баланс!$G$26:$G$209,"население")</f>
        <v>0</v>
      </c>
      <c r="AM162" s="550">
        <f ca="1">SUMIFS(Баланс!AL$26:AL$209,Баланс!$F$26:$F$209,$F162,Баланс!$G$26:$G$209,"население")</f>
        <v>0</v>
      </c>
      <c r="AN162" s="550">
        <f ca="1">SUMIFS(Баланс!AM$26:AM$209,Баланс!$F$26:$F$209,$F162,Баланс!$G$26:$G$209,"население")</f>
        <v>0</v>
      </c>
      <c r="AO162" s="550">
        <f ca="1">SUMIFS(Баланс!AN$26:AN$209,Баланс!$F$26:$F$209,$F162,Баланс!$G$26:$G$209,"население")</f>
        <v>0</v>
      </c>
      <c r="AP162" s="550">
        <f ca="1">SUMIFS(Баланс!AO$26:AO$209,Баланс!$F$26:$F$209,$F162,Баланс!$G$26:$G$209,"население")</f>
        <v>0</v>
      </c>
      <c r="AQ162" s="550">
        <f ca="1">SUMIFS(Баланс!AP$26:AP$209,Баланс!$F$26:$F$209,$F162,Баланс!$G$26:$G$209,"население")</f>
        <v>0</v>
      </c>
      <c r="AR162" s="550">
        <f ca="1">SUMIFS(Баланс!AQ$26:AQ$209,Баланс!$F$26:$F$209,$F162,Баланс!$G$26:$G$209,"население")</f>
        <v>0</v>
      </c>
      <c r="AS162" s="550">
        <f ca="1">SUMIFS(Баланс!AR$26:AR$209,Баланс!$F$26:$F$209,$F162,Баланс!$G$26:$G$209,"население")</f>
        <v>0</v>
      </c>
      <c r="AT162" s="550">
        <f ca="1">SUMIFS(Баланс!AS$26:AS$209,Баланс!$F$26:$F$209,$F162,Баланс!$G$26:$G$209,"население")</f>
        <v>0</v>
      </c>
      <c r="AU162" s="550">
        <f ca="1">SUMIFS(Баланс!AT$26:AT$209,Баланс!$F$26:$F$209,$F162,Баланс!$G$26:$G$209,"население")</f>
        <v>0</v>
      </c>
      <c r="AV162" s="550">
        <f ca="1">SUMIFS(Баланс!AU$26:AU$209,Баланс!$F$26:$F$209,$F162,Баланс!$G$26:$G$209,"население")</f>
        <v>0</v>
      </c>
      <c r="AW162" s="550">
        <f ca="1">SUMIFS(Баланс!AV$26:AV$209,Баланс!$F$26:$F$209,$F162,Баланс!$G$26:$G$209,"население")</f>
        <v>0</v>
      </c>
      <c r="AX162" s="550">
        <f ca="1">SUMIFS(Баланс!AW$26:AW$209,Баланс!$F$26:$F$209,$F162,Баланс!$G$26:$G$209,"население")</f>
        <v>0</v>
      </c>
      <c r="AY162" s="550">
        <f ca="1">SUMIFS(Баланс!AX$26:AX$209,Баланс!$F$26:$F$209,$F162,Баланс!$G$26:$G$209,"население")</f>
        <v>0</v>
      </c>
      <c r="AZ162" s="550">
        <f ca="1">SUMIFS(Баланс!AY$26:AY$209,Баланс!$F$26:$F$209,$F162,Баланс!$G$26:$G$209,"население")</f>
        <v>0</v>
      </c>
      <c r="BA162" s="550">
        <f ca="1">SUMIFS(Баланс!AZ$26:AZ$209,Баланс!$F$26:$F$209,$F162,Баланс!$G$26:$G$209,"население")</f>
        <v>0</v>
      </c>
      <c r="BB162" s="550">
        <f ca="1">SUMIFS(Баланс!BA$26:BA$209,Баланс!$F$26:$F$209,$F162,Баланс!$G$26:$G$209,"население")</f>
        <v>0</v>
      </c>
      <c r="BC162" s="550">
        <f ca="1">SUMIFS(Баланс!BB$26:BB$209,Баланс!$F$26:$F$209,$F162,Баланс!$G$26:$G$209,"население")</f>
        <v>0</v>
      </c>
      <c r="BD162" s="129"/>
      <c r="BE162" s="129"/>
      <c r="BF162" s="129"/>
      <c r="BG162" s="129"/>
      <c r="BH162" s="129"/>
      <c r="BI162" s="129"/>
      <c r="BJ162" s="129"/>
      <c r="BK162" s="129"/>
      <c r="BL162" s="129"/>
      <c r="BM162" s="129"/>
      <c r="BN162" s="774"/>
      <c r="BO162" s="774"/>
      <c r="BP162" s="774"/>
      <c r="BS162" s="693" t="s">
        <v>1912</v>
      </c>
      <c r="BT162" s="700"/>
      <c r="BU162" s="700"/>
      <c r="BV162" s="509"/>
      <c r="BW162" s="509"/>
    </row>
    <row r="163" spans="1:75" ht="14.65" hidden="1" customHeight="1">
      <c r="C163" s="25"/>
      <c r="D163" s="25" cm="1">
        <f t="array" ref="D163">D162</f>
        <v>13</v>
      </c>
      <c r="E163" s="449">
        <v>15</v>
      </c>
      <c r="F163" s="3" cm="1">
        <f t="array" aca="1" ref="F163" ca="1">OFFSET(E163,-1,1)</f>
        <v>0</v>
      </c>
      <c r="G163" s="25" t="s">
        <v>1703</v>
      </c>
      <c r="H163" s="25"/>
      <c r="I163" s="25" t="s">
        <v>2214</v>
      </c>
      <c r="J163" s="25"/>
      <c r="K163" s="72" t="s">
        <v>2214</v>
      </c>
      <c r="L163" s="25" t="s">
        <v>1913</v>
      </c>
      <c r="M163" s="25"/>
      <c r="N163" s="25"/>
      <c r="O163" s="25"/>
      <c r="P163" s="25"/>
      <c r="Q163" s="25"/>
      <c r="R163" s="25"/>
      <c r="S163" s="25"/>
      <c r="T163" s="351" t="b" cm="1">
        <f t="array" aca="1" ref="T163" ca="1">T162</f>
        <v>0</v>
      </c>
      <c r="U163" s="25"/>
      <c r="V163" s="25"/>
      <c r="W163" s="25"/>
      <c r="X163" s="1046"/>
      <c r="Z163" s="1008"/>
      <c r="AB163" s="7" t="str">
        <f>D163&amp;".1"</f>
        <v>13.1</v>
      </c>
      <c r="AC163" s="127" t="s">
        <v>1915</v>
      </c>
      <c r="AD163" s="7" t="s">
        <v>585</v>
      </c>
      <c r="AE163" s="775">
        <f ca="1">AE162/2</f>
        <v>0</v>
      </c>
      <c r="AF163" s="775">
        <f ca="1">AF162/2</f>
        <v>0</v>
      </c>
      <c r="AG163" s="775">
        <f ca="1">AG162/2</f>
        <v>0</v>
      </c>
      <c r="AH163" s="556">
        <f t="shared" ca="1" si="44"/>
        <v>0</v>
      </c>
      <c r="AI163" s="775">
        <f ca="1">AI162/2</f>
        <v>0</v>
      </c>
      <c r="AJ163" s="442">
        <f ca="1">IF(god=2026,AJ162/12*9,AJ162/2)</f>
        <v>0</v>
      </c>
      <c r="AK163" s="442">
        <f ca="1">IF(god=2025,AK162/12*9,AK162/2)</f>
        <v>0</v>
      </c>
      <c r="AL163" s="442">
        <f t="shared" ref="AL163:AS163" ca="1" si="45">AL162/2</f>
        <v>0</v>
      </c>
      <c r="AM163" s="775">
        <f t="shared" ca="1" si="45"/>
        <v>0</v>
      </c>
      <c r="AN163" s="775">
        <f t="shared" ca="1" si="45"/>
        <v>0</v>
      </c>
      <c r="AO163" s="775">
        <f t="shared" ca="1" si="45"/>
        <v>0</v>
      </c>
      <c r="AP163" s="775">
        <f t="shared" ca="1" si="45"/>
        <v>0</v>
      </c>
      <c r="AQ163" s="775">
        <f t="shared" ca="1" si="45"/>
        <v>0</v>
      </c>
      <c r="AR163" s="775">
        <f t="shared" ca="1" si="45"/>
        <v>0</v>
      </c>
      <c r="AS163" s="775">
        <f t="shared" ca="1" si="45"/>
        <v>0</v>
      </c>
      <c r="AT163" s="442">
        <f ca="1">IF(god=2026,AT162/12*9,AT162/2)</f>
        <v>0</v>
      </c>
      <c r="AU163" s="442">
        <f ca="1">IF(god=2025,AU162/12*9,AU162/2)</f>
        <v>0</v>
      </c>
      <c r="AV163" s="442">
        <f t="shared" ref="AV163:BC163" ca="1" si="46">AV162/2</f>
        <v>0</v>
      </c>
      <c r="AW163" s="775">
        <f t="shared" ca="1" si="46"/>
        <v>0</v>
      </c>
      <c r="AX163" s="775">
        <f t="shared" ca="1" si="46"/>
        <v>0</v>
      </c>
      <c r="AY163" s="775">
        <f t="shared" ca="1" si="46"/>
        <v>0</v>
      </c>
      <c r="AZ163" s="775">
        <f t="shared" ca="1" si="46"/>
        <v>0</v>
      </c>
      <c r="BA163" s="775">
        <f t="shared" ca="1" si="46"/>
        <v>0</v>
      </c>
      <c r="BB163" s="775">
        <f t="shared" ca="1" si="46"/>
        <v>0</v>
      </c>
      <c r="BC163" s="775">
        <f t="shared" ca="1" si="46"/>
        <v>0</v>
      </c>
      <c r="BD163" s="540"/>
      <c r="BE163" s="540"/>
      <c r="BF163" s="540"/>
      <c r="BG163" s="540"/>
      <c r="BH163" s="540"/>
      <c r="BI163" s="540"/>
      <c r="BJ163" s="540"/>
      <c r="BK163" s="540"/>
      <c r="BL163" s="540"/>
      <c r="BM163" s="540"/>
      <c r="BN163" s="774"/>
      <c r="BO163" s="774"/>
      <c r="BP163" s="774"/>
      <c r="BS163" s="692" t="s">
        <v>1916</v>
      </c>
    </row>
    <row r="164" spans="1:75" ht="14.65" hidden="1" customHeight="1">
      <c r="C164" s="25"/>
      <c r="D164" s="25" cm="1">
        <f t="array" ref="D164">D163</f>
        <v>13</v>
      </c>
      <c r="E164" s="449">
        <v>15</v>
      </c>
      <c r="F164" s="3" cm="1">
        <f t="array" aca="1" ref="F164" ca="1">OFFSET(E164,-1,1)</f>
        <v>0</v>
      </c>
      <c r="G164" s="25" t="s">
        <v>1659</v>
      </c>
      <c r="H164" s="25"/>
      <c r="I164" s="25" t="s">
        <v>2215</v>
      </c>
      <c r="J164" s="25"/>
      <c r="K164" s="72" t="s">
        <v>2215</v>
      </c>
      <c r="L164" s="25" t="s">
        <v>1917</v>
      </c>
      <c r="M164" s="25"/>
      <c r="N164" s="25"/>
      <c r="O164" s="25"/>
      <c r="P164" s="25"/>
      <c r="Q164" s="25"/>
      <c r="R164" s="25"/>
      <c r="S164" s="25"/>
      <c r="T164" s="351" t="b" cm="1">
        <f t="array" aca="1" ref="T164" ca="1">T163</f>
        <v>0</v>
      </c>
      <c r="U164" s="25"/>
      <c r="V164" s="25"/>
      <c r="W164" s="25"/>
      <c r="X164" s="1046"/>
      <c r="Z164" s="1008"/>
      <c r="AB164" s="7" t="str">
        <f>D164&amp;".2"</f>
        <v>13.2</v>
      </c>
      <c r="AC164" s="127" t="s">
        <v>1919</v>
      </c>
      <c r="AD164" s="7" t="s">
        <v>1647</v>
      </c>
      <c r="AE164" s="777">
        <f ca="1">IF(AE162=0,0,AE156*(1+Сценарии!AE$26))</f>
        <v>0</v>
      </c>
      <c r="AF164" s="777">
        <f ca="1">IF(AF162=0,0,AF156*(1+Сценарии!AF$26))</f>
        <v>0</v>
      </c>
      <c r="AG164" s="777">
        <f ca="1">IF(AG162=0,0,AG156*(1+Сценарии!AG$26))</f>
        <v>0</v>
      </c>
      <c r="AH164" s="170">
        <f t="shared" ca="1" si="44"/>
        <v>0</v>
      </c>
      <c r="AI164" s="777">
        <f ca="1">IF(AI162=0,0,AI156*(1+Сценарии!AI$26))</f>
        <v>0</v>
      </c>
      <c r="AJ164" s="128">
        <f ca="1">IF(AJ162=0,0,AJ156*(1+Сценарии!AJ$26))</f>
        <v>0</v>
      </c>
      <c r="AK164" s="128">
        <f ca="1">IF(AK162=0,0,AK156*(1+Сценарии!AO$26))</f>
        <v>0</v>
      </c>
      <c r="AL164" s="128">
        <f ca="1">IF(AL162=0,0,AL156*(1+Сценарии!AP$26))</f>
        <v>0</v>
      </c>
      <c r="AM164" s="777">
        <f ca="1">IF(AM162=0,0,AM156*(1+Сценарии!AQ$26))</f>
        <v>0</v>
      </c>
      <c r="AN164" s="777">
        <f ca="1">IF(AN162=0,0,AN156*(1+Сценарии!AR$26))</f>
        <v>0</v>
      </c>
      <c r="AO164" s="777">
        <f ca="1">IF(AO162=0,0,AO156*(1+Сценарии!AS$26))</f>
        <v>0</v>
      </c>
      <c r="AP164" s="777">
        <f ca="1">IF(AP162=0,0,AP156*(1+Сценарии!AT$26))</f>
        <v>0</v>
      </c>
      <c r="AQ164" s="777">
        <f ca="1">IF(AQ162=0,0,AQ156*(1+Сценарии!AU$26))</f>
        <v>0</v>
      </c>
      <c r="AR164" s="777">
        <f ca="1">IF(AR162=0,0,AR156*(1+Сценарии!AV$26))</f>
        <v>0</v>
      </c>
      <c r="AS164" s="777">
        <f ca="1">IF(AS162=0,0,AS156*(1+Сценарии!AW$26))</f>
        <v>0</v>
      </c>
      <c r="AT164" s="128">
        <f ca="1">IF(AT162=0,0,AT156*(1+Сценарии!AK$26))</f>
        <v>0</v>
      </c>
      <c r="AU164" s="128">
        <f ca="1">IF(AU162=0,0,AU156*(1+Сценарии!AX$26))</f>
        <v>0</v>
      </c>
      <c r="AV164" s="128">
        <f ca="1">IF(AV162=0,0,AV156*(1+Сценарии!AY$26))</f>
        <v>0</v>
      </c>
      <c r="AW164" s="777">
        <f ca="1">IF(AW162=0,0,AW156*(1+Сценарии!AZ$26))</f>
        <v>0</v>
      </c>
      <c r="AX164" s="777">
        <f ca="1">IF(AX162=0,0,AX156*(1+Сценарии!BA$26))</f>
        <v>0</v>
      </c>
      <c r="AY164" s="777">
        <f ca="1">IF(AY162=0,0,AY156*(1+Сценарии!BB$26))</f>
        <v>0</v>
      </c>
      <c r="AZ164" s="777">
        <f ca="1">IF(AZ162=0,0,AZ156*(1+Сценарии!BC$26))</f>
        <v>0</v>
      </c>
      <c r="BA164" s="777">
        <f ca="1">IF(BA162=0,0,BA156*(1+Сценарии!BD$26))</f>
        <v>0</v>
      </c>
      <c r="BB164" s="777">
        <f ca="1">IF(BB162=0,0,BB156*(1+Сценарии!BE$26))</f>
        <v>0</v>
      </c>
      <c r="BC164" s="777">
        <f ca="1">IF(BC162=0,0,BC156*(1+Сценарии!BF$26))</f>
        <v>0</v>
      </c>
      <c r="BD164" s="540"/>
      <c r="BE164" s="540"/>
      <c r="BF164" s="540"/>
      <c r="BG164" s="540"/>
      <c r="BH164" s="540"/>
      <c r="BI164" s="540"/>
      <c r="BJ164" s="540"/>
      <c r="BK164" s="540"/>
      <c r="BL164" s="540"/>
      <c r="BM164" s="540"/>
      <c r="BN164" s="774"/>
      <c r="BO164" s="774"/>
      <c r="BP164" s="774"/>
      <c r="BS164" s="692" t="s">
        <v>1920</v>
      </c>
    </row>
    <row r="165" spans="1:75" ht="14.65" hidden="1" customHeight="1">
      <c r="C165" s="25"/>
      <c r="D165" s="25" cm="1">
        <f t="array" ref="D165">D164</f>
        <v>13</v>
      </c>
      <c r="E165" s="449">
        <v>15</v>
      </c>
      <c r="F165" s="3" cm="1">
        <f t="array" aca="1" ref="F165" ca="1">OFFSET(E165,-1,1)</f>
        <v>0</v>
      </c>
      <c r="G165" s="25" t="s">
        <v>1710</v>
      </c>
      <c r="H165" s="25"/>
      <c r="I165" s="25" t="s">
        <v>2216</v>
      </c>
      <c r="J165" s="25"/>
      <c r="K165" s="25" t="s">
        <v>2216</v>
      </c>
      <c r="L165" s="25" t="s">
        <v>1921</v>
      </c>
      <c r="M165" s="25"/>
      <c r="N165" s="25"/>
      <c r="O165" s="25"/>
      <c r="P165" s="25"/>
      <c r="Q165" s="25"/>
      <c r="R165" s="25"/>
      <c r="S165" s="25"/>
      <c r="T165" s="351" t="b" cm="1">
        <f t="array" aca="1" ref="T165" ca="1">T164</f>
        <v>0</v>
      </c>
      <c r="U165" s="25"/>
      <c r="V165" s="25"/>
      <c r="W165" s="25"/>
      <c r="X165" s="1046"/>
      <c r="Z165" s="1008"/>
      <c r="AB165" s="7" t="str">
        <f>D165&amp;".3"</f>
        <v>13.3</v>
      </c>
      <c r="AC165" s="127" t="s">
        <v>1893</v>
      </c>
      <c r="AD165" s="7" t="s">
        <v>585</v>
      </c>
      <c r="AE165" s="556">
        <f ca="1">AE162-AE163</f>
        <v>0</v>
      </c>
      <c r="AF165" s="556">
        <f ca="1">AF162-AF163</f>
        <v>0</v>
      </c>
      <c r="AG165" s="556">
        <f ca="1">AG162-AG163</f>
        <v>0</v>
      </c>
      <c r="AH165" s="556">
        <f t="shared" ca="1" si="44"/>
        <v>0</v>
      </c>
      <c r="AI165" s="556">
        <f t="shared" ref="AI165:BC165" ca="1" si="47">AI162-AI163</f>
        <v>0</v>
      </c>
      <c r="AJ165" s="556">
        <f t="shared" ca="1" si="47"/>
        <v>0</v>
      </c>
      <c r="AK165" s="556">
        <f t="shared" ca="1" si="47"/>
        <v>0</v>
      </c>
      <c r="AL165" s="556">
        <f t="shared" ca="1" si="47"/>
        <v>0</v>
      </c>
      <c r="AM165" s="556">
        <f t="shared" ca="1" si="47"/>
        <v>0</v>
      </c>
      <c r="AN165" s="556">
        <f t="shared" ca="1" si="47"/>
        <v>0</v>
      </c>
      <c r="AO165" s="556">
        <f t="shared" ca="1" si="47"/>
        <v>0</v>
      </c>
      <c r="AP165" s="556">
        <f t="shared" ca="1" si="47"/>
        <v>0</v>
      </c>
      <c r="AQ165" s="556">
        <f t="shared" ca="1" si="47"/>
        <v>0</v>
      </c>
      <c r="AR165" s="556">
        <f t="shared" ca="1" si="47"/>
        <v>0</v>
      </c>
      <c r="AS165" s="556">
        <f t="shared" ca="1" si="47"/>
        <v>0</v>
      </c>
      <c r="AT165" s="556">
        <f t="shared" ca="1" si="47"/>
        <v>0</v>
      </c>
      <c r="AU165" s="556">
        <f t="shared" ca="1" si="47"/>
        <v>0</v>
      </c>
      <c r="AV165" s="556">
        <f t="shared" ca="1" si="47"/>
        <v>0</v>
      </c>
      <c r="AW165" s="556">
        <f t="shared" ca="1" si="47"/>
        <v>0</v>
      </c>
      <c r="AX165" s="556">
        <f t="shared" ca="1" si="47"/>
        <v>0</v>
      </c>
      <c r="AY165" s="556">
        <f t="shared" ca="1" si="47"/>
        <v>0</v>
      </c>
      <c r="AZ165" s="556">
        <f t="shared" ca="1" si="47"/>
        <v>0</v>
      </c>
      <c r="BA165" s="556">
        <f t="shared" ca="1" si="47"/>
        <v>0</v>
      </c>
      <c r="BB165" s="556">
        <f t="shared" ca="1" si="47"/>
        <v>0</v>
      </c>
      <c r="BC165" s="556">
        <f t="shared" ca="1" si="47"/>
        <v>0</v>
      </c>
      <c r="BD165" s="540"/>
      <c r="BE165" s="540"/>
      <c r="BF165" s="540"/>
      <c r="BG165" s="540"/>
      <c r="BH165" s="540"/>
      <c r="BI165" s="540"/>
      <c r="BJ165" s="540"/>
      <c r="BK165" s="540"/>
      <c r="BL165" s="540"/>
      <c r="BM165" s="540"/>
      <c r="BN165" s="774"/>
      <c r="BO165" s="774"/>
      <c r="BP165" s="774"/>
      <c r="BS165" s="692" t="s">
        <v>1923</v>
      </c>
    </row>
    <row r="166" spans="1:75" ht="14.65" hidden="1" customHeight="1">
      <c r="C166" s="25"/>
      <c r="D166" s="25" cm="1">
        <f t="array" ref="D166">D165</f>
        <v>13</v>
      </c>
      <c r="E166" s="449">
        <v>15</v>
      </c>
      <c r="F166" s="3" cm="1">
        <f t="array" aca="1" ref="F166" ca="1">OFFSET(E166,-1,1)</f>
        <v>0</v>
      </c>
      <c r="G166" s="25" t="s">
        <v>1663</v>
      </c>
      <c r="H166" s="25"/>
      <c r="I166" s="25" t="s">
        <v>2217</v>
      </c>
      <c r="J166" s="25"/>
      <c r="K166" s="25" t="s">
        <v>2217</v>
      </c>
      <c r="L166" s="25" t="s">
        <v>1924</v>
      </c>
      <c r="M166" s="25"/>
      <c r="N166" s="25"/>
      <c r="O166" s="25"/>
      <c r="P166" s="25"/>
      <c r="Q166" s="25"/>
      <c r="R166" s="25"/>
      <c r="S166" s="25"/>
      <c r="T166" s="351" t="b" cm="1">
        <f t="array" aca="1" ref="T166" ca="1">T165</f>
        <v>0</v>
      </c>
      <c r="U166" s="25"/>
      <c r="V166" s="25"/>
      <c r="W166" s="25"/>
      <c r="X166" s="1046"/>
      <c r="Z166" s="1008"/>
      <c r="AB166" s="7" t="str">
        <f>D166&amp;".4"</f>
        <v>13.4</v>
      </c>
      <c r="AC166" s="127" t="s">
        <v>1897</v>
      </c>
      <c r="AD166" s="7" t="s">
        <v>1647</v>
      </c>
      <c r="AE166" s="777">
        <f ca="1">IF(AE162=0,0,AE158*(1+Сценарии!AE$26))</f>
        <v>0</v>
      </c>
      <c r="AF166" s="777">
        <f ca="1">IF(AF162=0,0,AF158*(1+Сценарии!AF$26))</f>
        <v>0</v>
      </c>
      <c r="AG166" s="777">
        <f ca="1">IF(AG162=0,0,AG158*(1+Сценарии!AG$26))</f>
        <v>0</v>
      </c>
      <c r="AH166" s="170">
        <f t="shared" ca="1" si="44"/>
        <v>0</v>
      </c>
      <c r="AI166" s="777">
        <f ca="1">IF(AI162=0,0,AI158*(1+Сценарии!AI$26))</f>
        <v>0</v>
      </c>
      <c r="AJ166" s="128">
        <f ca="1">IF(AJ162=0,0,AJ158*(1+Сценарии!AJ$26))</f>
        <v>0</v>
      </c>
      <c r="AK166" s="128">
        <f ca="1">IF(AK162=0,0,AK158*(1+Сценарии!AO$26))</f>
        <v>0</v>
      </c>
      <c r="AL166" s="128">
        <f ca="1">IF(AL162=0,0,AL158*(1+Сценарии!AP$26))</f>
        <v>0</v>
      </c>
      <c r="AM166" s="777">
        <f ca="1">IF(AM162=0,0,AM158*(1+Сценарии!AQ$26))</f>
        <v>0</v>
      </c>
      <c r="AN166" s="777">
        <f ca="1">IF(AN162=0,0,AN158*(1+Сценарии!AR$26))</f>
        <v>0</v>
      </c>
      <c r="AO166" s="777">
        <f ca="1">IF(AO162=0,0,AO158*(1+Сценарии!AS$26))</f>
        <v>0</v>
      </c>
      <c r="AP166" s="777">
        <f ca="1">IF(AP162=0,0,AP158*(1+Сценарии!AT$26))</f>
        <v>0</v>
      </c>
      <c r="AQ166" s="777">
        <f ca="1">IF(AQ162=0,0,AQ158*(1+Сценарии!AU$26))</f>
        <v>0</v>
      </c>
      <c r="AR166" s="777">
        <f ca="1">IF(AR162=0,0,AR158*(1+Сценарии!AV$26))</f>
        <v>0</v>
      </c>
      <c r="AS166" s="777">
        <f ca="1">IF(AS162=0,0,AS158*(1+Сценарии!AW$26))</f>
        <v>0</v>
      </c>
      <c r="AT166" s="128">
        <f ca="1">IF(AT162=0,0,AT158*(1+Сценарии!AK$26))</f>
        <v>0</v>
      </c>
      <c r="AU166" s="128">
        <f ca="1">IF(AU162=0,0,AU158*(1+Сценарии!AX$26))</f>
        <v>0</v>
      </c>
      <c r="AV166" s="128">
        <f ca="1">IF(AV162=0,0,AV158*(1+Сценарии!AY$26))</f>
        <v>0</v>
      </c>
      <c r="AW166" s="777">
        <f ca="1">IF(AW162=0,0,AW158*(1+Сценарии!AZ$26))</f>
        <v>0</v>
      </c>
      <c r="AX166" s="777">
        <f ca="1">IF(AX162=0,0,AX158*(1+Сценарии!BA$26))</f>
        <v>0</v>
      </c>
      <c r="AY166" s="777">
        <f ca="1">IF(AY162=0,0,AY158*(1+Сценарии!BB$26))</f>
        <v>0</v>
      </c>
      <c r="AZ166" s="777">
        <f ca="1">IF(AZ162=0,0,AZ158*(1+Сценарии!BC$26))</f>
        <v>0</v>
      </c>
      <c r="BA166" s="777">
        <f ca="1">IF(BA162=0,0,BA158*(1+Сценарии!BD$26))</f>
        <v>0</v>
      </c>
      <c r="BB166" s="777">
        <f ca="1">IF(BB162=0,0,BB158*(1+Сценарии!BE$26))</f>
        <v>0</v>
      </c>
      <c r="BC166" s="777">
        <f ca="1">IF(BC162=0,0,BC158*(1+Сценарии!BF$26))</f>
        <v>0</v>
      </c>
      <c r="BD166" s="540"/>
      <c r="BE166" s="540"/>
      <c r="BF166" s="540"/>
      <c r="BG166" s="540"/>
      <c r="BH166" s="540"/>
      <c r="BI166" s="540"/>
      <c r="BJ166" s="540"/>
      <c r="BK166" s="540"/>
      <c r="BL166" s="540"/>
      <c r="BM166" s="540"/>
      <c r="BN166" s="774"/>
      <c r="BO166" s="774"/>
      <c r="BP166" s="774"/>
      <c r="BS166" s="692" t="s">
        <v>1927</v>
      </c>
    </row>
    <row r="167" spans="1:75" ht="14.65" hidden="1" customHeight="1">
      <c r="C167" s="25"/>
      <c r="D167" s="25">
        <f>D166+1</f>
        <v>14</v>
      </c>
      <c r="E167" s="449">
        <v>15</v>
      </c>
      <c r="F167" s="3" cm="1">
        <f t="array" aca="1" ref="F167" ca="1">OFFSET(E167,-1,1)</f>
        <v>0</v>
      </c>
      <c r="G167" s="25"/>
      <c r="H167" s="25"/>
      <c r="I167" s="25"/>
      <c r="J167" s="25"/>
      <c r="K167" s="25"/>
      <c r="L167" s="25"/>
      <c r="M167" s="25"/>
      <c r="N167" s="25"/>
      <c r="O167" s="25"/>
      <c r="P167" s="25"/>
      <c r="Q167" s="25"/>
      <c r="R167" s="25"/>
      <c r="S167" s="25"/>
      <c r="T167" s="351" t="b" cm="1">
        <f t="array" aca="1" ref="T167" ca="1">T166</f>
        <v>0</v>
      </c>
      <c r="U167" s="25"/>
      <c r="V167" s="25"/>
      <c r="W167" s="25"/>
      <c r="X167" s="1046"/>
      <c r="Z167" s="1008"/>
      <c r="AB167" s="124" cm="1">
        <f t="array" ref="AB167">D167</f>
        <v>14</v>
      </c>
      <c r="AC167" s="125" t="s">
        <v>1928</v>
      </c>
      <c r="AD167" s="124" t="s">
        <v>859</v>
      </c>
      <c r="AE167" s="777"/>
      <c r="AF167" s="777"/>
      <c r="AG167" s="777"/>
      <c r="AH167" s="170">
        <f t="shared" si="44"/>
        <v>0</v>
      </c>
      <c r="AI167" s="777"/>
      <c r="AJ167" s="128"/>
      <c r="AK167" s="128"/>
      <c r="AL167" s="128"/>
      <c r="AM167" s="777"/>
      <c r="AN167" s="777"/>
      <c r="AO167" s="777"/>
      <c r="AP167" s="777"/>
      <c r="AQ167" s="777"/>
      <c r="AR167" s="777"/>
      <c r="AS167" s="777"/>
      <c r="AT167" s="128"/>
      <c r="AU167" s="128"/>
      <c r="AV167" s="128"/>
      <c r="AW167" s="777"/>
      <c r="AX167" s="777"/>
      <c r="AY167" s="777"/>
      <c r="AZ167" s="777"/>
      <c r="BA167" s="777"/>
      <c r="BB167" s="777"/>
      <c r="BC167" s="777"/>
      <c r="BD167" s="540"/>
      <c r="BE167" s="540"/>
      <c r="BF167" s="540"/>
      <c r="BG167" s="540"/>
      <c r="BH167" s="540"/>
      <c r="BI167" s="540"/>
      <c r="BJ167" s="540"/>
      <c r="BK167" s="540"/>
      <c r="BL167" s="540"/>
      <c r="BM167" s="540"/>
      <c r="BN167" s="774"/>
      <c r="BO167" s="774"/>
      <c r="BP167" s="774"/>
      <c r="BS167" s="692" t="s">
        <v>1929</v>
      </c>
    </row>
    <row r="168" spans="1:75" s="374" customFormat="1" ht="20.45" hidden="1" customHeight="1">
      <c r="B168" s="535"/>
      <c r="C168" s="25"/>
      <c r="D168" s="25" cm="1">
        <f t="array" ref="D168">D167</f>
        <v>14</v>
      </c>
      <c r="E168" s="449">
        <v>21</v>
      </c>
      <c r="F168" s="3" cm="1">
        <f t="array" aca="1" ref="F168" ca="1">OFFSET(E168,-1,1)</f>
        <v>0</v>
      </c>
      <c r="G168" s="25"/>
      <c r="H168" s="25"/>
      <c r="I168" s="25"/>
      <c r="J168" s="25"/>
      <c r="K168" s="25"/>
      <c r="L168" s="25"/>
      <c r="M168" s="25"/>
      <c r="N168" s="25"/>
      <c r="O168" s="25"/>
      <c r="P168" s="25"/>
      <c r="Q168" s="25"/>
      <c r="R168" s="25"/>
      <c r="S168" s="25"/>
      <c r="T168" s="351" t="b" cm="1">
        <f t="array" aca="1" ref="T168" ca="1">T167</f>
        <v>0</v>
      </c>
      <c r="U168" s="25"/>
      <c r="V168" s="25"/>
      <c r="W168" s="25"/>
      <c r="X168" s="1046"/>
      <c r="Z168" s="1008"/>
      <c r="AB168" s="7" t="str">
        <f>D168&amp;".1"</f>
        <v>14.1</v>
      </c>
      <c r="AC168" s="127" t="s">
        <v>1931</v>
      </c>
      <c r="AD168" s="7" t="s">
        <v>859</v>
      </c>
      <c r="AE168" s="777"/>
      <c r="AF168" s="777"/>
      <c r="AG168" s="777"/>
      <c r="AH168" s="170">
        <f t="shared" si="44"/>
        <v>0</v>
      </c>
      <c r="AI168" s="777"/>
      <c r="AJ168" s="128"/>
      <c r="AK168" s="128"/>
      <c r="AL168" s="128"/>
      <c r="AM168" s="777"/>
      <c r="AN168" s="777"/>
      <c r="AO168" s="777"/>
      <c r="AP168" s="777"/>
      <c r="AQ168" s="777"/>
      <c r="AR168" s="777"/>
      <c r="AS168" s="777"/>
      <c r="AT168" s="128"/>
      <c r="AU168" s="128"/>
      <c r="AV168" s="128"/>
      <c r="AW168" s="777"/>
      <c r="AX168" s="777"/>
      <c r="AY168" s="777"/>
      <c r="AZ168" s="777"/>
      <c r="BA168" s="777"/>
      <c r="BB168" s="777"/>
      <c r="BC168" s="777"/>
      <c r="BD168" s="540"/>
      <c r="BE168" s="540"/>
      <c r="BF168" s="540"/>
      <c r="BG168" s="540"/>
      <c r="BH168" s="540"/>
      <c r="BI168" s="540"/>
      <c r="BJ168" s="540"/>
      <c r="BK168" s="540"/>
      <c r="BL168" s="540"/>
      <c r="BM168" s="540"/>
      <c r="BN168" s="774"/>
      <c r="BO168" s="774"/>
      <c r="BP168" s="774"/>
      <c r="BS168" s="692" t="s">
        <v>1932</v>
      </c>
      <c r="BT168" s="701"/>
      <c r="BU168" s="701"/>
      <c r="BV168" s="702"/>
      <c r="BW168" s="702"/>
    </row>
    <row r="169" spans="1:75" s="374" customFormat="1" ht="64.900000000000006" hidden="1" customHeight="1">
      <c r="B169" s="535"/>
      <c r="C169" s="25"/>
      <c r="D169" s="25" cm="1">
        <f t="array" ref="D169">D168</f>
        <v>14</v>
      </c>
      <c r="E169" s="449">
        <v>66.599999999999994</v>
      </c>
      <c r="F169" s="3" cm="1">
        <f t="array" aca="1" ref="F169" ca="1">OFFSET(E169,-1,1)</f>
        <v>0</v>
      </c>
      <c r="G169" s="25"/>
      <c r="H169" s="25"/>
      <c r="I169" s="25"/>
      <c r="J169" s="25"/>
      <c r="K169" s="25"/>
      <c r="L169" s="25"/>
      <c r="M169" s="25"/>
      <c r="N169" s="25"/>
      <c r="O169" s="25"/>
      <c r="P169" s="25"/>
      <c r="Q169" s="25"/>
      <c r="R169" s="25"/>
      <c r="S169" s="25"/>
      <c r="T169" s="351" t="b" cm="1">
        <f t="array" aca="1" ref="T169" ca="1">T168</f>
        <v>0</v>
      </c>
      <c r="U169" s="25"/>
      <c r="V169" s="25"/>
      <c r="W169" s="25"/>
      <c r="X169" s="1046"/>
      <c r="Z169" s="1008"/>
      <c r="AB169" s="7" t="str">
        <f>D169&amp;".2"</f>
        <v>14.2</v>
      </c>
      <c r="AC169" s="127" t="s">
        <v>1934</v>
      </c>
      <c r="AD169" s="7" t="s">
        <v>859</v>
      </c>
      <c r="AE169" s="777"/>
      <c r="AF169" s="777"/>
      <c r="AG169" s="777"/>
      <c r="AH169" s="170">
        <f t="shared" si="44"/>
        <v>0</v>
      </c>
      <c r="AI169" s="777"/>
      <c r="AJ169" s="128"/>
      <c r="AK169" s="128"/>
      <c r="AL169" s="128"/>
      <c r="AM169" s="777"/>
      <c r="AN169" s="777"/>
      <c r="AO169" s="777"/>
      <c r="AP169" s="777"/>
      <c r="AQ169" s="777"/>
      <c r="AR169" s="777"/>
      <c r="AS169" s="777"/>
      <c r="AT169" s="128"/>
      <c r="AU169" s="128"/>
      <c r="AV169" s="128"/>
      <c r="AW169" s="777"/>
      <c r="AX169" s="777"/>
      <c r="AY169" s="777"/>
      <c r="AZ169" s="777"/>
      <c r="BA169" s="777"/>
      <c r="BB169" s="777"/>
      <c r="BC169" s="777"/>
      <c r="BD169" s="540"/>
      <c r="BE169" s="540"/>
      <c r="BF169" s="540"/>
      <c r="BG169" s="540"/>
      <c r="BH169" s="540"/>
      <c r="BI169" s="540"/>
      <c r="BJ169" s="540"/>
      <c r="BK169" s="540"/>
      <c r="BL169" s="540"/>
      <c r="BM169" s="540"/>
      <c r="BN169" s="774"/>
      <c r="BO169" s="774"/>
      <c r="BP169" s="774"/>
      <c r="BS169" s="692" t="s">
        <v>1935</v>
      </c>
      <c r="BT169" s="701"/>
      <c r="BU169" s="701"/>
      <c r="BV169" s="702"/>
      <c r="BW169" s="702"/>
    </row>
    <row r="170" spans="1:75" s="374" customFormat="1" ht="44.45" hidden="1" customHeight="1">
      <c r="B170" s="535"/>
      <c r="C170" s="25"/>
      <c r="D170" s="25" cm="1">
        <f t="array" ref="D170">D169</f>
        <v>14</v>
      </c>
      <c r="E170" s="449">
        <v>45.6</v>
      </c>
      <c r="F170" s="3" cm="1">
        <f t="array" aca="1" ref="F170" ca="1">OFFSET(E170,-1,1)</f>
        <v>0</v>
      </c>
      <c r="G170" s="25"/>
      <c r="H170" s="25"/>
      <c r="I170" s="25"/>
      <c r="J170" s="25"/>
      <c r="K170" s="25"/>
      <c r="L170" s="25"/>
      <c r="M170" s="25"/>
      <c r="N170" s="25"/>
      <c r="O170" s="25"/>
      <c r="P170" s="25"/>
      <c r="Q170" s="25"/>
      <c r="R170" s="25"/>
      <c r="S170" s="25"/>
      <c r="T170" s="351" t="b" cm="1">
        <f t="array" aca="1" ref="T170" ca="1">T169</f>
        <v>0</v>
      </c>
      <c r="U170" s="25"/>
      <c r="V170" s="25"/>
      <c r="W170" s="25"/>
      <c r="X170" s="1046"/>
      <c r="Z170" s="1008"/>
      <c r="AB170" s="7" t="str">
        <f>D170&amp;".3"</f>
        <v>14.3</v>
      </c>
      <c r="AC170" s="127" t="s">
        <v>2218</v>
      </c>
      <c r="AD170" s="7" t="s">
        <v>859</v>
      </c>
      <c r="AE170" s="540"/>
      <c r="AF170" s="777"/>
      <c r="AG170" s="777"/>
      <c r="AH170" s="170">
        <f t="shared" si="44"/>
        <v>0</v>
      </c>
      <c r="AI170" s="540"/>
      <c r="AJ170" s="540"/>
      <c r="AK170" s="540"/>
      <c r="AL170" s="540"/>
      <c r="AM170" s="540"/>
      <c r="AN170" s="540"/>
      <c r="AO170" s="540"/>
      <c r="AP170" s="540"/>
      <c r="AQ170" s="540"/>
      <c r="AR170" s="540"/>
      <c r="AS170" s="540"/>
      <c r="AT170" s="540"/>
      <c r="AU170" s="540"/>
      <c r="AV170" s="540"/>
      <c r="AW170" s="540"/>
      <c r="AX170" s="540"/>
      <c r="AY170" s="540"/>
      <c r="AZ170" s="540"/>
      <c r="BA170" s="540"/>
      <c r="BB170" s="540"/>
      <c r="BC170" s="540"/>
      <c r="BD170" s="540"/>
      <c r="BE170" s="540"/>
      <c r="BF170" s="540"/>
      <c r="BG170" s="540"/>
      <c r="BH170" s="540"/>
      <c r="BI170" s="540"/>
      <c r="BJ170" s="540"/>
      <c r="BK170" s="540"/>
      <c r="BL170" s="540"/>
      <c r="BM170" s="540"/>
      <c r="BN170" s="774"/>
      <c r="BO170" s="774"/>
      <c r="BP170" s="774"/>
      <c r="BS170" s="701" t="s">
        <v>2219</v>
      </c>
      <c r="BT170" s="701"/>
      <c r="BU170" s="701"/>
      <c r="BV170" s="702"/>
      <c r="BW170" s="702"/>
    </row>
    <row r="171" spans="1:75" s="394" customFormat="1" ht="32.450000000000003" customHeight="1">
      <c r="A171" s="38"/>
      <c r="B171" s="43"/>
      <c r="C171" s="22"/>
      <c r="D171" s="22"/>
      <c r="E171" s="447">
        <v>15</v>
      </c>
      <c r="F171" s="59" t="str" cm="1">
        <f t="array" ref="F171">X171</f>
        <v>1</v>
      </c>
      <c r="G171" s="59" t="str" cm="1">
        <f t="array" ref="G171">INDEX('Общие сведения'!$AK$179:$AK$208,MATCH($X171,'Общие сведения'!$Z$179:$Z$208,0))</f>
        <v>одноставочный</v>
      </c>
      <c r="H171" s="22"/>
      <c r="I171" s="59"/>
      <c r="J171" s="22"/>
      <c r="K171" s="22"/>
      <c r="L171" s="22"/>
      <c r="M171" s="22"/>
      <c r="N171" s="22"/>
      <c r="O171" s="22"/>
      <c r="P171" s="22"/>
      <c r="Q171" s="22"/>
      <c r="R171" s="22"/>
      <c r="S171" s="22" t="str" cm="1">
        <f t="array" ref="S171">INDEX('Общие сведения'!$AE$179:$AE$208,MATCH($X171,'Общие сведения'!$Z$179:$Z$208,0))</f>
        <v>Водоснабжение</v>
      </c>
      <c r="T171" s="351" t="b">
        <f>X171&gt;0</f>
        <v>1</v>
      </c>
      <c r="U171" s="22"/>
      <c r="V171" s="22" t="str" cm="1">
        <f t="array" ref="V171">'Калькуляция (МЭОР)'!$AB$112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171" s="22"/>
      <c r="X171" s="1046" t="s">
        <v>277</v>
      </c>
      <c r="Y171" s="38"/>
      <c r="Z171" s="1008"/>
      <c r="AA171" s="38"/>
      <c r="AB171" s="279" t="str" cm="1">
        <f t="array" ref="AB171">'Калькуляция (МЭОР)'!$AB$112</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c r="BM171" s="164"/>
      <c r="BN171" s="164"/>
      <c r="BO171" s="164"/>
      <c r="BP171" s="164"/>
      <c r="BQ171" s="38"/>
      <c r="BR171" s="38"/>
      <c r="BS171" s="654"/>
      <c r="BT171" s="654"/>
      <c r="BU171" s="654"/>
      <c r="BV171" s="446"/>
      <c r="BW171" s="446"/>
    </row>
    <row r="172" spans="1:75" s="902" customFormat="1" ht="100.5" customHeight="1">
      <c r="A172" s="75"/>
      <c r="B172" s="330"/>
      <c r="C172" s="573"/>
      <c r="D172" s="573"/>
      <c r="E172" s="574">
        <v>21</v>
      </c>
      <c r="F172" s="3" t="str" cm="1">
        <f t="array" aca="1" ref="F172" ca="1">OFFSET(E172,-1,1)</f>
        <v>1</v>
      </c>
      <c r="G172" s="573"/>
      <c r="H172" s="30"/>
      <c r="I172" s="30" t="s">
        <v>321</v>
      </c>
      <c r="J172" s="573"/>
      <c r="K172" s="275" t="s">
        <v>321</v>
      </c>
      <c r="L172" s="573"/>
      <c r="M172" s="573"/>
      <c r="N172" s="573"/>
      <c r="O172" s="573"/>
      <c r="P172" s="573"/>
      <c r="Q172" s="573"/>
      <c r="R172" s="573"/>
      <c r="S172" s="573"/>
      <c r="T172" s="351" t="b" cm="1">
        <f t="array" ref="T172">T171</f>
        <v>1</v>
      </c>
      <c r="U172" s="573"/>
      <c r="V172" s="573"/>
      <c r="W172" s="573"/>
      <c r="X172" s="1046"/>
      <c r="Y172" s="75"/>
      <c r="Z172" s="1008"/>
      <c r="AA172" s="75"/>
      <c r="AB172" s="147" t="s">
        <v>277</v>
      </c>
      <c r="AC172" s="125" t="s">
        <v>1943</v>
      </c>
      <c r="AD172" s="147" t="s">
        <v>859</v>
      </c>
      <c r="AE172" s="126">
        <f ca="1">SUM(AE174,AE191,AE197,AE217,AE218,AE219)</f>
        <v>6960.55</v>
      </c>
      <c r="AF172" s="126">
        <f ca="1">SUM(AF174,AF191,AF197,AF217,AF218,AF219)</f>
        <v>14344.63348</v>
      </c>
      <c r="AG172" s="126">
        <f ca="1">SUM(AG174,AG191,AG197,AG217,AG218,AG219)</f>
        <v>14351.163420000001</v>
      </c>
      <c r="AH172" s="126">
        <f t="shared" ref="AH172:AH203" ca="1" si="48">AG172-AF172</f>
        <v>6.5299400000003516</v>
      </c>
      <c r="AI172" s="126">
        <f ca="1">SUM(AI174,AI191,AI197,AI217,AI218,AI219)</f>
        <v>186045.24378867098</v>
      </c>
      <c r="AJ172" s="126">
        <f ca="1">SUM(AJ174,AJ191,AJ197,AJ217,AJ218,AJ219)</f>
        <v>223765.89893999998</v>
      </c>
      <c r="AK172" s="138">
        <f t="shared" ref="AK172:AS172" ca="1" si="49">AJ172*AK173</f>
        <v>232716.53489759998</v>
      </c>
      <c r="AL172" s="138">
        <f t="shared" ca="1" si="49"/>
        <v>242025.19629350398</v>
      </c>
      <c r="AM172" s="138">
        <f t="shared" ca="1" si="49"/>
        <v>242025.19629350398</v>
      </c>
      <c r="AN172" s="138">
        <f t="shared" ca="1" si="49"/>
        <v>242025.19629350398</v>
      </c>
      <c r="AO172" s="138">
        <f t="shared" ca="1" si="49"/>
        <v>242025.19629350398</v>
      </c>
      <c r="AP172" s="138">
        <f t="shared" ca="1" si="49"/>
        <v>242025.19629350398</v>
      </c>
      <c r="AQ172" s="138">
        <f t="shared" ca="1" si="49"/>
        <v>242025.19629350398</v>
      </c>
      <c r="AR172" s="138">
        <f t="shared" ca="1" si="49"/>
        <v>242025.19629350398</v>
      </c>
      <c r="AS172" s="138">
        <f t="shared" ca="1" si="49"/>
        <v>242025.19629350398</v>
      </c>
      <c r="AT172" s="126">
        <f ca="1">SUM(AT174,AT191,AT197,AT217,AT218,AT219)</f>
        <v>201842.94417498671</v>
      </c>
      <c r="AU172" s="138">
        <f ca="1">AT172*AU173-0.01</f>
        <v>207817.48532256632</v>
      </c>
      <c r="AV172" s="138">
        <f ca="1">AU172*AV173+0.01</f>
        <v>213968.89288811432</v>
      </c>
      <c r="AW172" s="138">
        <f t="shared" ref="AW172:BC172" ca="1" si="50">AV172*AW173</f>
        <v>213968.89288811432</v>
      </c>
      <c r="AX172" s="138">
        <f t="shared" ca="1" si="50"/>
        <v>213968.89288811432</v>
      </c>
      <c r="AY172" s="138">
        <f t="shared" ca="1" si="50"/>
        <v>213968.89288811432</v>
      </c>
      <c r="AZ172" s="138">
        <f t="shared" ca="1" si="50"/>
        <v>213968.89288811432</v>
      </c>
      <c r="BA172" s="138">
        <f t="shared" ca="1" si="50"/>
        <v>213968.89288811432</v>
      </c>
      <c r="BB172" s="138">
        <f t="shared" ca="1" si="50"/>
        <v>213968.89288811432</v>
      </c>
      <c r="BC172" s="138">
        <f t="shared" ca="1" si="50"/>
        <v>213968.89288811432</v>
      </c>
      <c r="BD172" s="126">
        <f t="shared" ref="BD172:BD203" ca="1" si="51">IF(AI172=0,0,(AT172-AI172)/AI172*100)</f>
        <v>8.491321822911182</v>
      </c>
      <c r="BE172" s="126">
        <f t="shared" ref="BE172:BM172" ca="1" si="52">IF(AT172=0,0,(AU172-AT172)/AT172*100)</f>
        <v>2.9599950456529291</v>
      </c>
      <c r="BF172" s="126">
        <f t="shared" ca="1" si="52"/>
        <v>2.960004811914656</v>
      </c>
      <c r="BG172" s="126">
        <f t="shared" ca="1" si="52"/>
        <v>0</v>
      </c>
      <c r="BH172" s="126">
        <f t="shared" ca="1" si="52"/>
        <v>0</v>
      </c>
      <c r="BI172" s="126">
        <f t="shared" ca="1" si="52"/>
        <v>0</v>
      </c>
      <c r="BJ172" s="126">
        <f t="shared" ca="1" si="52"/>
        <v>0</v>
      </c>
      <c r="BK172" s="126">
        <f t="shared" ca="1" si="52"/>
        <v>0</v>
      </c>
      <c r="BL172" s="126">
        <f t="shared" ca="1" si="52"/>
        <v>0</v>
      </c>
      <c r="BM172" s="126">
        <f t="shared" ca="1" si="52"/>
        <v>0</v>
      </c>
      <c r="BN172" s="195"/>
      <c r="BO172" s="195" t="s">
        <v>2220</v>
      </c>
      <c r="BP172" s="195" t="s">
        <v>2221</v>
      </c>
      <c r="BQ172" s="74"/>
      <c r="BR172" s="75"/>
      <c r="BS172" s="698" t="s">
        <v>577</v>
      </c>
      <c r="BT172" s="698"/>
      <c r="BU172" s="698"/>
      <c r="BV172" s="507"/>
      <c r="BW172" s="507"/>
    </row>
    <row r="173" spans="1:75" ht="72" customHeight="1">
      <c r="C173" s="25"/>
      <c r="D173" s="25"/>
      <c r="E173" s="449">
        <v>15</v>
      </c>
      <c r="F173" s="3" t="str" cm="1">
        <f t="array" aca="1" ref="F173" ca="1">OFFSET(E173,-1,1)</f>
        <v>1</v>
      </c>
      <c r="G173" s="25"/>
      <c r="H173" s="575"/>
      <c r="I173" s="575" t="s">
        <v>507</v>
      </c>
      <c r="J173" s="25"/>
      <c r="K173" s="276" t="s">
        <v>507</v>
      </c>
      <c r="L173" s="25"/>
      <c r="M173" s="25"/>
      <c r="N173" s="25"/>
      <c r="O173" s="25"/>
      <c r="P173" s="25"/>
      <c r="Q173" s="25"/>
      <c r="R173" s="25"/>
      <c r="S173" s="25"/>
      <c r="T173" s="351" t="b" cm="1">
        <f t="array" ref="T173">T172</f>
        <v>1</v>
      </c>
      <c r="U173" s="25"/>
      <c r="V173" s="25"/>
      <c r="W173" s="25"/>
      <c r="X173" s="1046"/>
      <c r="Z173" s="1008"/>
      <c r="AB173" s="7" t="s">
        <v>936</v>
      </c>
      <c r="AC173" s="127" t="s">
        <v>1944</v>
      </c>
      <c r="AD173" s="7"/>
      <c r="AE173" s="442"/>
      <c r="AF173" s="442"/>
      <c r="AG173" s="442"/>
      <c r="AH173" s="556">
        <f t="shared" si="48"/>
        <v>0</v>
      </c>
      <c r="AI173" s="442"/>
      <c r="AJ173" s="442"/>
      <c r="AK173" s="442">
        <f ca="1">SUMIFS(INDEX(Сценарии!$AE$25:$BF$82,,MATCH(AK$8,Сценарии!$AE$8:$BF$8,0)),Сценарии!$F$25:$F$82,$F173,Сценарии!$G$25:$G$82,"ИОР")</f>
        <v>1.04</v>
      </c>
      <c r="AL173" s="442">
        <f ca="1">SUMIFS(INDEX(Сценарии!$AE$25:$BF$82,,MATCH(AL$8,Сценарии!$AE$8:$BF$8,0)),Сценарии!$F$25:$F$82,$F173,Сценарии!$G$25:$G$82,"ИОР")</f>
        <v>1.04</v>
      </c>
      <c r="AM173" s="442">
        <f ca="1">SUMIFS(INDEX(Сценарии!$AE$25:$BF$82,,MATCH(AM$8,Сценарии!$AE$8:$BF$8,0)),Сценарии!$F$25:$F$82,$F173,Сценарии!$G$25:$G$82,"ИОР")</f>
        <v>1</v>
      </c>
      <c r="AN173" s="442">
        <f ca="1">SUMIFS(INDEX(Сценарии!$AE$25:$BF$82,,MATCH(AN$8,Сценарии!$AE$8:$BF$8,0)),Сценарии!$F$25:$F$82,$F173,Сценарии!$G$25:$G$82,"ИОР")</f>
        <v>1</v>
      </c>
      <c r="AO173" s="442">
        <f ca="1">SUMIFS(INDEX(Сценарии!$AE$25:$BF$82,,MATCH(AO$8,Сценарии!$AE$8:$BF$8,0)),Сценарии!$F$25:$F$82,$F173,Сценарии!$G$25:$G$82,"ИОР")</f>
        <v>1</v>
      </c>
      <c r="AP173" s="442">
        <f ca="1">SUMIFS(INDEX(Сценарии!$AE$25:$BF$82,,MATCH(AP$8,Сценарии!$AE$8:$BF$8,0)),Сценарии!$F$25:$F$82,$F173,Сценарии!$G$25:$G$82,"ИОР")</f>
        <v>1</v>
      </c>
      <c r="AQ173" s="442">
        <f ca="1">SUMIFS(INDEX(Сценарии!$AE$25:$BF$82,,MATCH(AQ$8,Сценарии!$AE$8:$BF$8,0)),Сценарии!$F$25:$F$82,$F173,Сценарии!$G$25:$G$82,"ИОР")</f>
        <v>1</v>
      </c>
      <c r="AR173" s="442">
        <f ca="1">SUMIFS(INDEX(Сценарии!$AE$25:$BF$82,,MATCH(AR$8,Сценарии!$AE$8:$BF$8,0)),Сценарии!$F$25:$F$82,$F173,Сценарии!$G$25:$G$82,"ИОР")</f>
        <v>1</v>
      </c>
      <c r="AS173" s="442">
        <f ca="1">SUMIFS(INDEX(Сценарии!$AE$25:$BF$82,,MATCH(AS$8,Сценарии!$AE$8:$BF$8,0)),Сценарии!$F$25:$F$82,$F173,Сценарии!$G$25:$G$82,"ИОР")</f>
        <v>1</v>
      </c>
      <c r="AT173" s="442"/>
      <c r="AU173" s="442">
        <f ca="1">SUMIFS(INDEX(Сценарии!$AE$25:$BF$82,,MATCH(AU$8,Сценарии!$AE$8:$BF$8,0)),Сценарии!$F$25:$F$82,$F173,Сценарии!$G$25:$G$82,"ИОР")</f>
        <v>1.0296000000000001</v>
      </c>
      <c r="AV173" s="442">
        <f ca="1">SUMIFS(INDEX(Сценарии!$AE$25:$BF$82,,MATCH(AV$8,Сценарии!$AE$8:$BF$8,0)),Сценарии!$F$25:$F$82,$F173,Сценарии!$G$25:$G$82,"ИОР")</f>
        <v>1.0296000000000001</v>
      </c>
      <c r="AW173" s="442">
        <f ca="1">SUMIFS(INDEX(Сценарии!$AE$25:$BF$82,,MATCH(AW$8,Сценарии!$AE$8:$BF$8,0)),Сценарии!$F$25:$F$82,$F173,Сценарии!$G$25:$G$82,"ИОР")</f>
        <v>1</v>
      </c>
      <c r="AX173" s="442">
        <f ca="1">SUMIFS(INDEX(Сценарии!$AE$25:$BF$82,,MATCH(AX$8,Сценарии!$AE$8:$BF$8,0)),Сценарии!$F$25:$F$82,$F173,Сценарии!$G$25:$G$82,"ИОР")</f>
        <v>1</v>
      </c>
      <c r="AY173" s="442">
        <f ca="1">SUMIFS(INDEX(Сценарии!$AE$25:$BF$82,,MATCH(AY$8,Сценарии!$AE$8:$BF$8,0)),Сценарии!$F$25:$F$82,$F173,Сценарии!$G$25:$G$82,"ИОР")</f>
        <v>1</v>
      </c>
      <c r="AZ173" s="442">
        <f ca="1">SUMIFS(INDEX(Сценарии!$AE$25:$BF$82,,MATCH(AZ$8,Сценарии!$AE$8:$BF$8,0)),Сценарии!$F$25:$F$82,$F173,Сценарии!$G$25:$G$82,"ИОР")</f>
        <v>1</v>
      </c>
      <c r="BA173" s="442">
        <f ca="1">SUMIFS(INDEX(Сценарии!$AE$25:$BF$82,,MATCH(BA$8,Сценарии!$AE$8:$BF$8,0)),Сценарии!$F$25:$F$82,$F173,Сценарии!$G$25:$G$82,"ИОР")</f>
        <v>1</v>
      </c>
      <c r="BB173" s="442">
        <f ca="1">SUMIFS(INDEX(Сценарии!$AE$25:$BF$82,,MATCH(BB$8,Сценарии!$AE$8:$BF$8,0)),Сценарии!$F$25:$F$82,$F173,Сценарии!$G$25:$G$82,"ИОР")</f>
        <v>1</v>
      </c>
      <c r="BC173" s="442">
        <f ca="1">SUMIFS(INDEX(Сценарии!$AE$25:$BF$82,,MATCH(BC$8,Сценарии!$AE$8:$BF$8,0)),Сценарии!$F$25:$F$82,$F173,Сценарии!$G$25:$G$82,"ИОР")</f>
        <v>1</v>
      </c>
      <c r="BD173" s="170">
        <f t="shared" si="51"/>
        <v>0</v>
      </c>
      <c r="BE173" s="540"/>
      <c r="BF173" s="540"/>
      <c r="BG173" s="540"/>
      <c r="BH173" s="540"/>
      <c r="BI173" s="540"/>
      <c r="BJ173" s="540"/>
      <c r="BK173" s="540"/>
      <c r="BL173" s="540"/>
      <c r="BM173" s="540"/>
      <c r="BN173" s="195"/>
      <c r="BO173" s="195" t="s">
        <v>563</v>
      </c>
      <c r="BP173" s="195"/>
      <c r="BS173" s="694" t="s">
        <v>1945</v>
      </c>
    </row>
    <row r="174" spans="1:75" s="330" customFormat="1" ht="51.75" customHeight="1">
      <c r="A174" s="74"/>
      <c r="C174" s="576"/>
      <c r="D174" s="576"/>
      <c r="E174" s="577">
        <v>21</v>
      </c>
      <c r="F174" s="3" t="str" cm="1">
        <f t="array" aca="1" ref="F174" ca="1">OFFSET(E174,-1,1)</f>
        <v>1</v>
      </c>
      <c r="G174" s="576"/>
      <c r="H174" s="30"/>
      <c r="I174" s="30" t="s">
        <v>511</v>
      </c>
      <c r="J174" s="576"/>
      <c r="K174" s="275" t="s">
        <v>511</v>
      </c>
      <c r="L174" s="576" t="s">
        <v>321</v>
      </c>
      <c r="M174" s="576"/>
      <c r="N174" s="576"/>
      <c r="O174" s="576"/>
      <c r="P174" s="576"/>
      <c r="Q174" s="576"/>
      <c r="R174" s="576"/>
      <c r="S174" s="576"/>
      <c r="T174" s="351" t="b" cm="1">
        <f t="array" ref="T174">T173</f>
        <v>1</v>
      </c>
      <c r="U174" s="576"/>
      <c r="V174" s="576"/>
      <c r="W174" s="576"/>
      <c r="X174" s="1046"/>
      <c r="Y174" s="74"/>
      <c r="Z174" s="1008"/>
      <c r="AA174" s="74"/>
      <c r="AB174" s="147" t="s">
        <v>939</v>
      </c>
      <c r="AC174" s="262" t="s">
        <v>1739</v>
      </c>
      <c r="AD174" s="147" t="s">
        <v>859</v>
      </c>
      <c r="AE174" s="126">
        <f ca="1">SUM(AE175,AE178,AE179,AE182,AE183)</f>
        <v>4179.12</v>
      </c>
      <c r="AF174" s="126">
        <f ca="1">SUM(AF175,AF178,AF179,AF182,AF183)</f>
        <v>7849.130000000001</v>
      </c>
      <c r="AG174" s="126">
        <f ca="1">SUM(AG175,AG178,AG179,AG182,AG183)</f>
        <v>7856.1829400000015</v>
      </c>
      <c r="AH174" s="126">
        <f t="shared" ca="1" si="48"/>
        <v>7.0529400000004898</v>
      </c>
      <c r="AI174" s="126">
        <f ca="1">SUM(AI175,AI178,AI179,AI182,AI183)</f>
        <v>109853.054356928</v>
      </c>
      <c r="AJ174" s="126">
        <f ca="1">SUM(AJ175,AJ178,AJ179,AJ182,AJ183)</f>
        <v>120962.48660640001</v>
      </c>
      <c r="AK174" s="129"/>
      <c r="AL174" s="129"/>
      <c r="AM174" s="129"/>
      <c r="AN174" s="129"/>
      <c r="AO174" s="129"/>
      <c r="AP174" s="129"/>
      <c r="AQ174" s="129"/>
      <c r="AR174" s="129"/>
      <c r="AS174" s="129"/>
      <c r="AT174" s="126">
        <f ca="1">SUM(AT175,AT178,AT179,AT182,AT183)</f>
        <v>116967.95726106669</v>
      </c>
      <c r="AU174" s="129"/>
      <c r="AV174" s="129"/>
      <c r="AW174" s="129"/>
      <c r="AX174" s="129"/>
      <c r="AY174" s="129"/>
      <c r="AZ174" s="129"/>
      <c r="BA174" s="129"/>
      <c r="BB174" s="129"/>
      <c r="BC174" s="129"/>
      <c r="BD174" s="126">
        <f t="shared" ca="1" si="51"/>
        <v>6.4767456360579452</v>
      </c>
      <c r="BE174" s="129"/>
      <c r="BF174" s="129"/>
      <c r="BG174" s="129"/>
      <c r="BH174" s="129"/>
      <c r="BI174" s="129"/>
      <c r="BJ174" s="129"/>
      <c r="BK174" s="129"/>
      <c r="BL174" s="129"/>
      <c r="BM174" s="129"/>
      <c r="BN174" s="554"/>
      <c r="BO174" s="554" t="s">
        <v>2222</v>
      </c>
      <c r="BP174" s="554"/>
      <c r="BQ174" s="74"/>
      <c r="BR174" s="74"/>
      <c r="BS174" s="692" t="s">
        <v>562</v>
      </c>
      <c r="BT174" s="699"/>
      <c r="BU174" s="699"/>
      <c r="BV174" s="508"/>
      <c r="BW174" s="508"/>
    </row>
    <row r="175" spans="1:75" ht="218.25" customHeight="1">
      <c r="C175" s="25"/>
      <c r="D175" s="25"/>
      <c r="E175" s="449">
        <v>15</v>
      </c>
      <c r="F175" s="3" t="str" cm="1">
        <f t="array" aca="1" ref="F175" ca="1">OFFSET(E175,-1,1)</f>
        <v>1</v>
      </c>
      <c r="G175" s="25"/>
      <c r="H175" s="575"/>
      <c r="I175" s="575" t="s">
        <v>1378</v>
      </c>
      <c r="J175" s="25"/>
      <c r="K175" s="276" t="s">
        <v>1378</v>
      </c>
      <c r="L175" s="25" t="s">
        <v>507</v>
      </c>
      <c r="M175" s="25"/>
      <c r="N175" s="25"/>
      <c r="O175" s="25"/>
      <c r="P175" s="25"/>
      <c r="Q175" s="25"/>
      <c r="R175" s="25"/>
      <c r="S175" s="25"/>
      <c r="T175" s="351" t="b" cm="1">
        <f t="array" ref="T175">T174</f>
        <v>1</v>
      </c>
      <c r="U175" s="25"/>
      <c r="V175" s="25"/>
      <c r="W175" s="25"/>
      <c r="X175" s="1046"/>
      <c r="Z175" s="1008"/>
      <c r="AB175" s="7" t="s">
        <v>1379</v>
      </c>
      <c r="AC175" s="134" t="s">
        <v>1946</v>
      </c>
      <c r="AD175" s="9" t="s">
        <v>859</v>
      </c>
      <c r="AE175" s="170">
        <f>SUM(AE176,AE177)</f>
        <v>322.71999999999997</v>
      </c>
      <c r="AF175" s="170">
        <f>SUM(AF176,AF177)</f>
        <v>693.97</v>
      </c>
      <c r="AG175" s="170">
        <f>SUM(AG176,AG177)</f>
        <v>693.97</v>
      </c>
      <c r="AH175" s="170">
        <f t="shared" si="48"/>
        <v>0</v>
      </c>
      <c r="AI175" s="170">
        <f>SUM(AI176,AI177)</f>
        <v>7403.44</v>
      </c>
      <c r="AJ175" s="170">
        <f>SUM(AJ176,AJ177)</f>
        <v>2879.99</v>
      </c>
      <c r="AK175" s="540"/>
      <c r="AL175" s="540"/>
      <c r="AM175" s="540"/>
      <c r="AN175" s="540"/>
      <c r="AO175" s="540"/>
      <c r="AP175" s="540"/>
      <c r="AQ175" s="540"/>
      <c r="AR175" s="540"/>
      <c r="AS175" s="540"/>
      <c r="AT175" s="170">
        <f>SUM(AT176,AT177)</f>
        <v>2879.99</v>
      </c>
      <c r="AU175" s="540"/>
      <c r="AV175" s="540"/>
      <c r="AW175" s="540"/>
      <c r="AX175" s="540"/>
      <c r="AY175" s="540"/>
      <c r="AZ175" s="540"/>
      <c r="BA175" s="540"/>
      <c r="BB175" s="540"/>
      <c r="BC175" s="540"/>
      <c r="BD175" s="170">
        <f t="shared" si="51"/>
        <v>-61.099299784964835</v>
      </c>
      <c r="BE175" s="540"/>
      <c r="BF175" s="540"/>
      <c r="BG175" s="540"/>
      <c r="BH175" s="540"/>
      <c r="BI175" s="540"/>
      <c r="BJ175" s="540"/>
      <c r="BK175" s="540"/>
      <c r="BL175" s="540"/>
      <c r="BM175" s="540"/>
      <c r="BN175" s="195"/>
      <c r="BO175" s="195" t="s">
        <v>2223</v>
      </c>
      <c r="BP175" s="195" t="s">
        <v>2224</v>
      </c>
      <c r="BQ175" s="28"/>
      <c r="BS175" s="693" t="s">
        <v>1741</v>
      </c>
    </row>
    <row r="176" spans="1:75" ht="81.75" customHeight="1">
      <c r="C176" s="25"/>
      <c r="D176" s="25"/>
      <c r="E176" s="449">
        <v>15</v>
      </c>
      <c r="F176" s="3" t="str" cm="1">
        <f t="array" aca="1" ref="F176" ca="1">OFFSET(E176,-1,1)</f>
        <v>1</v>
      </c>
      <c r="G176" s="25"/>
      <c r="H176" s="575"/>
      <c r="I176" s="575" t="s">
        <v>1947</v>
      </c>
      <c r="J176" s="25"/>
      <c r="K176" s="276" t="s">
        <v>1947</v>
      </c>
      <c r="L176" s="25" t="s">
        <v>1044</v>
      </c>
      <c r="M176" s="25"/>
      <c r="N176" s="25"/>
      <c r="O176" s="25"/>
      <c r="P176" s="25"/>
      <c r="Q176" s="25"/>
      <c r="R176" s="25"/>
      <c r="S176" s="25"/>
      <c r="T176" s="351" t="b" cm="1">
        <f t="array" ref="T176">T175</f>
        <v>1</v>
      </c>
      <c r="U176" s="25"/>
      <c r="V176" s="25"/>
      <c r="W176" s="25"/>
      <c r="X176" s="1046"/>
      <c r="Z176" s="1008"/>
      <c r="AB176" s="7" t="s">
        <v>1948</v>
      </c>
      <c r="AC176" s="541" t="s">
        <v>1744</v>
      </c>
      <c r="AD176" s="9" t="s">
        <v>859</v>
      </c>
      <c r="AE176" s="128">
        <f>199.1+86.61</f>
        <v>285.70999999999998</v>
      </c>
      <c r="AF176" s="128">
        <v>331.87</v>
      </c>
      <c r="AG176" s="128">
        <v>331.87</v>
      </c>
      <c r="AH176" s="170">
        <f t="shared" si="48"/>
        <v>0</v>
      </c>
      <c r="AI176" s="128">
        <f>1990.74+4576.55</f>
        <v>6567.29</v>
      </c>
      <c r="AJ176" s="128">
        <v>2879.99</v>
      </c>
      <c r="AK176" s="540"/>
      <c r="AL176" s="540"/>
      <c r="AM176" s="540"/>
      <c r="AN176" s="540"/>
      <c r="AO176" s="540"/>
      <c r="AP176" s="540"/>
      <c r="AQ176" s="540"/>
      <c r="AR176" s="540"/>
      <c r="AS176" s="540"/>
      <c r="AT176" s="128">
        <v>2879.99</v>
      </c>
      <c r="AU176" s="540"/>
      <c r="AV176" s="540"/>
      <c r="AW176" s="540"/>
      <c r="AX176" s="540"/>
      <c r="AY176" s="540"/>
      <c r="AZ176" s="540"/>
      <c r="BA176" s="540"/>
      <c r="BB176" s="540"/>
      <c r="BC176" s="540"/>
      <c r="BD176" s="170">
        <f t="shared" si="51"/>
        <v>-56.146447012390198</v>
      </c>
      <c r="BE176" s="540"/>
      <c r="BF176" s="540"/>
      <c r="BG176" s="540"/>
      <c r="BH176" s="540"/>
      <c r="BI176" s="540"/>
      <c r="BJ176" s="540"/>
      <c r="BK176" s="540"/>
      <c r="BL176" s="540"/>
      <c r="BM176" s="540"/>
      <c r="BN176" s="195"/>
      <c r="BO176" s="195" t="s">
        <v>2225</v>
      </c>
      <c r="BP176" s="195" t="s">
        <v>2226</v>
      </c>
      <c r="BS176" s="692" t="s">
        <v>1745</v>
      </c>
    </row>
    <row r="177" spans="1:75" ht="52.5" customHeight="1">
      <c r="C177" s="25"/>
      <c r="D177" s="25"/>
      <c r="E177" s="449">
        <v>15</v>
      </c>
      <c r="F177" s="3" t="str" cm="1">
        <f t="array" aca="1" ref="F177" ca="1">OFFSET(E177,-1,1)</f>
        <v>1</v>
      </c>
      <c r="G177" s="25"/>
      <c r="H177" s="575"/>
      <c r="I177" s="575" t="s">
        <v>1949</v>
      </c>
      <c r="J177" s="25"/>
      <c r="K177" s="276" t="s">
        <v>1949</v>
      </c>
      <c r="L177" s="25" t="s">
        <v>1353</v>
      </c>
      <c r="M177" s="25"/>
      <c r="N177" s="25"/>
      <c r="O177" s="25"/>
      <c r="P177" s="25"/>
      <c r="Q177" s="25"/>
      <c r="R177" s="25"/>
      <c r="S177" s="25"/>
      <c r="T177" s="351" t="b" cm="1">
        <f t="array" ref="T177">T176</f>
        <v>1</v>
      </c>
      <c r="U177" s="25"/>
      <c r="V177" s="25"/>
      <c r="W177" s="25"/>
      <c r="X177" s="1046"/>
      <c r="Z177" s="1008"/>
      <c r="AB177" s="7" t="s">
        <v>1950</v>
      </c>
      <c r="AC177" s="541" t="s">
        <v>1746</v>
      </c>
      <c r="AD177" s="9" t="s">
        <v>859</v>
      </c>
      <c r="AE177" s="128">
        <v>37.01</v>
      </c>
      <c r="AF177" s="128">
        <v>362.1</v>
      </c>
      <c r="AG177" s="128">
        <v>362.1</v>
      </c>
      <c r="AH177" s="170">
        <f t="shared" si="48"/>
        <v>0</v>
      </c>
      <c r="AI177" s="128">
        <v>836.15</v>
      </c>
      <c r="AJ177" s="128"/>
      <c r="AK177" s="540"/>
      <c r="AL177" s="540"/>
      <c r="AM177" s="540"/>
      <c r="AN177" s="540"/>
      <c r="AO177" s="540"/>
      <c r="AP177" s="540"/>
      <c r="AQ177" s="540"/>
      <c r="AR177" s="540"/>
      <c r="AS177" s="540"/>
      <c r="AT177" s="128"/>
      <c r="AU177" s="540"/>
      <c r="AV177" s="540"/>
      <c r="AW177" s="540"/>
      <c r="AX177" s="540"/>
      <c r="AY177" s="540"/>
      <c r="AZ177" s="540"/>
      <c r="BA177" s="540"/>
      <c r="BB177" s="540"/>
      <c r="BC177" s="540"/>
      <c r="BD177" s="170">
        <f t="shared" si="51"/>
        <v>-100</v>
      </c>
      <c r="BE177" s="540"/>
      <c r="BF177" s="540"/>
      <c r="BG177" s="540"/>
      <c r="BH177" s="540"/>
      <c r="BI177" s="540"/>
      <c r="BJ177" s="540"/>
      <c r="BK177" s="540"/>
      <c r="BL177" s="540"/>
      <c r="BM177" s="540"/>
      <c r="BN177" s="195"/>
      <c r="BO177" s="195" t="s">
        <v>2225</v>
      </c>
      <c r="BP177" s="195" t="s">
        <v>2227</v>
      </c>
      <c r="BS177" s="692" t="s">
        <v>1747</v>
      </c>
    </row>
    <row r="178" spans="1:75" ht="61.7" customHeight="1">
      <c r="C178" s="25"/>
      <c r="D178" s="25"/>
      <c r="E178" s="449">
        <v>22.5</v>
      </c>
      <c r="F178" s="3" t="str" cm="1">
        <f t="array" aca="1" ref="F178" ca="1">OFFSET(E178,-1,1)</f>
        <v>1</v>
      </c>
      <c r="G178" s="25"/>
      <c r="H178" s="575"/>
      <c r="I178" s="575" t="s">
        <v>1381</v>
      </c>
      <c r="J178" s="25"/>
      <c r="K178" s="276" t="s">
        <v>1381</v>
      </c>
      <c r="L178" s="25" t="s">
        <v>514</v>
      </c>
      <c r="M178" s="25"/>
      <c r="N178" s="25"/>
      <c r="O178" s="25"/>
      <c r="P178" s="25"/>
      <c r="Q178" s="25"/>
      <c r="R178" s="25"/>
      <c r="S178" s="25"/>
      <c r="T178" s="351" t="b" cm="1">
        <f t="array" ref="T178">T177</f>
        <v>1</v>
      </c>
      <c r="U178" s="25"/>
      <c r="V178" s="25"/>
      <c r="W178" s="25"/>
      <c r="X178" s="1046"/>
      <c r="Z178" s="1008"/>
      <c r="AB178" s="7" t="s">
        <v>1382</v>
      </c>
      <c r="AC178" s="134" t="s">
        <v>1951</v>
      </c>
      <c r="AD178" s="9" t="s">
        <v>859</v>
      </c>
      <c r="AE178" s="128"/>
      <c r="AF178" s="128"/>
      <c r="AG178" s="128"/>
      <c r="AH178" s="170">
        <f t="shared" si="48"/>
        <v>0</v>
      </c>
      <c r="AI178" s="128"/>
      <c r="AJ178" s="128"/>
      <c r="AK178" s="540"/>
      <c r="AL178" s="540"/>
      <c r="AM178" s="540"/>
      <c r="AN178" s="540"/>
      <c r="AO178" s="540"/>
      <c r="AP178" s="540"/>
      <c r="AQ178" s="540"/>
      <c r="AR178" s="540"/>
      <c r="AS178" s="540"/>
      <c r="AT178" s="128"/>
      <c r="AU178" s="540"/>
      <c r="AV178" s="540"/>
      <c r="AW178" s="540"/>
      <c r="AX178" s="540"/>
      <c r="AY178" s="540"/>
      <c r="AZ178" s="540"/>
      <c r="BA178" s="540"/>
      <c r="BB178" s="540"/>
      <c r="BC178" s="540"/>
      <c r="BD178" s="170">
        <f t="shared" si="51"/>
        <v>0</v>
      </c>
      <c r="BE178" s="540"/>
      <c r="BF178" s="540"/>
      <c r="BG178" s="540"/>
      <c r="BH178" s="540"/>
      <c r="BI178" s="540"/>
      <c r="BJ178" s="540"/>
      <c r="BK178" s="540"/>
      <c r="BL178" s="540"/>
      <c r="BM178" s="540"/>
      <c r="BN178" s="195"/>
      <c r="BO178" s="195"/>
      <c r="BP178" s="195"/>
      <c r="BS178" s="693" t="s">
        <v>1772</v>
      </c>
    </row>
    <row r="179" spans="1:75" ht="80.25" customHeight="1">
      <c r="C179" s="25"/>
      <c r="D179" s="25"/>
      <c r="E179" s="449">
        <v>22.5</v>
      </c>
      <c r="F179" s="3" t="str" cm="1">
        <f t="array" aca="1" ref="F179" ca="1">OFFSET(E179,-1,1)</f>
        <v>1</v>
      </c>
      <c r="G179" s="25"/>
      <c r="H179" s="575"/>
      <c r="I179" s="575" t="s">
        <v>1385</v>
      </c>
      <c r="J179" s="25"/>
      <c r="K179" s="276" t="s">
        <v>1385</v>
      </c>
      <c r="L179" s="25" t="s">
        <v>518</v>
      </c>
      <c r="M179" s="25"/>
      <c r="N179" s="25"/>
      <c r="O179" s="25"/>
      <c r="P179" s="25"/>
      <c r="Q179" s="25"/>
      <c r="R179" s="25"/>
      <c r="S179" s="25"/>
      <c r="T179" s="351" t="b" cm="1">
        <f t="array" ref="T179">T178</f>
        <v>1</v>
      </c>
      <c r="U179" s="25"/>
      <c r="V179" s="25"/>
      <c r="W179" s="25"/>
      <c r="X179" s="1046"/>
      <c r="Z179" s="1008"/>
      <c r="AB179" s="7" t="s">
        <v>1386</v>
      </c>
      <c r="AC179" s="134" t="s">
        <v>1952</v>
      </c>
      <c r="AD179" s="9" t="s">
        <v>859</v>
      </c>
      <c r="AE179" s="170">
        <f ca="1">AE180+AE181</f>
        <v>3206.85</v>
      </c>
      <c r="AF179" s="170">
        <f ca="1">AF180+AF181</f>
        <v>4720.47</v>
      </c>
      <c r="AG179" s="170">
        <f ca="1">AG180+AG181</f>
        <v>4727.5229400000007</v>
      </c>
      <c r="AH179" s="170">
        <f t="shared" ca="1" si="48"/>
        <v>7.0529400000004898</v>
      </c>
      <c r="AI179" s="170">
        <f ca="1">AI180+AI181</f>
        <v>86291.634356928</v>
      </c>
      <c r="AJ179" s="170">
        <f ca="1">AJ180+AJ181</f>
        <v>84744.866606400014</v>
      </c>
      <c r="AK179" s="540"/>
      <c r="AL179" s="540"/>
      <c r="AM179" s="540"/>
      <c r="AN179" s="540"/>
      <c r="AO179" s="540"/>
      <c r="AP179" s="540"/>
      <c r="AQ179" s="540"/>
      <c r="AR179" s="540"/>
      <c r="AS179" s="540"/>
      <c r="AT179" s="170">
        <f ca="1">AT180+AT181</f>
        <v>84744.866606400014</v>
      </c>
      <c r="AU179" s="540"/>
      <c r="AV179" s="540"/>
      <c r="AW179" s="540"/>
      <c r="AX179" s="540"/>
      <c r="AY179" s="540"/>
      <c r="AZ179" s="540"/>
      <c r="BA179" s="540"/>
      <c r="BB179" s="540"/>
      <c r="BC179" s="540"/>
      <c r="BD179" s="170">
        <f t="shared" ca="1" si="51"/>
        <v>-1.7924886485868288</v>
      </c>
      <c r="BE179" s="540"/>
      <c r="BF179" s="540"/>
      <c r="BG179" s="540"/>
      <c r="BH179" s="540"/>
      <c r="BI179" s="540"/>
      <c r="BJ179" s="540"/>
      <c r="BK179" s="540"/>
      <c r="BL179" s="540"/>
      <c r="BM179" s="540"/>
      <c r="BN179" s="195"/>
      <c r="BO179" s="195" t="s">
        <v>2228</v>
      </c>
      <c r="BP179" s="195" t="s">
        <v>2229</v>
      </c>
      <c r="BS179" s="693" t="s">
        <v>1953</v>
      </c>
    </row>
    <row r="180" spans="1:75" ht="134.25" customHeight="1">
      <c r="C180" s="25"/>
      <c r="D180" s="25"/>
      <c r="E180" s="449">
        <v>15</v>
      </c>
      <c r="F180" s="3" t="str" cm="1">
        <f t="array" aca="1" ref="F180" ca="1">OFFSET(E180,-1,1)</f>
        <v>1</v>
      </c>
      <c r="G180" s="266" t="s">
        <v>1135</v>
      </c>
      <c r="H180" s="575"/>
      <c r="I180" s="575" t="s">
        <v>1529</v>
      </c>
      <c r="J180" s="25"/>
      <c r="K180" s="276" t="s">
        <v>1529</v>
      </c>
      <c r="L180" s="25" t="s">
        <v>1405</v>
      </c>
      <c r="M180" s="25"/>
      <c r="N180" s="25"/>
      <c r="O180" s="25"/>
      <c r="P180" s="25"/>
      <c r="Q180" s="25"/>
      <c r="R180" s="25"/>
      <c r="S180" s="25"/>
      <c r="T180" s="351" t="b" cm="1">
        <f t="array" ref="T180">T179</f>
        <v>1</v>
      </c>
      <c r="U180" s="25"/>
      <c r="V180" s="25"/>
      <c r="W180" s="25"/>
      <c r="X180" s="1046"/>
      <c r="Z180" s="1008"/>
      <c r="AB180" s="7" t="s">
        <v>1954</v>
      </c>
      <c r="AC180" s="541" t="s">
        <v>1775</v>
      </c>
      <c r="AD180" s="9" t="s">
        <v>859</v>
      </c>
      <c r="AE180" s="170">
        <f ca="1">SUMIFS(ФОТ!AE$25:AE$89,ФОТ!$F$25:$F$89,$F180,ФОТ!$G$25:$G$89,$G180)</f>
        <v>2463.02</v>
      </c>
      <c r="AF180" s="170">
        <f ca="1">SUMIFS(ФОТ!AF$25:AF$89,ФОТ!$F$25:$F$89,$F180,ФОТ!$G$25:$G$89,$G180)</f>
        <v>3630.9700000000003</v>
      </c>
      <c r="AG180" s="170">
        <f ca="1">SUMIFS(ФОТ!AG$25:AG$89,ФОТ!$F$25:$F$89,$F180,ФОТ!$G$25:$G$89,$G180)</f>
        <v>3630.9700000000003</v>
      </c>
      <c r="AH180" s="170">
        <f t="shared" ca="1" si="48"/>
        <v>0</v>
      </c>
      <c r="AI180" s="170">
        <f ca="1">SUMIFS(ФОТ!AH$25:AH$89,ФОТ!$F$25:$F$89,$F180,ФОТ!$G$25:$G$89,$G180)</f>
        <v>66276.216864000002</v>
      </c>
      <c r="AJ180" s="170">
        <f ca="1">SUMIFS(ФОТ!AI$25:AI$89,ФОТ!$F$25:$F$89,$F180,ФОТ!$G$25:$G$89,$G180)</f>
        <v>65088.223200000008</v>
      </c>
      <c r="AK180" s="540"/>
      <c r="AL180" s="540"/>
      <c r="AM180" s="540"/>
      <c r="AN180" s="540"/>
      <c r="AO180" s="540"/>
      <c r="AP180" s="540"/>
      <c r="AQ180" s="540"/>
      <c r="AR180" s="540"/>
      <c r="AS180" s="540"/>
      <c r="AT180" s="170">
        <f ca="1">SUMIFS(ФОТ!AJ$25:AJ$89,ФОТ!$F$25:$F$89,$F180,ФОТ!$G$25:$G$89,$G180)</f>
        <v>65088.223200000008</v>
      </c>
      <c r="AU180" s="540"/>
      <c r="AV180" s="540"/>
      <c r="AW180" s="540"/>
      <c r="AX180" s="540"/>
      <c r="AY180" s="540"/>
      <c r="AZ180" s="540"/>
      <c r="BA180" s="540"/>
      <c r="BB180" s="540"/>
      <c r="BC180" s="540"/>
      <c r="BD180" s="170">
        <f t="shared" ca="1" si="51"/>
        <v>-1.7924886485868357</v>
      </c>
      <c r="BE180" s="540"/>
      <c r="BF180" s="540"/>
      <c r="BG180" s="540"/>
      <c r="BH180" s="540"/>
      <c r="BI180" s="540"/>
      <c r="BJ180" s="540"/>
      <c r="BK180" s="540"/>
      <c r="BL180" s="540"/>
      <c r="BM180" s="540"/>
      <c r="BN180" s="195"/>
      <c r="BO180" s="599" t="s">
        <v>1177</v>
      </c>
      <c r="BP180" s="195" t="s">
        <v>2229</v>
      </c>
      <c r="BS180" s="692" t="s">
        <v>1776</v>
      </c>
    </row>
    <row r="181" spans="1:75" ht="157.5" customHeight="1">
      <c r="C181" s="25"/>
      <c r="D181" s="25"/>
      <c r="E181" s="449">
        <v>22.5</v>
      </c>
      <c r="F181" s="3" t="str" cm="1">
        <f t="array" aca="1" ref="F181" ca="1">OFFSET(E181,-1,1)</f>
        <v>1</v>
      </c>
      <c r="G181" s="266" t="s">
        <v>1147</v>
      </c>
      <c r="H181" s="575"/>
      <c r="I181" s="575" t="s">
        <v>1533</v>
      </c>
      <c r="J181" s="25"/>
      <c r="K181" s="276" t="s">
        <v>1533</v>
      </c>
      <c r="L181" s="25" t="s">
        <v>1406</v>
      </c>
      <c r="M181" s="25"/>
      <c r="N181" s="25"/>
      <c r="O181" s="25"/>
      <c r="P181" s="25"/>
      <c r="Q181" s="25"/>
      <c r="R181" s="25"/>
      <c r="S181" s="25"/>
      <c r="T181" s="351" t="b" cm="1">
        <f t="array" ref="T181">T180</f>
        <v>1</v>
      </c>
      <c r="U181" s="25"/>
      <c r="V181" s="25"/>
      <c r="W181" s="25"/>
      <c r="X181" s="1046"/>
      <c r="Z181" s="1008"/>
      <c r="AB181" s="7" t="s">
        <v>1955</v>
      </c>
      <c r="AC181" s="541" t="s">
        <v>1956</v>
      </c>
      <c r="AD181" s="9" t="s">
        <v>859</v>
      </c>
      <c r="AE181" s="170">
        <f ca="1">SUMIFS(ФОТ!AE$25:AE$89,ФОТ!$F$25:$F$89,$F181,ФОТ!$G$25:$G$89,$G181)</f>
        <v>743.83</v>
      </c>
      <c r="AF181" s="170">
        <f ca="1">SUMIFS(ФОТ!AF$25:AF$89,ФОТ!$F$25:$F$89,$F181,ФОТ!$G$25:$G$89,$G181)</f>
        <v>1089.5</v>
      </c>
      <c r="AG181" s="170">
        <f ca="1">SUMIFS(ФОТ!AG$25:AG$89,ФОТ!$F$25:$F$89,$F181,ФОТ!$G$25:$G$89,$G181)</f>
        <v>1096.55294</v>
      </c>
      <c r="AH181" s="170">
        <f t="shared" ca="1" si="48"/>
        <v>7.0529400000000351</v>
      </c>
      <c r="AI181" s="170">
        <f ca="1">SUMIFS(ФОТ!AH$25:AH$89,ФОТ!$F$25:$F$89,$F181,ФОТ!$G$25:$G$89,$G181)</f>
        <v>20015.417492928002</v>
      </c>
      <c r="AJ181" s="170">
        <f ca="1">SUMIFS(ФОТ!AI$25:AI$89,ФОТ!$F$25:$F$89,$F181,ФОТ!$G$25:$G$89,$G181)</f>
        <v>19656.643406400002</v>
      </c>
      <c r="AK181" s="540"/>
      <c r="AL181" s="540"/>
      <c r="AM181" s="540"/>
      <c r="AN181" s="540"/>
      <c r="AO181" s="540"/>
      <c r="AP181" s="540"/>
      <c r="AQ181" s="540"/>
      <c r="AR181" s="540"/>
      <c r="AS181" s="540"/>
      <c r="AT181" s="170">
        <f ca="1">SUMIFS(ФОТ!AJ$25:AJ$89,ФОТ!$F$25:$F$89,$F181,ФОТ!$G$25:$G$89,$G181)</f>
        <v>19656.643406400002</v>
      </c>
      <c r="AU181" s="540"/>
      <c r="AV181" s="540"/>
      <c r="AW181" s="540"/>
      <c r="AX181" s="540"/>
      <c r="AY181" s="540"/>
      <c r="AZ181" s="540"/>
      <c r="BA181" s="540"/>
      <c r="BB181" s="540"/>
      <c r="BC181" s="540"/>
      <c r="BD181" s="170">
        <f t="shared" ca="1" si="51"/>
        <v>-1.792488648586841</v>
      </c>
      <c r="BE181" s="540"/>
      <c r="BF181" s="540"/>
      <c r="BG181" s="540"/>
      <c r="BH181" s="540"/>
      <c r="BI181" s="540"/>
      <c r="BJ181" s="540"/>
      <c r="BK181" s="540"/>
      <c r="BL181" s="540"/>
      <c r="BM181" s="540"/>
      <c r="BN181" s="195"/>
      <c r="BO181" s="599" t="s">
        <v>1179</v>
      </c>
      <c r="BP181" s="195" t="s">
        <v>2229</v>
      </c>
      <c r="BS181" s="692" t="s">
        <v>1778</v>
      </c>
    </row>
    <row r="182" spans="1:75" ht="161.25" customHeight="1">
      <c r="C182" s="25"/>
      <c r="D182" s="25"/>
      <c r="E182" s="449">
        <v>15</v>
      </c>
      <c r="F182" s="3" t="str" cm="1">
        <f t="array" aca="1" ref="F182" ca="1">OFFSET(E182,-1,1)</f>
        <v>1</v>
      </c>
      <c r="G182" s="25"/>
      <c r="H182" s="575"/>
      <c r="I182" s="575" t="s">
        <v>1544</v>
      </c>
      <c r="J182" s="25"/>
      <c r="K182" s="276" t="s">
        <v>1544</v>
      </c>
      <c r="L182" s="25" t="s">
        <v>1780</v>
      </c>
      <c r="M182" s="25"/>
      <c r="N182" s="25"/>
      <c r="O182" s="25"/>
      <c r="P182" s="25"/>
      <c r="Q182" s="25"/>
      <c r="R182" s="25"/>
      <c r="S182" s="25"/>
      <c r="T182" s="351" t="b" cm="1">
        <f t="array" ref="T182">T181</f>
        <v>1</v>
      </c>
      <c r="U182" s="25"/>
      <c r="V182" s="25"/>
      <c r="W182" s="25"/>
      <c r="X182" s="1046"/>
      <c r="Z182" s="1008"/>
      <c r="AB182" s="7" t="s">
        <v>1754</v>
      </c>
      <c r="AC182" s="134" t="s">
        <v>1957</v>
      </c>
      <c r="AD182" s="9" t="s">
        <v>859</v>
      </c>
      <c r="AE182" s="128">
        <v>296.69</v>
      </c>
      <c r="AF182" s="128">
        <v>708.14</v>
      </c>
      <c r="AG182" s="128">
        <v>708.14</v>
      </c>
      <c r="AH182" s="170">
        <f t="shared" si="48"/>
        <v>0</v>
      </c>
      <c r="AI182" s="128">
        <v>4603.8599999999997</v>
      </c>
      <c r="AJ182" s="128">
        <v>4424.3999999999996</v>
      </c>
      <c r="AK182" s="540"/>
      <c r="AL182" s="540"/>
      <c r="AM182" s="540"/>
      <c r="AN182" s="540"/>
      <c r="AO182" s="540"/>
      <c r="AP182" s="540"/>
      <c r="AQ182" s="540"/>
      <c r="AR182" s="540"/>
      <c r="AS182" s="540"/>
      <c r="AT182" s="128">
        <v>5156.74</v>
      </c>
      <c r="AU182" s="540"/>
      <c r="AV182" s="540"/>
      <c r="AW182" s="540"/>
      <c r="AX182" s="540"/>
      <c r="AY182" s="540"/>
      <c r="AZ182" s="540"/>
      <c r="BA182" s="540"/>
      <c r="BB182" s="540"/>
      <c r="BC182" s="540"/>
      <c r="BD182" s="170">
        <f t="shared" si="51"/>
        <v>12.009053272688574</v>
      </c>
      <c r="BE182" s="540"/>
      <c r="BF182" s="540"/>
      <c r="BG182" s="540"/>
      <c r="BH182" s="540"/>
      <c r="BI182" s="540"/>
      <c r="BJ182" s="540"/>
      <c r="BK182" s="540"/>
      <c r="BL182" s="540"/>
      <c r="BM182" s="540"/>
      <c r="BN182" s="195"/>
      <c r="BO182" s="195" t="s">
        <v>2230</v>
      </c>
      <c r="BP182" s="195" t="s">
        <v>2231</v>
      </c>
      <c r="BS182" s="693" t="s">
        <v>1783</v>
      </c>
    </row>
    <row r="183" spans="1:75" ht="30.95" customHeight="1">
      <c r="C183" s="25"/>
      <c r="D183" s="25"/>
      <c r="E183" s="449">
        <v>15</v>
      </c>
      <c r="F183" s="3" t="str" cm="1">
        <f t="array" aca="1" ref="F183" ca="1">OFFSET(E183,-1,1)</f>
        <v>1</v>
      </c>
      <c r="G183" s="25"/>
      <c r="H183" s="575"/>
      <c r="I183" s="575" t="s">
        <v>1548</v>
      </c>
      <c r="J183" s="25"/>
      <c r="K183" s="276" t="s">
        <v>1548</v>
      </c>
      <c r="L183" s="25" t="s">
        <v>1784</v>
      </c>
      <c r="N183" s="25"/>
      <c r="O183" s="25"/>
      <c r="P183" s="25"/>
      <c r="Q183" s="25"/>
      <c r="R183" s="25"/>
      <c r="S183" s="25"/>
      <c r="T183" s="351" t="b" cm="1">
        <f t="array" ref="T183">T182</f>
        <v>1</v>
      </c>
      <c r="U183" s="25"/>
      <c r="V183" s="25"/>
      <c r="W183" s="25"/>
      <c r="X183" s="1046"/>
      <c r="Z183" s="1008"/>
      <c r="AB183" s="7" t="s">
        <v>1756</v>
      </c>
      <c r="AC183" s="134" t="s">
        <v>1958</v>
      </c>
      <c r="AD183" s="7" t="s">
        <v>859</v>
      </c>
      <c r="AE183" s="170">
        <f>SUM(AE184:AE190)</f>
        <v>352.85999999999996</v>
      </c>
      <c r="AF183" s="170">
        <f>SUM(AF184:AF190)</f>
        <v>1726.55</v>
      </c>
      <c r="AG183" s="170">
        <f>SUM(AG184:AG190)</f>
        <v>1726.55</v>
      </c>
      <c r="AH183" s="170">
        <f t="shared" si="48"/>
        <v>0</v>
      </c>
      <c r="AI183" s="170">
        <f>SUM(AI184:AI190)</f>
        <v>11554.12</v>
      </c>
      <c r="AJ183" s="170">
        <f>SUM(AJ184:AJ190)</f>
        <v>28913.229999999996</v>
      </c>
      <c r="AK183" s="540"/>
      <c r="AL183" s="540"/>
      <c r="AM183" s="540"/>
      <c r="AN183" s="540"/>
      <c r="AO183" s="540"/>
      <c r="AP183" s="540"/>
      <c r="AQ183" s="540"/>
      <c r="AR183" s="540"/>
      <c r="AS183" s="540"/>
      <c r="AT183" s="170">
        <f>SUM(AT184:AT190)</f>
        <v>24186.360654666667</v>
      </c>
      <c r="AU183" s="540"/>
      <c r="AV183" s="540"/>
      <c r="AW183" s="540"/>
      <c r="AX183" s="540"/>
      <c r="AY183" s="540"/>
      <c r="AZ183" s="540"/>
      <c r="BA183" s="540"/>
      <c r="BB183" s="540"/>
      <c r="BC183" s="540"/>
      <c r="BD183" s="170">
        <f t="shared" si="51"/>
        <v>109.33104948422438</v>
      </c>
      <c r="BE183" s="540"/>
      <c r="BF183" s="540"/>
      <c r="BG183" s="540"/>
      <c r="BH183" s="540"/>
      <c r="BI183" s="540"/>
      <c r="BJ183" s="540"/>
      <c r="BK183" s="540"/>
      <c r="BL183" s="540"/>
      <c r="BM183" s="540"/>
      <c r="BN183" s="195"/>
      <c r="BO183" s="195"/>
      <c r="BP183" s="195"/>
      <c r="BS183" s="693" t="s">
        <v>1959</v>
      </c>
    </row>
    <row r="184" spans="1:75" ht="172.7" customHeight="1">
      <c r="C184" s="25"/>
      <c r="D184" s="25"/>
      <c r="E184" s="449">
        <v>15</v>
      </c>
      <c r="F184" s="3" t="str" cm="1">
        <f t="array" aca="1" ref="F184" ca="1">OFFSET(E184,-1,1)</f>
        <v>1</v>
      </c>
      <c r="G184" s="25"/>
      <c r="H184" s="575"/>
      <c r="I184" s="575" t="s">
        <v>1960</v>
      </c>
      <c r="J184" s="25"/>
      <c r="K184" s="276" t="s">
        <v>1960</v>
      </c>
      <c r="L184" s="25" t="s">
        <v>1784</v>
      </c>
      <c r="M184" s="25" t="s">
        <v>1792</v>
      </c>
      <c r="N184" s="25"/>
      <c r="O184" s="25"/>
      <c r="P184" s="25"/>
      <c r="Q184" s="25"/>
      <c r="R184" s="25"/>
      <c r="S184" s="25"/>
      <c r="T184" s="351" t="b" cm="1">
        <f t="array" ref="T184">T183</f>
        <v>1</v>
      </c>
      <c r="U184" s="25"/>
      <c r="V184" s="25"/>
      <c r="W184" s="25"/>
      <c r="X184" s="1046"/>
      <c r="Z184" s="1008"/>
      <c r="AB184" s="7" t="s">
        <v>1961</v>
      </c>
      <c r="AC184" s="541" t="s">
        <v>1962</v>
      </c>
      <c r="AD184" s="7" t="s">
        <v>859</v>
      </c>
      <c r="AE184" s="128">
        <v>184.85</v>
      </c>
      <c r="AF184" s="128">
        <v>1310.4100000000001</v>
      </c>
      <c r="AG184" s="128">
        <v>1310.4100000000001</v>
      </c>
      <c r="AH184" s="170">
        <f t="shared" si="48"/>
        <v>0</v>
      </c>
      <c r="AI184" s="128">
        <v>4819.3999999999996</v>
      </c>
      <c r="AJ184" s="128">
        <f>1656.97</f>
        <v>1656.97</v>
      </c>
      <c r="AK184" s="540"/>
      <c r="AL184" s="540"/>
      <c r="AM184" s="540"/>
      <c r="AN184" s="540"/>
      <c r="AO184" s="540"/>
      <c r="AP184" s="540"/>
      <c r="AQ184" s="540"/>
      <c r="AR184" s="540"/>
      <c r="AS184" s="540"/>
      <c r="AT184" s="128">
        <f>1656.97208-(270.1438*4)+(194.24214*4)</f>
        <v>1353.36544</v>
      </c>
      <c r="AU184" s="540"/>
      <c r="AV184" s="540"/>
      <c r="AW184" s="540"/>
      <c r="AX184" s="540"/>
      <c r="AY184" s="540"/>
      <c r="AZ184" s="540"/>
      <c r="BA184" s="540"/>
      <c r="BB184" s="540"/>
      <c r="BC184" s="540"/>
      <c r="BD184" s="170">
        <f t="shared" si="51"/>
        <v>-71.918383201228366</v>
      </c>
      <c r="BE184" s="540"/>
      <c r="BF184" s="540"/>
      <c r="BG184" s="540"/>
      <c r="BH184" s="540"/>
      <c r="BI184" s="540"/>
      <c r="BJ184" s="540"/>
      <c r="BK184" s="540"/>
      <c r="BL184" s="540"/>
      <c r="BM184" s="540"/>
      <c r="BN184" s="195"/>
      <c r="BO184" s="195" t="s">
        <v>2232</v>
      </c>
      <c r="BP184" s="195" t="s">
        <v>2233</v>
      </c>
      <c r="BS184" s="692" t="s">
        <v>1795</v>
      </c>
    </row>
    <row r="185" spans="1:75" ht="41.45" customHeight="1">
      <c r="C185" s="25"/>
      <c r="D185" s="25"/>
      <c r="E185" s="449">
        <v>22.5</v>
      </c>
      <c r="F185" s="3" t="str" cm="1">
        <f t="array" aca="1" ref="F185" ca="1">OFFSET(E185,-1,1)</f>
        <v>1</v>
      </c>
      <c r="G185" s="25"/>
      <c r="H185" s="575"/>
      <c r="I185" s="575" t="s">
        <v>1963</v>
      </c>
      <c r="J185" s="25"/>
      <c r="K185" s="276" t="s">
        <v>1963</v>
      </c>
      <c r="L185" s="25" t="s">
        <v>1784</v>
      </c>
      <c r="M185" s="25" t="s">
        <v>1788</v>
      </c>
      <c r="N185" s="25"/>
      <c r="O185" s="25"/>
      <c r="P185" s="25"/>
      <c r="Q185" s="25"/>
      <c r="R185" s="25"/>
      <c r="S185" s="25"/>
      <c r="T185" s="351" t="b" cm="1">
        <f t="array" ref="T185">T184</f>
        <v>1</v>
      </c>
      <c r="U185" s="25"/>
      <c r="V185" s="25"/>
      <c r="W185" s="25"/>
      <c r="X185" s="1046"/>
      <c r="Z185" s="1008"/>
      <c r="AB185" s="7" t="s">
        <v>1964</v>
      </c>
      <c r="AC185" s="541" t="s">
        <v>1965</v>
      </c>
      <c r="AD185" s="7" t="s">
        <v>859</v>
      </c>
      <c r="AE185" s="128"/>
      <c r="AF185" s="128"/>
      <c r="AG185" s="128"/>
      <c r="AH185" s="170">
        <f t="shared" si="48"/>
        <v>0</v>
      </c>
      <c r="AI185" s="128"/>
      <c r="AJ185" s="128"/>
      <c r="AK185" s="540"/>
      <c r="AL185" s="540"/>
      <c r="AM185" s="540"/>
      <c r="AN185" s="540"/>
      <c r="AO185" s="540"/>
      <c r="AP185" s="540"/>
      <c r="AQ185" s="540"/>
      <c r="AR185" s="540"/>
      <c r="AS185" s="540"/>
      <c r="AT185" s="128"/>
      <c r="AU185" s="540"/>
      <c r="AV185" s="540"/>
      <c r="AW185" s="540"/>
      <c r="AX185" s="540"/>
      <c r="AY185" s="540"/>
      <c r="AZ185" s="540"/>
      <c r="BA185" s="540"/>
      <c r="BB185" s="540"/>
      <c r="BC185" s="540"/>
      <c r="BD185" s="170">
        <f t="shared" si="51"/>
        <v>0</v>
      </c>
      <c r="BE185" s="540"/>
      <c r="BF185" s="540"/>
      <c r="BG185" s="540"/>
      <c r="BH185" s="540"/>
      <c r="BI185" s="540"/>
      <c r="BJ185" s="540"/>
      <c r="BK185" s="540"/>
      <c r="BL185" s="540"/>
      <c r="BM185" s="540"/>
      <c r="BN185" s="195"/>
      <c r="BO185" s="195"/>
      <c r="BP185" s="195"/>
      <c r="BS185" s="694" t="s">
        <v>1966</v>
      </c>
    </row>
    <row r="186" spans="1:75" ht="98.25" customHeight="1">
      <c r="C186" s="25"/>
      <c r="D186" s="25"/>
      <c r="E186" s="449">
        <v>22.5</v>
      </c>
      <c r="F186" s="3" t="str" cm="1">
        <f t="array" aca="1" ref="F186" ca="1">OFFSET(E186,-1,1)</f>
        <v>1</v>
      </c>
      <c r="G186" s="25"/>
      <c r="H186" s="575"/>
      <c r="I186" s="575" t="s">
        <v>1967</v>
      </c>
      <c r="J186" s="25"/>
      <c r="K186" s="276" t="s">
        <v>1967</v>
      </c>
      <c r="N186" s="25"/>
      <c r="O186" s="25"/>
      <c r="P186" s="25"/>
      <c r="Q186" s="25"/>
      <c r="R186" s="25"/>
      <c r="S186" s="25"/>
      <c r="T186" s="351" t="b" cm="1">
        <f t="array" ref="T186">T185</f>
        <v>1</v>
      </c>
      <c r="U186" s="25"/>
      <c r="V186" s="25"/>
      <c r="W186" s="25"/>
      <c r="X186" s="1046"/>
      <c r="Z186" s="1008"/>
      <c r="AB186" s="7" t="s">
        <v>1968</v>
      </c>
      <c r="AC186" s="542" t="s">
        <v>1969</v>
      </c>
      <c r="AD186" s="7" t="s">
        <v>859</v>
      </c>
      <c r="AE186" s="128">
        <f>100.16+6.02</f>
        <v>106.17999999999999</v>
      </c>
      <c r="AF186" s="128"/>
      <c r="AG186" s="128"/>
      <c r="AH186" s="170">
        <f t="shared" si="48"/>
        <v>0</v>
      </c>
      <c r="AI186" s="128">
        <f>2302.39+138.4</f>
        <v>2440.79</v>
      </c>
      <c r="AJ186" s="128">
        <v>3706.93</v>
      </c>
      <c r="AK186" s="540"/>
      <c r="AL186" s="540"/>
      <c r="AM186" s="540"/>
      <c r="AN186" s="540"/>
      <c r="AO186" s="540"/>
      <c r="AP186" s="540"/>
      <c r="AQ186" s="540"/>
      <c r="AR186" s="540"/>
      <c r="AS186" s="540"/>
      <c r="AT186" s="128">
        <v>3706.93</v>
      </c>
      <c r="AU186" s="540"/>
      <c r="AV186" s="540"/>
      <c r="AW186" s="540"/>
      <c r="AX186" s="540"/>
      <c r="AY186" s="540"/>
      <c r="AZ186" s="540"/>
      <c r="BA186" s="540"/>
      <c r="BB186" s="540"/>
      <c r="BC186" s="540"/>
      <c r="BD186" s="170">
        <f t="shared" si="51"/>
        <v>51.874188275107649</v>
      </c>
      <c r="BE186" s="540"/>
      <c r="BF186" s="540"/>
      <c r="BG186" s="540"/>
      <c r="BH186" s="540"/>
      <c r="BI186" s="540"/>
      <c r="BJ186" s="540"/>
      <c r="BK186" s="540"/>
      <c r="BL186" s="540"/>
      <c r="BM186" s="540"/>
      <c r="BN186" s="195"/>
      <c r="BO186" s="195" t="s">
        <v>2225</v>
      </c>
      <c r="BP186" s="195" t="s">
        <v>2234</v>
      </c>
      <c r="BS186" s="694" t="s">
        <v>1970</v>
      </c>
    </row>
    <row r="187" spans="1:75" ht="132" customHeight="1">
      <c r="C187" s="25"/>
      <c r="D187" s="25"/>
      <c r="E187" s="449">
        <v>22.5</v>
      </c>
      <c r="F187" s="3" t="str" cm="1">
        <f t="array" aca="1" ref="F187" ca="1">OFFSET(E187,-1,1)</f>
        <v>1</v>
      </c>
      <c r="G187" s="25"/>
      <c r="H187" s="575"/>
      <c r="I187" s="575" t="s">
        <v>1971</v>
      </c>
      <c r="J187" s="25"/>
      <c r="K187" s="276" t="s">
        <v>1971</v>
      </c>
      <c r="L187" s="25"/>
      <c r="N187" s="25"/>
      <c r="O187" s="25"/>
      <c r="P187" s="25"/>
      <c r="Q187" s="25"/>
      <c r="R187" s="25"/>
      <c r="S187" s="25"/>
      <c r="T187" s="351" t="b" cm="1">
        <f t="array" ref="T187">T186</f>
        <v>1</v>
      </c>
      <c r="U187" s="25"/>
      <c r="V187" s="25"/>
      <c r="W187" s="25"/>
      <c r="X187" s="1046"/>
      <c r="Z187" s="1008"/>
      <c r="AB187" s="7" t="s">
        <v>1972</v>
      </c>
      <c r="AC187" s="542" t="s">
        <v>1973</v>
      </c>
      <c r="AD187" s="7" t="s">
        <v>859</v>
      </c>
      <c r="AE187" s="128">
        <v>9.89</v>
      </c>
      <c r="AF187" s="128">
        <v>12.86</v>
      </c>
      <c r="AG187" s="128">
        <v>12.86</v>
      </c>
      <c r="AH187" s="170">
        <f t="shared" si="48"/>
        <v>0</v>
      </c>
      <c r="AI187" s="128">
        <v>272.83999999999997</v>
      </c>
      <c r="AJ187" s="128">
        <f>2485.88+15381.85</f>
        <v>17867.73</v>
      </c>
      <c r="AK187" s="540"/>
      <c r="AL187" s="540"/>
      <c r="AM187" s="540"/>
      <c r="AN187" s="540"/>
      <c r="AO187" s="540"/>
      <c r="AP187" s="540"/>
      <c r="AQ187" s="540"/>
      <c r="AR187" s="540"/>
      <c r="AS187" s="540"/>
      <c r="AT187" s="128">
        <f>(1773.94-29.504+19.38)/3*4*1.051+14635.44</f>
        <v>17107.134154666666</v>
      </c>
      <c r="AU187" s="540"/>
      <c r="AV187" s="540"/>
      <c r="AW187" s="540"/>
      <c r="AX187" s="540"/>
      <c r="AY187" s="540"/>
      <c r="AZ187" s="540"/>
      <c r="BA187" s="540"/>
      <c r="BB187" s="540"/>
      <c r="BC187" s="540"/>
      <c r="BD187" s="170">
        <f t="shared" si="51"/>
        <v>6170.0242466891468</v>
      </c>
      <c r="BE187" s="540"/>
      <c r="BF187" s="540"/>
      <c r="BG187" s="540"/>
      <c r="BH187" s="540"/>
      <c r="BI187" s="540"/>
      <c r="BJ187" s="540"/>
      <c r="BK187" s="540"/>
      <c r="BL187" s="540"/>
      <c r="BM187" s="540"/>
      <c r="BN187" s="195"/>
      <c r="BO187" s="195" t="s">
        <v>2235</v>
      </c>
      <c r="BP187" s="195" t="s">
        <v>2236</v>
      </c>
      <c r="BS187" s="694" t="s">
        <v>1974</v>
      </c>
    </row>
    <row r="188" spans="1:75" ht="198.75" customHeight="1">
      <c r="C188" s="25"/>
      <c r="D188" s="25"/>
      <c r="E188" s="449">
        <v>45</v>
      </c>
      <c r="F188" s="3" t="str" cm="1">
        <f t="array" aca="1" ref="F188" ca="1">OFFSET(E188,-1,1)</f>
        <v>1</v>
      </c>
      <c r="G188" s="25"/>
      <c r="H188" s="575"/>
      <c r="I188" s="575" t="s">
        <v>1975</v>
      </c>
      <c r="J188" s="25"/>
      <c r="K188" s="276" t="s">
        <v>1975</v>
      </c>
      <c r="L188" s="25" t="s">
        <v>1784</v>
      </c>
      <c r="M188" s="25" t="s">
        <v>1796</v>
      </c>
      <c r="N188" s="25"/>
      <c r="O188" s="25"/>
      <c r="P188" s="25"/>
      <c r="Q188" s="25"/>
      <c r="R188" s="25"/>
      <c r="S188" s="25"/>
      <c r="T188" s="351" t="b" cm="1">
        <f t="array" ref="T188">T187</f>
        <v>1</v>
      </c>
      <c r="U188" s="25"/>
      <c r="V188" s="25"/>
      <c r="W188" s="25"/>
      <c r="X188" s="1046"/>
      <c r="Z188" s="1008"/>
      <c r="AB188" s="7" t="s">
        <v>1976</v>
      </c>
      <c r="AC188" s="541" t="s">
        <v>1977</v>
      </c>
      <c r="AD188" s="7" t="s">
        <v>859</v>
      </c>
      <c r="AE188" s="128">
        <v>14.05</v>
      </c>
      <c r="AF188" s="128">
        <v>0</v>
      </c>
      <c r="AG188" s="128">
        <v>0</v>
      </c>
      <c r="AH188" s="170">
        <f t="shared" si="48"/>
        <v>0</v>
      </c>
      <c r="AI188" s="128">
        <f>322.99+325.07</f>
        <v>648.05999999999995</v>
      </c>
      <c r="AJ188" s="128">
        <v>4343.78</v>
      </c>
      <c r="AK188" s="540"/>
      <c r="AL188" s="540"/>
      <c r="AM188" s="540"/>
      <c r="AN188" s="540"/>
      <c r="AO188" s="540"/>
      <c r="AP188" s="540"/>
      <c r="AQ188" s="540"/>
      <c r="AR188" s="540"/>
      <c r="AS188" s="540"/>
      <c r="AT188" s="128">
        <f>(322.99+325.07)*1.051</f>
        <v>681.11105999999995</v>
      </c>
      <c r="AU188" s="540"/>
      <c r="AV188" s="540"/>
      <c r="AW188" s="540"/>
      <c r="AX188" s="540"/>
      <c r="AY188" s="540"/>
      <c r="AZ188" s="540"/>
      <c r="BA188" s="540"/>
      <c r="BB188" s="540"/>
      <c r="BC188" s="540"/>
      <c r="BD188" s="170">
        <f t="shared" si="51"/>
        <v>5.1000000000000014</v>
      </c>
      <c r="BE188" s="540"/>
      <c r="BF188" s="540"/>
      <c r="BG188" s="540"/>
      <c r="BH188" s="540"/>
      <c r="BI188" s="540"/>
      <c r="BJ188" s="540"/>
      <c r="BK188" s="540"/>
      <c r="BL188" s="540"/>
      <c r="BM188" s="540"/>
      <c r="BN188" s="195"/>
      <c r="BO188" s="195" t="s">
        <v>2237</v>
      </c>
      <c r="BP188" s="195" t="s">
        <v>2238</v>
      </c>
      <c r="BS188" s="694" t="s">
        <v>1799</v>
      </c>
    </row>
    <row r="189" spans="1:75" ht="29.45" customHeight="1">
      <c r="C189" s="25"/>
      <c r="D189" s="25"/>
      <c r="E189" s="449">
        <v>15</v>
      </c>
      <c r="F189" s="3" t="str" cm="1">
        <f t="array" aca="1" ref="F189" ca="1">OFFSET(E189,-1,1)</f>
        <v>1</v>
      </c>
      <c r="G189" s="25"/>
      <c r="H189" s="575"/>
      <c r="I189" s="575" t="s">
        <v>1978</v>
      </c>
      <c r="J189" s="25"/>
      <c r="K189" s="276" t="s">
        <v>1978</v>
      </c>
      <c r="L189" s="25" t="s">
        <v>1784</v>
      </c>
      <c r="M189" s="25" t="s">
        <v>1800</v>
      </c>
      <c r="N189" s="25"/>
      <c r="O189" s="25"/>
      <c r="P189" s="25"/>
      <c r="Q189" s="25"/>
      <c r="R189" s="25"/>
      <c r="S189" s="25"/>
      <c r="T189" s="351" t="b" cm="1">
        <f t="array" ref="T189">T188</f>
        <v>1</v>
      </c>
      <c r="U189" s="25"/>
      <c r="V189" s="25"/>
      <c r="W189" s="25"/>
      <c r="X189" s="1046"/>
      <c r="Z189" s="1008"/>
      <c r="AB189" s="7" t="s">
        <v>1979</v>
      </c>
      <c r="AC189" s="541" t="s">
        <v>1802</v>
      </c>
      <c r="AD189" s="7" t="s">
        <v>859</v>
      </c>
      <c r="AE189" s="128"/>
      <c r="AF189" s="128"/>
      <c r="AG189" s="128"/>
      <c r="AH189" s="170">
        <f t="shared" si="48"/>
        <v>0</v>
      </c>
      <c r="AI189" s="128"/>
      <c r="AJ189" s="128"/>
      <c r="AK189" s="540"/>
      <c r="AL189" s="540"/>
      <c r="AM189" s="540"/>
      <c r="AN189" s="540"/>
      <c r="AO189" s="540"/>
      <c r="AP189" s="540"/>
      <c r="AQ189" s="540"/>
      <c r="AR189" s="540"/>
      <c r="AS189" s="540"/>
      <c r="AT189" s="128"/>
      <c r="AU189" s="540"/>
      <c r="AV189" s="540"/>
      <c r="AW189" s="540"/>
      <c r="AX189" s="540"/>
      <c r="AY189" s="540"/>
      <c r="AZ189" s="540"/>
      <c r="BA189" s="540"/>
      <c r="BB189" s="540"/>
      <c r="BC189" s="540"/>
      <c r="BD189" s="170">
        <f t="shared" si="51"/>
        <v>0</v>
      </c>
      <c r="BE189" s="540"/>
      <c r="BF189" s="540"/>
      <c r="BG189" s="540"/>
      <c r="BH189" s="540"/>
      <c r="BI189" s="540"/>
      <c r="BJ189" s="540"/>
      <c r="BK189" s="540"/>
      <c r="BL189" s="540"/>
      <c r="BM189" s="540"/>
      <c r="BN189" s="195"/>
      <c r="BO189" s="195"/>
      <c r="BP189" s="195"/>
      <c r="BS189" s="694" t="s">
        <v>1803</v>
      </c>
    </row>
    <row r="190" spans="1:75" ht="194.25" customHeight="1">
      <c r="C190" s="25"/>
      <c r="D190" s="25"/>
      <c r="E190" s="449">
        <v>15</v>
      </c>
      <c r="F190" s="3" t="str" cm="1">
        <f t="array" aca="1" ref="F190" ca="1">OFFSET(E190,-1,1)</f>
        <v>1</v>
      </c>
      <c r="G190" s="25"/>
      <c r="H190" s="575"/>
      <c r="I190" s="575" t="s">
        <v>1980</v>
      </c>
      <c r="J190" s="25"/>
      <c r="K190" s="276" t="s">
        <v>1980</v>
      </c>
      <c r="L190" s="25"/>
      <c r="M190" s="25"/>
      <c r="N190" s="25"/>
      <c r="O190" s="25"/>
      <c r="P190" s="25"/>
      <c r="Q190" s="25"/>
      <c r="R190" s="25"/>
      <c r="S190" s="25"/>
      <c r="T190" s="351" t="b" cm="1">
        <f t="array" ref="T190">T189</f>
        <v>1</v>
      </c>
      <c r="U190" s="25"/>
      <c r="V190" s="25"/>
      <c r="W190" s="25"/>
      <c r="X190" s="1046"/>
      <c r="Z190" s="1008"/>
      <c r="AB190" s="7" t="s">
        <v>1981</v>
      </c>
      <c r="AC190" s="541" t="s">
        <v>1982</v>
      </c>
      <c r="AD190" s="7" t="s">
        <v>859</v>
      </c>
      <c r="AE190" s="128">
        <v>37.89</v>
      </c>
      <c r="AF190" s="128">
        <f>400.6+2.68</f>
        <v>403.28000000000003</v>
      </c>
      <c r="AG190" s="128" cm="1">
        <f t="array" ref="AG190">AF190</f>
        <v>403.28000000000003</v>
      </c>
      <c r="AH190" s="170">
        <f t="shared" si="48"/>
        <v>0</v>
      </c>
      <c r="AI190" s="128">
        <v>3373.03</v>
      </c>
      <c r="AJ190" s="128">
        <f>1337.82</f>
        <v>1337.82</v>
      </c>
      <c r="AK190" s="540"/>
      <c r="AL190" s="540"/>
      <c r="AM190" s="540"/>
      <c r="AN190" s="540"/>
      <c r="AO190" s="540"/>
      <c r="AP190" s="540"/>
      <c r="AQ190" s="540"/>
      <c r="AR190" s="540"/>
      <c r="AS190" s="540"/>
      <c r="AT190" s="128">
        <f>1337.82</f>
        <v>1337.82</v>
      </c>
      <c r="AU190" s="540"/>
      <c r="AV190" s="540"/>
      <c r="AW190" s="540"/>
      <c r="AX190" s="540"/>
      <c r="AY190" s="540"/>
      <c r="AZ190" s="540"/>
      <c r="BA190" s="540"/>
      <c r="BB190" s="540"/>
      <c r="BC190" s="540"/>
      <c r="BD190" s="170">
        <f t="shared" si="51"/>
        <v>-60.337737879591948</v>
      </c>
      <c r="BE190" s="540"/>
      <c r="BF190" s="540"/>
      <c r="BG190" s="540"/>
      <c r="BH190" s="540"/>
      <c r="BI190" s="540"/>
      <c r="BJ190" s="540"/>
      <c r="BK190" s="540"/>
      <c r="BL190" s="540"/>
      <c r="BM190" s="540"/>
      <c r="BN190" s="195"/>
      <c r="BO190" s="195" t="s">
        <v>2239</v>
      </c>
      <c r="BP190" s="195" t="s">
        <v>2240</v>
      </c>
      <c r="BS190" s="694" t="s">
        <v>1787</v>
      </c>
    </row>
    <row r="191" spans="1:75" s="903" customFormat="1" ht="84" customHeight="1">
      <c r="A191" s="76"/>
      <c r="B191" s="331"/>
      <c r="C191" s="27"/>
      <c r="D191" s="27"/>
      <c r="E191" s="557">
        <v>21</v>
      </c>
      <c r="F191" s="3" t="str" cm="1">
        <f t="array" aca="1" ref="F191" ca="1">OFFSET(E191,-1,1)</f>
        <v>1</v>
      </c>
      <c r="G191" s="27"/>
      <c r="H191" s="575"/>
      <c r="I191" s="575" t="s">
        <v>514</v>
      </c>
      <c r="J191" s="27"/>
      <c r="K191" s="276" t="s">
        <v>514</v>
      </c>
      <c r="L191" s="27"/>
      <c r="M191" s="27"/>
      <c r="N191" s="27"/>
      <c r="O191" s="27"/>
      <c r="P191" s="27"/>
      <c r="Q191" s="27"/>
      <c r="R191" s="27"/>
      <c r="S191" s="27"/>
      <c r="T191" s="351" t="b" cm="1">
        <f t="array" ref="T191">T190</f>
        <v>1</v>
      </c>
      <c r="U191" s="27"/>
      <c r="V191" s="27"/>
      <c r="W191" s="27"/>
      <c r="X191" s="1046"/>
      <c r="Y191" s="76"/>
      <c r="Z191" s="1008"/>
      <c r="AA191" s="76"/>
      <c r="AB191" s="124" t="s">
        <v>942</v>
      </c>
      <c r="AC191" s="262" t="s">
        <v>1807</v>
      </c>
      <c r="AD191" s="124" t="s">
        <v>859</v>
      </c>
      <c r="AE191" s="126">
        <f ca="1">AE192+AE193+AE194</f>
        <v>1770</v>
      </c>
      <c r="AF191" s="126">
        <f ca="1">AF192+AF193+AF194</f>
        <v>2211.7134799999999</v>
      </c>
      <c r="AG191" s="126">
        <f ca="1">AG192+AG193+AG194</f>
        <v>2211.1904800000002</v>
      </c>
      <c r="AH191" s="126">
        <f t="shared" ca="1" si="48"/>
        <v>-0.5229999999996835</v>
      </c>
      <c r="AI191" s="126">
        <f ca="1">AI192+AI193+AI194</f>
        <v>51257.805692480004</v>
      </c>
      <c r="AJ191" s="126">
        <f ca="1">AJ192+AJ193+AJ194</f>
        <v>72994.254035999998</v>
      </c>
      <c r="AK191" s="129"/>
      <c r="AL191" s="129"/>
      <c r="AM191" s="129"/>
      <c r="AN191" s="129"/>
      <c r="AO191" s="129"/>
      <c r="AP191" s="129"/>
      <c r="AQ191" s="129"/>
      <c r="AR191" s="129"/>
      <c r="AS191" s="129"/>
      <c r="AT191" s="126">
        <f ca="1">AT192+AT193+AT194</f>
        <v>58056.314035999996</v>
      </c>
      <c r="AU191" s="129"/>
      <c r="AV191" s="129"/>
      <c r="AW191" s="129"/>
      <c r="AX191" s="129"/>
      <c r="AY191" s="129"/>
      <c r="AZ191" s="129"/>
      <c r="BA191" s="129"/>
      <c r="BB191" s="129"/>
      <c r="BC191" s="129"/>
      <c r="BD191" s="126">
        <f t="shared" ca="1" si="51"/>
        <v>13.263362041495656</v>
      </c>
      <c r="BE191" s="129"/>
      <c r="BF191" s="129"/>
      <c r="BG191" s="129"/>
      <c r="BH191" s="129"/>
      <c r="BI191" s="129"/>
      <c r="BJ191" s="129"/>
      <c r="BK191" s="129"/>
      <c r="BL191" s="129"/>
      <c r="BM191" s="129"/>
      <c r="BN191" s="554"/>
      <c r="BO191" s="554" t="s">
        <v>2241</v>
      </c>
      <c r="BP191" s="554"/>
      <c r="BQ191" s="76"/>
      <c r="BR191" s="76"/>
      <c r="BS191" s="693" t="s">
        <v>1808</v>
      </c>
      <c r="BT191" s="700"/>
      <c r="BU191" s="700"/>
      <c r="BV191" s="509"/>
      <c r="BW191" s="509"/>
    </row>
    <row r="192" spans="1:75" ht="70.7" customHeight="1">
      <c r="C192" s="25"/>
      <c r="D192" s="25"/>
      <c r="E192" s="449">
        <v>22.5</v>
      </c>
      <c r="F192" s="3" t="str" cm="1">
        <f t="array" aca="1" ref="F192" ca="1">OFFSET(E192,-1,1)</f>
        <v>1</v>
      </c>
      <c r="G192" s="25"/>
      <c r="H192" s="575"/>
      <c r="I192" s="575" t="s">
        <v>1391</v>
      </c>
      <c r="J192" s="25"/>
      <c r="K192" s="276" t="s">
        <v>1391</v>
      </c>
      <c r="L192" s="25"/>
      <c r="M192" s="25"/>
      <c r="N192" s="25"/>
      <c r="O192" s="25"/>
      <c r="P192" s="25"/>
      <c r="Q192" s="25"/>
      <c r="R192" s="25"/>
      <c r="S192" s="25"/>
      <c r="T192" s="351" t="b" cm="1">
        <f t="array" ref="T192">T191</f>
        <v>1</v>
      </c>
      <c r="U192" s="25"/>
      <c r="V192" s="25"/>
      <c r="W192" s="25"/>
      <c r="X192" s="1046"/>
      <c r="Z192" s="1008"/>
      <c r="AB192" s="7" t="s">
        <v>1392</v>
      </c>
      <c r="AC192" s="134" t="s">
        <v>1983</v>
      </c>
      <c r="AD192" s="7" t="s">
        <v>859</v>
      </c>
      <c r="AE192" s="128">
        <v>264.02</v>
      </c>
      <c r="AF192" s="128">
        <v>75.47</v>
      </c>
      <c r="AG192" s="128">
        <v>74.947000000000003</v>
      </c>
      <c r="AH192" s="170">
        <f t="shared" si="48"/>
        <v>-0.52299999999999613</v>
      </c>
      <c r="AI192" s="128">
        <v>5575.74</v>
      </c>
      <c r="AJ192" s="128">
        <v>6503.69</v>
      </c>
      <c r="AK192" s="540"/>
      <c r="AL192" s="540"/>
      <c r="AM192" s="540"/>
      <c r="AN192" s="540"/>
      <c r="AO192" s="540"/>
      <c r="AP192" s="540"/>
      <c r="AQ192" s="540"/>
      <c r="AR192" s="540"/>
      <c r="AS192" s="540"/>
      <c r="AT192" s="128">
        <v>5860.1</v>
      </c>
      <c r="AU192" s="540"/>
      <c r="AV192" s="540"/>
      <c r="AW192" s="540"/>
      <c r="AX192" s="540"/>
      <c r="AY192" s="540"/>
      <c r="AZ192" s="540"/>
      <c r="BA192" s="540"/>
      <c r="BB192" s="540"/>
      <c r="BC192" s="540"/>
      <c r="BD192" s="170">
        <f t="shared" si="51"/>
        <v>5.09995085854076</v>
      </c>
      <c r="BE192" s="540"/>
      <c r="BF192" s="540"/>
      <c r="BG192" s="540"/>
      <c r="BH192" s="540"/>
      <c r="BI192" s="540"/>
      <c r="BJ192" s="540"/>
      <c r="BK192" s="540"/>
      <c r="BL192" s="540"/>
      <c r="BM192" s="540"/>
      <c r="BN192" s="195"/>
      <c r="BO192" s="195"/>
      <c r="BP192" s="195" t="s">
        <v>2242</v>
      </c>
      <c r="BS192" s="692" t="s">
        <v>1810</v>
      </c>
    </row>
    <row r="193" spans="1:75" ht="65.45" customHeight="1">
      <c r="C193" s="25"/>
      <c r="D193" s="25"/>
      <c r="E193" s="449">
        <v>22.5</v>
      </c>
      <c r="F193" s="3" t="str" cm="1">
        <f t="array" aca="1" ref="F193" ca="1">OFFSET(E193,-1,1)</f>
        <v>1</v>
      </c>
      <c r="G193" s="25"/>
      <c r="H193" s="575"/>
      <c r="I193" s="575" t="s">
        <v>1395</v>
      </c>
      <c r="J193" s="25"/>
      <c r="K193" s="276" t="s">
        <v>1395</v>
      </c>
      <c r="L193" s="25"/>
      <c r="M193" s="25"/>
      <c r="N193" s="25"/>
      <c r="O193" s="25"/>
      <c r="P193" s="25"/>
      <c r="Q193" s="25"/>
      <c r="R193" s="25"/>
      <c r="S193" s="25"/>
      <c r="T193" s="351" t="b" cm="1">
        <f t="array" ref="T193">T192</f>
        <v>1</v>
      </c>
      <c r="U193" s="25"/>
      <c r="V193" s="25"/>
      <c r="W193" s="25"/>
      <c r="X193" s="1046"/>
      <c r="Z193" s="1008"/>
      <c r="AB193" s="7" t="s">
        <v>1396</v>
      </c>
      <c r="AC193" s="134" t="s">
        <v>1984</v>
      </c>
      <c r="AD193" s="7" t="s">
        <v>859</v>
      </c>
      <c r="AE193" s="128">
        <v>0</v>
      </c>
      <c r="AF193" s="128">
        <v>0</v>
      </c>
      <c r="AG193" s="128">
        <v>0</v>
      </c>
      <c r="AH193" s="170">
        <f t="shared" si="48"/>
        <v>0</v>
      </c>
      <c r="AI193" s="128">
        <v>5158.37</v>
      </c>
      <c r="AJ193" s="128">
        <v>19715.8</v>
      </c>
      <c r="AK193" s="540"/>
      <c r="AL193" s="540"/>
      <c r="AM193" s="540"/>
      <c r="AN193" s="540"/>
      <c r="AO193" s="540"/>
      <c r="AP193" s="540"/>
      <c r="AQ193" s="540"/>
      <c r="AR193" s="540"/>
      <c r="AS193" s="540"/>
      <c r="AT193" s="128">
        <v>5421.45</v>
      </c>
      <c r="AU193" s="540"/>
      <c r="AV193" s="540"/>
      <c r="AW193" s="540"/>
      <c r="AX193" s="540"/>
      <c r="AY193" s="540"/>
      <c r="AZ193" s="540"/>
      <c r="BA193" s="540"/>
      <c r="BB193" s="540"/>
      <c r="BC193" s="540"/>
      <c r="BD193" s="170">
        <f t="shared" si="51"/>
        <v>5.100060678082416</v>
      </c>
      <c r="BE193" s="540"/>
      <c r="BF193" s="540"/>
      <c r="BG193" s="540"/>
      <c r="BH193" s="540"/>
      <c r="BI193" s="540"/>
      <c r="BJ193" s="540"/>
      <c r="BK193" s="540"/>
      <c r="BL193" s="540"/>
      <c r="BM193" s="540"/>
      <c r="BN193" s="195"/>
      <c r="BO193" s="195"/>
      <c r="BP193" s="195" t="s">
        <v>2242</v>
      </c>
      <c r="BS193" s="694" t="s">
        <v>1985</v>
      </c>
    </row>
    <row r="194" spans="1:75" ht="80.25" customHeight="1">
      <c r="C194" s="25"/>
      <c r="D194" s="25"/>
      <c r="E194" s="449">
        <v>22.5</v>
      </c>
      <c r="F194" s="3" t="str" cm="1">
        <f t="array" aca="1" ref="F194" ca="1">OFFSET(E194,-1,1)</f>
        <v>1</v>
      </c>
      <c r="G194" s="25"/>
      <c r="H194" s="575"/>
      <c r="I194" s="575" t="s">
        <v>1399</v>
      </c>
      <c r="J194" s="25"/>
      <c r="K194" s="276" t="s">
        <v>1399</v>
      </c>
      <c r="L194" s="25" t="s">
        <v>528</v>
      </c>
      <c r="M194" s="25"/>
      <c r="N194" s="25"/>
      <c r="O194" s="25"/>
      <c r="P194" s="25"/>
      <c r="Q194" s="25"/>
      <c r="R194" s="25"/>
      <c r="S194" s="25"/>
      <c r="T194" s="351" t="b" cm="1">
        <f t="array" ref="T194">T193</f>
        <v>1</v>
      </c>
      <c r="U194" s="25"/>
      <c r="V194" s="25"/>
      <c r="W194" s="25"/>
      <c r="X194" s="1046"/>
      <c r="Z194" s="1008"/>
      <c r="AB194" s="7" t="s">
        <v>1400</v>
      </c>
      <c r="AC194" s="134" t="s">
        <v>1986</v>
      </c>
      <c r="AD194" s="7" t="s">
        <v>859</v>
      </c>
      <c r="AE194" s="170">
        <f ca="1">AE195+AE196</f>
        <v>1505.98</v>
      </c>
      <c r="AF194" s="170">
        <f ca="1">AF195+AF196</f>
        <v>2136.2434800000001</v>
      </c>
      <c r="AG194" s="170">
        <f ca="1">AG195+AG196</f>
        <v>2136.2434800000001</v>
      </c>
      <c r="AH194" s="170">
        <f t="shared" ca="1" si="48"/>
        <v>0</v>
      </c>
      <c r="AI194" s="170">
        <f ca="1">AI195+AI196</f>
        <v>40523.695692480003</v>
      </c>
      <c r="AJ194" s="170">
        <f ca="1">AJ195+AJ196</f>
        <v>46774.764036</v>
      </c>
      <c r="AK194" s="540"/>
      <c r="AL194" s="540"/>
      <c r="AM194" s="540"/>
      <c r="AN194" s="540"/>
      <c r="AO194" s="540"/>
      <c r="AP194" s="540"/>
      <c r="AQ194" s="540"/>
      <c r="AR194" s="540"/>
      <c r="AS194" s="540"/>
      <c r="AT194" s="170">
        <f ca="1">AT195+AT196</f>
        <v>46774.764036</v>
      </c>
      <c r="AU194" s="540"/>
      <c r="AV194" s="540"/>
      <c r="AW194" s="540"/>
      <c r="AX194" s="540"/>
      <c r="AY194" s="540"/>
      <c r="AZ194" s="540"/>
      <c r="BA194" s="540"/>
      <c r="BB194" s="540"/>
      <c r="BC194" s="540"/>
      <c r="BD194" s="170">
        <f t="shared" ca="1" si="51"/>
        <v>15.425711393544026</v>
      </c>
      <c r="BE194" s="540"/>
      <c r="BF194" s="540"/>
      <c r="BG194" s="540"/>
      <c r="BH194" s="540"/>
      <c r="BI194" s="540"/>
      <c r="BJ194" s="540"/>
      <c r="BK194" s="540"/>
      <c r="BL194" s="540"/>
      <c r="BM194" s="540"/>
      <c r="BN194" s="195"/>
      <c r="BO194" s="195" t="s">
        <v>2228</v>
      </c>
      <c r="BP194" s="195" t="s">
        <v>2229</v>
      </c>
      <c r="BS194" s="692" t="s">
        <v>1812</v>
      </c>
    </row>
    <row r="195" spans="1:75" ht="134.25" customHeight="1">
      <c r="C195" s="25"/>
      <c r="D195" s="25"/>
      <c r="E195" s="449">
        <v>15</v>
      </c>
      <c r="F195" s="3" t="str" cm="1">
        <f t="array" aca="1" ref="F195" ca="1">OFFSET(E195,-1,1)</f>
        <v>1</v>
      </c>
      <c r="G195" s="569" t="s">
        <v>1150</v>
      </c>
      <c r="H195" s="575"/>
      <c r="I195" s="575" t="s">
        <v>1987</v>
      </c>
      <c r="J195" s="25"/>
      <c r="K195" s="276" t="s">
        <v>1987</v>
      </c>
      <c r="L195" s="25" t="s">
        <v>1813</v>
      </c>
      <c r="M195" s="25"/>
      <c r="N195" s="25"/>
      <c r="O195" s="25"/>
      <c r="P195" s="25"/>
      <c r="Q195" s="25"/>
      <c r="R195" s="25"/>
      <c r="S195" s="25"/>
      <c r="T195" s="351" t="b" cm="1">
        <f t="array" ref="T195">T194</f>
        <v>1</v>
      </c>
      <c r="U195" s="25"/>
      <c r="V195" s="25"/>
      <c r="W195" s="25"/>
      <c r="X195" s="1046"/>
      <c r="Z195" s="1008"/>
      <c r="AB195" s="7" t="s">
        <v>1988</v>
      </c>
      <c r="AC195" s="541" t="s">
        <v>1814</v>
      </c>
      <c r="AD195" s="7" t="s">
        <v>859</v>
      </c>
      <c r="AE195" s="170">
        <f ca="1">SUMIFS(ФОТ!AE$25:AE$89,ФОТ!$F$25:$F$89,$F195,ФОТ!$G$25:$G$89,$G195)</f>
        <v>1156.67</v>
      </c>
      <c r="AF195" s="170">
        <f ca="1">SUMIFS(ФОТ!AF$25:AF$89,ФОТ!$F$25:$F$89,$F195,ФОТ!$G$25:$G$89,$G195)</f>
        <v>1640.74</v>
      </c>
      <c r="AG195" s="170">
        <f ca="1">SUMIFS(ФОТ!AG$25:AG$89,ФОТ!$F$25:$F$89,$F195,ФОТ!$G$25:$G$89,$G195)</f>
        <v>1640.74</v>
      </c>
      <c r="AH195" s="170">
        <f t="shared" ca="1" si="48"/>
        <v>0</v>
      </c>
      <c r="AI195" s="170">
        <f ca="1">SUMIFS(ФОТ!AH$25:AH$89,ФОТ!$F$25:$F$89,$F195,ФОТ!$G$25:$G$89,$G195)</f>
        <v>31124.19024</v>
      </c>
      <c r="AJ195" s="170">
        <f ca="1">SUMIFS(ФОТ!AI$25:AI$89,ФОТ!$F$25:$F$89,$F195,ФОТ!$G$25:$G$89,$G195)</f>
        <v>35925.317999999999</v>
      </c>
      <c r="AK195" s="540"/>
      <c r="AL195" s="540"/>
      <c r="AM195" s="540"/>
      <c r="AN195" s="540"/>
      <c r="AO195" s="540"/>
      <c r="AP195" s="540"/>
      <c r="AQ195" s="540"/>
      <c r="AR195" s="540"/>
      <c r="AS195" s="540"/>
      <c r="AT195" s="170">
        <f ca="1">SUMIFS(ФОТ!AJ$25:AJ$89,ФОТ!$F$25:$F$89,$F195,ФОТ!$G$25:$G$89,$G195)</f>
        <v>35925.317999999999</v>
      </c>
      <c r="AU195" s="540"/>
      <c r="AV195" s="540"/>
      <c r="AW195" s="540"/>
      <c r="AX195" s="540"/>
      <c r="AY195" s="540"/>
      <c r="AZ195" s="540"/>
      <c r="BA195" s="540"/>
      <c r="BB195" s="540"/>
      <c r="BC195" s="540"/>
      <c r="BD195" s="170">
        <f t="shared" ca="1" si="51"/>
        <v>15.425711393544031</v>
      </c>
      <c r="BE195" s="540"/>
      <c r="BF195" s="540"/>
      <c r="BG195" s="540"/>
      <c r="BH195" s="540"/>
      <c r="BI195" s="540"/>
      <c r="BJ195" s="540"/>
      <c r="BK195" s="540"/>
      <c r="BL195" s="540"/>
      <c r="BM195" s="540"/>
      <c r="BN195" s="195"/>
      <c r="BO195" s="599" t="s">
        <v>1177</v>
      </c>
      <c r="BP195" s="195" t="s">
        <v>2229</v>
      </c>
      <c r="BS195" s="692" t="s">
        <v>1815</v>
      </c>
    </row>
    <row r="196" spans="1:75" ht="147.75" customHeight="1">
      <c r="C196" s="25"/>
      <c r="D196" s="25"/>
      <c r="E196" s="449">
        <v>22.5</v>
      </c>
      <c r="F196" s="3" t="str" cm="1">
        <f t="array" aca="1" ref="F196" ca="1">OFFSET(E196,-1,1)</f>
        <v>1</v>
      </c>
      <c r="G196" s="569" t="s">
        <v>1155</v>
      </c>
      <c r="H196" s="575"/>
      <c r="I196" s="575" t="s">
        <v>1989</v>
      </c>
      <c r="J196" s="25"/>
      <c r="K196" s="276" t="s">
        <v>1989</v>
      </c>
      <c r="L196" s="25" t="s">
        <v>1816</v>
      </c>
      <c r="M196" s="25"/>
      <c r="N196" s="25"/>
      <c r="O196" s="25"/>
      <c r="P196" s="25"/>
      <c r="Q196" s="25"/>
      <c r="R196" s="25"/>
      <c r="S196" s="25"/>
      <c r="T196" s="351" t="b" cm="1">
        <f t="array" ref="T196">T195</f>
        <v>1</v>
      </c>
      <c r="U196" s="25"/>
      <c r="V196" s="25"/>
      <c r="W196" s="25"/>
      <c r="X196" s="1046"/>
      <c r="Z196" s="1008"/>
      <c r="AB196" s="7" t="s">
        <v>1990</v>
      </c>
      <c r="AC196" s="541" t="s">
        <v>1991</v>
      </c>
      <c r="AD196" s="7" t="s">
        <v>859</v>
      </c>
      <c r="AE196" s="170">
        <f ca="1">SUMIFS(ФОТ!AE$25:AE$89,ФОТ!$F$25:$F$89,$F196,ФОТ!$G$25:$G$89,$G196)</f>
        <v>349.31</v>
      </c>
      <c r="AF196" s="170">
        <f ca="1">SUMIFS(ФОТ!AF$25:AF$89,ФОТ!$F$25:$F$89,$F196,ФОТ!$G$25:$G$89,$G196)</f>
        <v>495.50347999999997</v>
      </c>
      <c r="AG196" s="170">
        <f ca="1">SUMIFS(ФОТ!AG$25:AG$89,ФОТ!$F$25:$F$89,$F196,ФОТ!$G$25:$G$89,$G196)</f>
        <v>495.50347999999997</v>
      </c>
      <c r="AH196" s="170">
        <f t="shared" ca="1" si="48"/>
        <v>0</v>
      </c>
      <c r="AI196" s="170">
        <f ca="1">SUMIFS(ФОТ!AH$25:AH$89,ФОТ!$F$25:$F$89,$F196,ФОТ!$G$25:$G$89,$G196)</f>
        <v>9399.5054524799998</v>
      </c>
      <c r="AJ196" s="170">
        <f ca="1">SUMIFS(ФОТ!AI$25:AI$89,ФОТ!$F$25:$F$89,$F196,ФОТ!$G$25:$G$89,$G196)</f>
        <v>10849.446036000001</v>
      </c>
      <c r="AK196" s="540"/>
      <c r="AL196" s="540"/>
      <c r="AM196" s="540"/>
      <c r="AN196" s="540"/>
      <c r="AO196" s="540"/>
      <c r="AP196" s="540"/>
      <c r="AQ196" s="540"/>
      <c r="AR196" s="540"/>
      <c r="AS196" s="540"/>
      <c r="AT196" s="170">
        <f ca="1">SUMIFS(ФОТ!AJ$25:AJ$89,ФОТ!$F$25:$F$89,$F196,ФОТ!$G$25:$G$89,$G196)</f>
        <v>10849.446036000001</v>
      </c>
      <c r="AU196" s="540"/>
      <c r="AV196" s="540"/>
      <c r="AW196" s="540"/>
      <c r="AX196" s="540"/>
      <c r="AY196" s="540"/>
      <c r="AZ196" s="540"/>
      <c r="BA196" s="540"/>
      <c r="BB196" s="540"/>
      <c r="BC196" s="540"/>
      <c r="BD196" s="170">
        <f t="shared" ca="1" si="51"/>
        <v>15.425711393544047</v>
      </c>
      <c r="BE196" s="540"/>
      <c r="BF196" s="540"/>
      <c r="BG196" s="540"/>
      <c r="BH196" s="540"/>
      <c r="BI196" s="540"/>
      <c r="BJ196" s="540"/>
      <c r="BK196" s="540"/>
      <c r="BL196" s="540"/>
      <c r="BM196" s="540"/>
      <c r="BN196" s="195"/>
      <c r="BO196" s="599" t="s">
        <v>1179</v>
      </c>
      <c r="BP196" s="195" t="s">
        <v>2229</v>
      </c>
      <c r="BS196" s="692" t="s">
        <v>1818</v>
      </c>
    </row>
    <row r="197" spans="1:75" s="903" customFormat="1" ht="42.75" customHeight="1">
      <c r="A197" s="76"/>
      <c r="B197" s="331"/>
      <c r="C197" s="27"/>
      <c r="D197" s="27"/>
      <c r="E197" s="557">
        <v>21</v>
      </c>
      <c r="F197" s="3" t="str" cm="1">
        <f t="array" aca="1" ref="F197" ca="1">OFFSET(E197,-1,1)</f>
        <v>1</v>
      </c>
      <c r="G197" s="27"/>
      <c r="H197" s="575"/>
      <c r="I197" s="575" t="s">
        <v>518</v>
      </c>
      <c r="J197" s="27"/>
      <c r="K197" s="276" t="s">
        <v>518</v>
      </c>
      <c r="L197" s="27" t="s">
        <v>323</v>
      </c>
      <c r="M197" s="27"/>
      <c r="N197" s="27"/>
      <c r="O197" s="27"/>
      <c r="P197" s="27"/>
      <c r="Q197" s="27"/>
      <c r="R197" s="27"/>
      <c r="S197" s="27"/>
      <c r="T197" s="351" t="b" cm="1">
        <f t="array" ref="T197">T196</f>
        <v>1</v>
      </c>
      <c r="U197" s="27"/>
      <c r="V197" s="27"/>
      <c r="W197" s="27"/>
      <c r="X197" s="1046"/>
      <c r="Y197" s="76"/>
      <c r="Z197" s="1008"/>
      <c r="AA197" s="76"/>
      <c r="AB197" s="124" t="s">
        <v>945</v>
      </c>
      <c r="AC197" s="262" t="s">
        <v>1992</v>
      </c>
      <c r="AD197" s="124" t="s">
        <v>859</v>
      </c>
      <c r="AE197" s="126">
        <f ca="1">AE198+AE206+AE209+AE210+AE211+AE212+AE213</f>
        <v>1011.4300000000002</v>
      </c>
      <c r="AF197" s="126">
        <f ca="1">AF198+AF206+AF209+AF210+AF211+AF212+AF213</f>
        <v>3297.9900000000002</v>
      </c>
      <c r="AG197" s="126">
        <f ca="1">AG198+AG206+AG209+AG210+AG211+AG212+AG213</f>
        <v>3297.9900000000002</v>
      </c>
      <c r="AH197" s="126">
        <f t="shared" ca="1" si="48"/>
        <v>0</v>
      </c>
      <c r="AI197" s="126">
        <f ca="1">AI198+AI206+AI209+AI210+AI211+AI212+AI213</f>
        <v>22249.383739263005</v>
      </c>
      <c r="AJ197" s="126">
        <f ca="1">AJ198+AJ206+AJ209+AJ210+AJ211+AJ212+AJ213</f>
        <v>27390.918297600001</v>
      </c>
      <c r="AK197" s="129"/>
      <c r="AL197" s="129"/>
      <c r="AM197" s="129"/>
      <c r="AN197" s="129"/>
      <c r="AO197" s="129"/>
      <c r="AP197" s="129"/>
      <c r="AQ197" s="129"/>
      <c r="AR197" s="129"/>
      <c r="AS197" s="129"/>
      <c r="AT197" s="126">
        <f ca="1">AT198+AT206+AT209+AT210+AT211+AT212+AT213</f>
        <v>24400.432877920004</v>
      </c>
      <c r="AU197" s="129"/>
      <c r="AV197" s="129"/>
      <c r="AW197" s="129"/>
      <c r="AX197" s="129"/>
      <c r="AY197" s="129"/>
      <c r="AZ197" s="129"/>
      <c r="BA197" s="129"/>
      <c r="BB197" s="129"/>
      <c r="BC197" s="129"/>
      <c r="BD197" s="126">
        <f t="shared" ca="1" si="51"/>
        <v>9.6679043512611518</v>
      </c>
      <c r="BE197" s="129"/>
      <c r="BF197" s="129"/>
      <c r="BG197" s="129"/>
      <c r="BH197" s="129"/>
      <c r="BI197" s="129"/>
      <c r="BJ197" s="129"/>
      <c r="BK197" s="129"/>
      <c r="BL197" s="129"/>
      <c r="BM197" s="129"/>
      <c r="BN197" s="554"/>
      <c r="BO197" s="554" t="s">
        <v>2243</v>
      </c>
      <c r="BP197" s="554" t="s">
        <v>2244</v>
      </c>
      <c r="BQ197" s="76"/>
      <c r="BR197" s="76"/>
      <c r="BS197" s="693" t="s">
        <v>1820</v>
      </c>
      <c r="BT197" s="700"/>
      <c r="BU197" s="700"/>
      <c r="BV197" s="509"/>
      <c r="BW197" s="509"/>
    </row>
    <row r="198" spans="1:75" ht="56.25" customHeight="1">
      <c r="C198" s="25"/>
      <c r="D198" s="25"/>
      <c r="E198" s="449">
        <v>22.5</v>
      </c>
      <c r="F198" s="3" t="str" cm="1">
        <f t="array" aca="1" ref="F198" ca="1">OFFSET(E198,-1,1)</f>
        <v>1</v>
      </c>
      <c r="G198" s="25" t="s">
        <v>1198</v>
      </c>
      <c r="H198" s="575"/>
      <c r="I198" s="575" t="s">
        <v>1405</v>
      </c>
      <c r="J198" s="25"/>
      <c r="K198" s="276" t="s">
        <v>1405</v>
      </c>
      <c r="L198" s="25" t="s">
        <v>966</v>
      </c>
      <c r="M198" s="25"/>
      <c r="N198" s="25"/>
      <c r="O198" s="25"/>
      <c r="P198" s="25"/>
      <c r="Q198" s="25"/>
      <c r="R198" s="25"/>
      <c r="S198" s="25"/>
      <c r="T198" s="351" t="b" cm="1">
        <f t="array" ref="T198">T197</f>
        <v>1</v>
      </c>
      <c r="U198" s="25"/>
      <c r="V198" s="25"/>
      <c r="W198" s="25"/>
      <c r="X198" s="1046"/>
      <c r="Z198" s="1008"/>
      <c r="AB198" s="7" t="s">
        <v>1057</v>
      </c>
      <c r="AC198" s="134" t="s">
        <v>1993</v>
      </c>
      <c r="AD198" s="7" t="s">
        <v>859</v>
      </c>
      <c r="AE198" s="170">
        <f ca="1">SUMIFS(Административные!AE$25:AE$65,Административные!$F$25:$F$65,$F198,Административные!$G$25:$G$65,$G198)</f>
        <v>340.67</v>
      </c>
      <c r="AF198" s="170">
        <f ca="1">SUMIFS(Административные!AF$25:AF$65,Административные!$F$25:$F$65,$F198,Административные!$G$25:$G$65,$G198)</f>
        <v>847.25</v>
      </c>
      <c r="AG198" s="170">
        <f ca="1">SUMIFS(Административные!AG$25:AG$65,Административные!$F$25:$F$65,$F198,Административные!$G$25:$G$65,$G198)</f>
        <v>847.25</v>
      </c>
      <c r="AH198" s="170">
        <f t="shared" ca="1" si="48"/>
        <v>0</v>
      </c>
      <c r="AI198" s="170">
        <f ca="1">SUMIFS(Административные!AH$25:AH$65,Административные!$F$25:$F$65,$F198,Административные!$G$25:$G$65,$G198)</f>
        <v>4853.2084289590002</v>
      </c>
      <c r="AJ198" s="170">
        <f ca="1">SUMIFS(Административные!AI$25:AI$65,Административные!$F$25:$F$65,$F198,Административные!$G$25:$G$65,$G198)</f>
        <v>3835.6200000000003</v>
      </c>
      <c r="AK198" s="540"/>
      <c r="AL198" s="540"/>
      <c r="AM198" s="540"/>
      <c r="AN198" s="540"/>
      <c r="AO198" s="540"/>
      <c r="AP198" s="540"/>
      <c r="AQ198" s="540"/>
      <c r="AR198" s="540"/>
      <c r="AS198" s="540"/>
      <c r="AT198" s="170">
        <f ca="1">SUMIFS(Административные!AJ$25:AJ$65,Административные!$F$25:$F$65,$F198,Административные!$G$25:$G$65,$G198)</f>
        <v>4061.67</v>
      </c>
      <c r="AU198" s="540"/>
      <c r="AV198" s="540"/>
      <c r="AW198" s="540"/>
      <c r="AX198" s="540"/>
      <c r="AY198" s="540"/>
      <c r="AZ198" s="540"/>
      <c r="BA198" s="540"/>
      <c r="BB198" s="540"/>
      <c r="BC198" s="540"/>
      <c r="BD198" s="170">
        <f t="shared" ca="1" si="51"/>
        <v>-16.309590666576483</v>
      </c>
      <c r="BE198" s="540"/>
      <c r="BF198" s="540"/>
      <c r="BG198" s="540"/>
      <c r="BH198" s="540"/>
      <c r="BI198" s="540"/>
      <c r="BJ198" s="540"/>
      <c r="BK198" s="540"/>
      <c r="BL198" s="540"/>
      <c r="BM198" s="540"/>
      <c r="BN198" s="195"/>
      <c r="BO198" s="599" t="s">
        <v>2245</v>
      </c>
      <c r="BP198" s="195"/>
      <c r="BS198" s="692" t="s">
        <v>1200</v>
      </c>
    </row>
    <row r="199" spans="1:75" ht="24.75" customHeight="1">
      <c r="C199" s="25"/>
      <c r="D199" s="25"/>
      <c r="E199" s="449">
        <v>15</v>
      </c>
      <c r="F199" s="3" t="str" cm="1">
        <f t="array" aca="1" ref="F199" ca="1">OFFSET(E199,-1,1)</f>
        <v>1</v>
      </c>
      <c r="G199" s="25" t="s">
        <v>1201</v>
      </c>
      <c r="H199" s="575"/>
      <c r="I199" s="575" t="s">
        <v>1994</v>
      </c>
      <c r="J199" s="25"/>
      <c r="K199" s="276" t="s">
        <v>1994</v>
      </c>
      <c r="L199" s="25"/>
      <c r="M199" s="25"/>
      <c r="N199" s="25"/>
      <c r="O199" s="25"/>
      <c r="P199" s="25"/>
      <c r="Q199" s="25"/>
      <c r="R199" s="25"/>
      <c r="S199" s="25"/>
      <c r="T199" s="351" t="b" cm="1">
        <f t="array" ref="T199">T198</f>
        <v>1</v>
      </c>
      <c r="U199" s="25"/>
      <c r="V199" s="25"/>
      <c r="W199" s="25"/>
      <c r="X199" s="1046"/>
      <c r="Z199" s="1008"/>
      <c r="AB199" s="7" t="s">
        <v>1995</v>
      </c>
      <c r="AC199" s="541" t="s">
        <v>1202</v>
      </c>
      <c r="AD199" s="7" t="s">
        <v>859</v>
      </c>
      <c r="AE199" s="170">
        <f ca="1">SUMIFS(Административные!AE$25:AE$65,Административные!$F$25:$F$65,$F199,Административные!$G$25:$G$65,$G199)</f>
        <v>0</v>
      </c>
      <c r="AF199" s="170">
        <f ca="1">SUMIFS(Административные!AF$25:AF$65,Административные!$F$25:$F$65,$F199,Административные!$G$25:$G$65,$G199)</f>
        <v>103.55</v>
      </c>
      <c r="AG199" s="170">
        <f ca="1">SUMIFS(Административные!AG$25:AG$65,Административные!$F$25:$F$65,$F199,Административные!$G$25:$G$65,$G199)</f>
        <v>103.55</v>
      </c>
      <c r="AH199" s="170">
        <f t="shared" ca="1" si="48"/>
        <v>0</v>
      </c>
      <c r="AI199" s="170">
        <f ca="1">SUMIFS(Административные!AH$25:AH$65,Административные!$F$25:$F$65,$F199,Административные!$G$25:$G$65,$G199)</f>
        <v>0</v>
      </c>
      <c r="AJ199" s="170">
        <f ca="1">SUMIFS(Административные!AI$25:AI$65,Административные!$F$25:$F$65,$F199,Административные!$G$25:$G$65,$G199)</f>
        <v>352.32</v>
      </c>
      <c r="AK199" s="540"/>
      <c r="AL199" s="540"/>
      <c r="AM199" s="540"/>
      <c r="AN199" s="540"/>
      <c r="AO199" s="540"/>
      <c r="AP199" s="540"/>
      <c r="AQ199" s="540"/>
      <c r="AR199" s="540"/>
      <c r="AS199" s="540"/>
      <c r="AT199" s="170">
        <f ca="1">SUMIFS(Административные!AJ$25:AJ$65,Административные!$F$25:$F$65,$F199,Административные!$G$25:$G$65,$G199)</f>
        <v>352.32</v>
      </c>
      <c r="AU199" s="540"/>
      <c r="AV199" s="540"/>
      <c r="AW199" s="540"/>
      <c r="AX199" s="540"/>
      <c r="AY199" s="540"/>
      <c r="AZ199" s="540"/>
      <c r="BA199" s="540"/>
      <c r="BB199" s="540"/>
      <c r="BC199" s="540"/>
      <c r="BD199" s="170">
        <f t="shared" ca="1" si="51"/>
        <v>0</v>
      </c>
      <c r="BE199" s="540"/>
      <c r="BF199" s="540"/>
      <c r="BG199" s="540"/>
      <c r="BH199" s="540"/>
      <c r="BI199" s="540"/>
      <c r="BJ199" s="540"/>
      <c r="BK199" s="540"/>
      <c r="BL199" s="540"/>
      <c r="BM199" s="540"/>
      <c r="BN199" s="195"/>
      <c r="BO199" s="599" t="str">
        <f ca="1">IF(IFERROR(INDEX(Административные!$K$26:$L$65,MATCH($F199&amp;"18komm",Административные!$K$26:$K$65,0),2),"")=0,"",IFERROR(INDEX(Административные!$K$26:$L$65,MATCH($F199&amp;"18komm",Административные!$K$26:$K$65,0),2),""))</f>
        <v/>
      </c>
      <c r="BP199" s="195"/>
      <c r="BS199" s="694" t="s">
        <v>1203</v>
      </c>
    </row>
    <row r="200" spans="1:75" ht="14.25" customHeight="1">
      <c r="C200" s="25"/>
      <c r="D200" s="25"/>
      <c r="E200" s="449">
        <v>15</v>
      </c>
      <c r="F200" s="3" t="str" cm="1">
        <f t="array" aca="1" ref="F200" ca="1">OFFSET(E200,-1,1)</f>
        <v>1</v>
      </c>
      <c r="G200" s="25" t="s">
        <v>1204</v>
      </c>
      <c r="H200" s="575"/>
      <c r="I200" s="575" t="s">
        <v>1996</v>
      </c>
      <c r="J200" s="25"/>
      <c r="K200" s="276" t="s">
        <v>1996</v>
      </c>
      <c r="L200" s="25"/>
      <c r="M200" s="25"/>
      <c r="N200" s="25"/>
      <c r="O200" s="25"/>
      <c r="P200" s="25"/>
      <c r="Q200" s="25"/>
      <c r="R200" s="25"/>
      <c r="S200" s="25"/>
      <c r="T200" s="351" t="b" cm="1">
        <f t="array" ref="T200">T199</f>
        <v>1</v>
      </c>
      <c r="U200" s="25"/>
      <c r="V200" s="25"/>
      <c r="W200" s="25"/>
      <c r="X200" s="1046"/>
      <c r="Z200" s="1008"/>
      <c r="AB200" s="7" t="s">
        <v>1997</v>
      </c>
      <c r="AC200" s="541" t="s">
        <v>1205</v>
      </c>
      <c r="AD200" s="7" t="s">
        <v>859</v>
      </c>
      <c r="AE200" s="170">
        <f ca="1">SUMIFS(Административные!AE$25:AE$65,Административные!$F$25:$F$65,$F200,Административные!$G$25:$G$65,$G200)</f>
        <v>0</v>
      </c>
      <c r="AF200" s="170">
        <f ca="1">SUMIFS(Административные!AF$25:AF$65,Административные!$F$25:$F$65,$F200,Административные!$G$25:$G$65,$G200)</f>
        <v>0</v>
      </c>
      <c r="AG200" s="170">
        <f ca="1">SUMIFS(Административные!AG$25:AG$65,Административные!$F$25:$F$65,$F200,Административные!$G$25:$G$65,$G200)</f>
        <v>0</v>
      </c>
      <c r="AH200" s="170">
        <f t="shared" ca="1" si="48"/>
        <v>0</v>
      </c>
      <c r="AI200" s="170">
        <f ca="1">SUMIFS(Административные!AH$25:AH$65,Административные!$F$25:$F$65,$F200,Административные!$G$25:$G$65,$G200)</f>
        <v>0</v>
      </c>
      <c r="AJ200" s="170">
        <f ca="1">SUMIFS(Административные!AI$25:AI$65,Административные!$F$25:$F$65,$F200,Административные!$G$25:$G$65,$G200)</f>
        <v>0</v>
      </c>
      <c r="AK200" s="540"/>
      <c r="AL200" s="540"/>
      <c r="AM200" s="540"/>
      <c r="AN200" s="540"/>
      <c r="AO200" s="540"/>
      <c r="AP200" s="540"/>
      <c r="AQ200" s="540"/>
      <c r="AR200" s="540"/>
      <c r="AS200" s="540"/>
      <c r="AT200" s="170">
        <f ca="1">SUMIFS(Административные!AJ$25:AJ$65,Административные!$F$25:$F$65,$F200,Административные!$G$25:$G$65,$G200)</f>
        <v>0</v>
      </c>
      <c r="AU200" s="540"/>
      <c r="AV200" s="540"/>
      <c r="AW200" s="540"/>
      <c r="AX200" s="540"/>
      <c r="AY200" s="540"/>
      <c r="AZ200" s="540"/>
      <c r="BA200" s="540"/>
      <c r="BB200" s="540"/>
      <c r="BC200" s="540"/>
      <c r="BD200" s="170">
        <f t="shared" ca="1" si="51"/>
        <v>0</v>
      </c>
      <c r="BE200" s="540"/>
      <c r="BF200" s="540"/>
      <c r="BG200" s="540"/>
      <c r="BH200" s="540"/>
      <c r="BI200" s="540"/>
      <c r="BJ200" s="540"/>
      <c r="BK200" s="540"/>
      <c r="BL200" s="540"/>
      <c r="BM200" s="540"/>
      <c r="BN200" s="195"/>
      <c r="BO200" s="599" t="str">
        <f ca="1">IF(IFERROR(INDEX(Административные!$K$26:$L$65,MATCH($F200&amp;"11komm",Административные!$K$26:$K$65,0),2),"")=0,"",IFERROR(INDEX(Административные!$K$26:$L$65,MATCH($F200&amp;"11komm",Административные!$K$26:$K$65,0),2),""))</f>
        <v/>
      </c>
      <c r="BP200" s="195"/>
      <c r="BS200" s="694" t="s">
        <v>1206</v>
      </c>
    </row>
    <row r="201" spans="1:75" ht="14.25" customHeight="1">
      <c r="C201" s="25"/>
      <c r="D201" s="25"/>
      <c r="E201" s="449">
        <v>15</v>
      </c>
      <c r="F201" s="3" t="str" cm="1">
        <f t="array" aca="1" ref="F201" ca="1">OFFSET(E201,-1,1)</f>
        <v>1</v>
      </c>
      <c r="G201" s="25" t="s">
        <v>1207</v>
      </c>
      <c r="H201" s="575"/>
      <c r="I201" s="575" t="s">
        <v>1998</v>
      </c>
      <c r="J201" s="25"/>
      <c r="K201" s="276" t="s">
        <v>1998</v>
      </c>
      <c r="L201" s="25"/>
      <c r="M201" s="25"/>
      <c r="N201" s="25"/>
      <c r="O201" s="25"/>
      <c r="P201" s="25"/>
      <c r="Q201" s="25"/>
      <c r="R201" s="25"/>
      <c r="S201" s="25"/>
      <c r="T201" s="351" t="b" cm="1">
        <f t="array" ref="T201">T200</f>
        <v>1</v>
      </c>
      <c r="U201" s="25"/>
      <c r="V201" s="25"/>
      <c r="W201" s="25"/>
      <c r="X201" s="1046"/>
      <c r="Z201" s="1008"/>
      <c r="AB201" s="7" t="s">
        <v>1999</v>
      </c>
      <c r="AC201" s="541" t="s">
        <v>1208</v>
      </c>
      <c r="AD201" s="7" t="s">
        <v>859</v>
      </c>
      <c r="AE201" s="170">
        <f ca="1">SUMIFS(Административные!AE$25:AE$65,Административные!$F$25:$F$65,$F201,Административные!$G$25:$G$65,$G201)</f>
        <v>0</v>
      </c>
      <c r="AF201" s="170">
        <f ca="1">SUMIFS(Административные!AF$25:AF$65,Административные!$F$25:$F$65,$F201,Административные!$G$25:$G$65,$G201)</f>
        <v>0</v>
      </c>
      <c r="AG201" s="170">
        <f ca="1">SUMIFS(Административные!AG$25:AG$65,Административные!$F$25:$F$65,$F201,Административные!$G$25:$G$65,$G201)</f>
        <v>0</v>
      </c>
      <c r="AH201" s="170">
        <f t="shared" ca="1" si="48"/>
        <v>0</v>
      </c>
      <c r="AI201" s="170">
        <f ca="1">SUMIFS(Административные!AH$25:AH$65,Административные!$F$25:$F$65,$F201,Административные!$G$25:$G$65,$G201)</f>
        <v>0</v>
      </c>
      <c r="AJ201" s="170">
        <f ca="1">SUMIFS(Административные!AI$25:AI$65,Административные!$F$25:$F$65,$F201,Административные!$G$25:$G$65,$G201)</f>
        <v>0</v>
      </c>
      <c r="AK201" s="540"/>
      <c r="AL201" s="540"/>
      <c r="AM201" s="540"/>
      <c r="AN201" s="540"/>
      <c r="AO201" s="540"/>
      <c r="AP201" s="540"/>
      <c r="AQ201" s="540"/>
      <c r="AR201" s="540"/>
      <c r="AS201" s="540"/>
      <c r="AT201" s="170">
        <f ca="1">SUMIFS(Административные!AJ$25:AJ$65,Административные!$F$25:$F$65,$F201,Административные!$G$25:$G$65,$G201)</f>
        <v>0</v>
      </c>
      <c r="AU201" s="540"/>
      <c r="AV201" s="540"/>
      <c r="AW201" s="540"/>
      <c r="AX201" s="540"/>
      <c r="AY201" s="540"/>
      <c r="AZ201" s="540"/>
      <c r="BA201" s="540"/>
      <c r="BB201" s="540"/>
      <c r="BC201" s="540"/>
      <c r="BD201" s="170">
        <f t="shared" ca="1" si="51"/>
        <v>0</v>
      </c>
      <c r="BE201" s="540"/>
      <c r="BF201" s="540"/>
      <c r="BG201" s="540"/>
      <c r="BH201" s="540"/>
      <c r="BI201" s="540"/>
      <c r="BJ201" s="540"/>
      <c r="BK201" s="540"/>
      <c r="BL201" s="540"/>
      <c r="BM201" s="540"/>
      <c r="BN201" s="195"/>
      <c r="BO201" s="599" t="str">
        <f ca="1">IF(IFERROR(INDEX(Административные!$K$26:$L$65,MATCH($F201&amp;"12komm",Административные!$K$26:$K$65,0),2),"")=0,"",IFERROR(INDEX(Административные!$K$26:$L$65,MATCH($F201&amp;"12komm",Административные!$K$26:$K$65,0),2),""))</f>
        <v/>
      </c>
      <c r="BP201" s="195"/>
      <c r="BS201" s="694" t="s">
        <v>1209</v>
      </c>
    </row>
    <row r="202" spans="1:75" ht="14.25" customHeight="1">
      <c r="C202" s="25"/>
      <c r="D202" s="25"/>
      <c r="E202" s="449">
        <v>15</v>
      </c>
      <c r="F202" s="3" t="str" cm="1">
        <f t="array" aca="1" ref="F202" ca="1">OFFSET(E202,-1,1)</f>
        <v>1</v>
      </c>
      <c r="G202" s="25" t="s">
        <v>1210</v>
      </c>
      <c r="H202" s="575"/>
      <c r="I202" s="575" t="s">
        <v>2000</v>
      </c>
      <c r="J202" s="25"/>
      <c r="K202" s="276" t="s">
        <v>2000</v>
      </c>
      <c r="L202" s="25"/>
      <c r="M202" s="25"/>
      <c r="N202" s="25"/>
      <c r="O202" s="25"/>
      <c r="P202" s="25"/>
      <c r="Q202" s="25"/>
      <c r="R202" s="25"/>
      <c r="S202" s="25"/>
      <c r="T202" s="351" t="b" cm="1">
        <f t="array" ref="T202">T201</f>
        <v>1</v>
      </c>
      <c r="U202" s="25"/>
      <c r="V202" s="25"/>
      <c r="W202" s="25"/>
      <c r="X202" s="1046"/>
      <c r="Z202" s="1008"/>
      <c r="AB202" s="7" t="s">
        <v>2001</v>
      </c>
      <c r="AC202" s="541" t="s">
        <v>1211</v>
      </c>
      <c r="AD202" s="7" t="s">
        <v>859</v>
      </c>
      <c r="AE202" s="170">
        <f ca="1">SUMIFS(Административные!AE$25:AE$65,Административные!$F$25:$F$65,$F202,Административные!$G$25:$G$65,$G202)</f>
        <v>0</v>
      </c>
      <c r="AF202" s="170">
        <f ca="1">SUMIFS(Административные!AF$25:AF$65,Административные!$F$25:$F$65,$F202,Административные!$G$25:$G$65,$G202)</f>
        <v>0</v>
      </c>
      <c r="AG202" s="170">
        <f ca="1">SUMIFS(Административные!AG$25:AG$65,Административные!$F$25:$F$65,$F202,Административные!$G$25:$G$65,$G202)</f>
        <v>0</v>
      </c>
      <c r="AH202" s="170">
        <f t="shared" ca="1" si="48"/>
        <v>0</v>
      </c>
      <c r="AI202" s="170">
        <f ca="1">SUMIFS(Административные!AH$25:AH$65,Административные!$F$25:$F$65,$F202,Административные!$G$25:$G$65,$G202)</f>
        <v>0</v>
      </c>
      <c r="AJ202" s="170">
        <f ca="1">SUMIFS(Административные!AI$25:AI$65,Административные!$F$25:$F$65,$F202,Административные!$G$25:$G$65,$G202)</f>
        <v>0</v>
      </c>
      <c r="AK202" s="540"/>
      <c r="AL202" s="540"/>
      <c r="AM202" s="540"/>
      <c r="AN202" s="540"/>
      <c r="AO202" s="540"/>
      <c r="AP202" s="540"/>
      <c r="AQ202" s="540"/>
      <c r="AR202" s="540"/>
      <c r="AS202" s="540"/>
      <c r="AT202" s="170">
        <f ca="1">SUMIFS(Административные!AJ$25:AJ$65,Административные!$F$25:$F$65,$F202,Административные!$G$25:$G$65,$G202)</f>
        <v>0</v>
      </c>
      <c r="AU202" s="540"/>
      <c r="AV202" s="540"/>
      <c r="AW202" s="540"/>
      <c r="AX202" s="540"/>
      <c r="AY202" s="540"/>
      <c r="AZ202" s="540"/>
      <c r="BA202" s="540"/>
      <c r="BB202" s="540"/>
      <c r="BC202" s="540"/>
      <c r="BD202" s="170">
        <f t="shared" ca="1" si="51"/>
        <v>0</v>
      </c>
      <c r="BE202" s="540"/>
      <c r="BF202" s="540"/>
      <c r="BG202" s="540"/>
      <c r="BH202" s="540"/>
      <c r="BI202" s="540"/>
      <c r="BJ202" s="540"/>
      <c r="BK202" s="540"/>
      <c r="BL202" s="540"/>
      <c r="BM202" s="540"/>
      <c r="BN202" s="195"/>
      <c r="BO202" s="599" t="str">
        <f ca="1">IF(IFERROR(INDEX(Административные!$K$26:$L$65,MATCH($F202&amp;"13komm",Административные!$K$26:$K$65,0),2),"")=0,"",IFERROR(INDEX(Административные!$K$26:$L$65,MATCH($F202&amp;"13komm",Административные!$K$26:$K$65,0),2),""))</f>
        <v/>
      </c>
      <c r="BP202" s="195"/>
      <c r="BS202" s="694" t="s">
        <v>1212</v>
      </c>
    </row>
    <row r="203" spans="1:75" ht="50.25" customHeight="1">
      <c r="C203" s="25"/>
      <c r="D203" s="25"/>
      <c r="E203" s="449">
        <v>15</v>
      </c>
      <c r="F203" s="3" t="str" cm="1">
        <f t="array" aca="1" ref="F203" ca="1">OFFSET(E203,-1,1)</f>
        <v>1</v>
      </c>
      <c r="G203" s="25" t="s">
        <v>1213</v>
      </c>
      <c r="H203" s="575"/>
      <c r="I203" s="575" t="s">
        <v>2002</v>
      </c>
      <c r="J203" s="25"/>
      <c r="K203" s="276" t="s">
        <v>2002</v>
      </c>
      <c r="L203" s="25"/>
      <c r="M203" s="25"/>
      <c r="N203" s="25"/>
      <c r="O203" s="25"/>
      <c r="P203" s="25"/>
      <c r="Q203" s="25"/>
      <c r="R203" s="25"/>
      <c r="S203" s="25"/>
      <c r="T203" s="351" t="b" cm="1">
        <f t="array" ref="T203">T202</f>
        <v>1</v>
      </c>
      <c r="U203" s="25"/>
      <c r="V203" s="25"/>
      <c r="W203" s="25"/>
      <c r="X203" s="1046"/>
      <c r="Z203" s="1008"/>
      <c r="AB203" s="7" t="s">
        <v>2003</v>
      </c>
      <c r="AC203" s="541" t="s">
        <v>1214</v>
      </c>
      <c r="AD203" s="7" t="s">
        <v>859</v>
      </c>
      <c r="AE203" s="170">
        <f ca="1">SUMIFS(Административные!AE$25:AE$65,Административные!$F$25:$F$65,$F203,Административные!$G$25:$G$65,$G203)</f>
        <v>0</v>
      </c>
      <c r="AF203" s="170">
        <f ca="1">SUMIFS(Административные!AF$25:AF$65,Административные!$F$25:$F$65,$F203,Административные!$G$25:$G$65,$G203)</f>
        <v>38.17</v>
      </c>
      <c r="AG203" s="170">
        <f ca="1">SUMIFS(Административные!AG$25:AG$65,Административные!$F$25:$F$65,$F203,Административные!$G$25:$G$65,$G203)</f>
        <v>38.17</v>
      </c>
      <c r="AH203" s="170">
        <f t="shared" ca="1" si="48"/>
        <v>0</v>
      </c>
      <c r="AI203" s="170">
        <f ca="1">SUMIFS(Административные!AH$25:AH$65,Административные!$F$25:$F$65,$F203,Административные!$G$25:$G$65,$G203)</f>
        <v>0</v>
      </c>
      <c r="AJ203" s="170">
        <f ca="1">SUMIFS(Административные!AI$25:AI$65,Административные!$F$25:$F$65,$F203,Административные!$G$25:$G$65,$G203)</f>
        <v>244.11</v>
      </c>
      <c r="AK203" s="540"/>
      <c r="AL203" s="540"/>
      <c r="AM203" s="540"/>
      <c r="AN203" s="540"/>
      <c r="AO203" s="540"/>
      <c r="AP203" s="540"/>
      <c r="AQ203" s="540"/>
      <c r="AR203" s="540"/>
      <c r="AS203" s="540"/>
      <c r="AT203" s="170">
        <f ca="1">SUMIFS(Административные!AJ$25:AJ$65,Административные!$F$25:$F$65,$F203,Административные!$G$25:$G$65,$G203)</f>
        <v>244.11</v>
      </c>
      <c r="AU203" s="540"/>
      <c r="AV203" s="540"/>
      <c r="AW203" s="540"/>
      <c r="AX203" s="540"/>
      <c r="AY203" s="540"/>
      <c r="AZ203" s="540"/>
      <c r="BA203" s="540"/>
      <c r="BB203" s="540"/>
      <c r="BC203" s="540"/>
      <c r="BD203" s="170">
        <f t="shared" ca="1" si="51"/>
        <v>0</v>
      </c>
      <c r="BE203" s="540"/>
      <c r="BF203" s="540"/>
      <c r="BG203" s="540"/>
      <c r="BH203" s="540"/>
      <c r="BI203" s="540"/>
      <c r="BJ203" s="540"/>
      <c r="BK203" s="540"/>
      <c r="BL203" s="540"/>
      <c r="BM203" s="540"/>
      <c r="BN203" s="195"/>
      <c r="BO203" s="599" t="str">
        <f ca="1">IF(IFERROR(INDEX(Административные!$K$26:$L$65,MATCH($F203&amp;"14komm",Административные!$K$26:$K$65,0),2),"")=0,"",IFERROR(INDEX(Административные!$K$26:$L$65,MATCH($F203&amp;"14komm",Административные!$K$26:$K$65,0),2),""))</f>
        <v/>
      </c>
      <c r="BP203" s="195"/>
      <c r="BS203" s="694" t="s">
        <v>2004</v>
      </c>
    </row>
    <row r="204" spans="1:75" ht="36" customHeight="1">
      <c r="C204" s="25"/>
      <c r="D204" s="25"/>
      <c r="E204" s="449">
        <v>15</v>
      </c>
      <c r="F204" s="3" t="str" cm="1">
        <f t="array" aca="1" ref="F204" ca="1">OFFSET(E204,-1,1)</f>
        <v>1</v>
      </c>
      <c r="G204" s="25" t="s">
        <v>1216</v>
      </c>
      <c r="H204" s="575"/>
      <c r="I204" s="575" t="s">
        <v>2005</v>
      </c>
      <c r="J204" s="25"/>
      <c r="K204" s="276" t="s">
        <v>2005</v>
      </c>
      <c r="L204" s="25"/>
      <c r="M204" s="25"/>
      <c r="N204" s="25"/>
      <c r="O204" s="25"/>
      <c r="P204" s="25"/>
      <c r="Q204" s="25"/>
      <c r="R204" s="25"/>
      <c r="S204" s="25"/>
      <c r="T204" s="351" t="b" cm="1">
        <f t="array" ref="T204">T203</f>
        <v>1</v>
      </c>
      <c r="U204" s="25"/>
      <c r="V204" s="25"/>
      <c r="W204" s="25"/>
      <c r="X204" s="1046"/>
      <c r="Z204" s="1008"/>
      <c r="AB204" s="7" t="s">
        <v>2006</v>
      </c>
      <c r="AC204" s="541" t="s">
        <v>1219</v>
      </c>
      <c r="AD204" s="7" t="s">
        <v>859</v>
      </c>
      <c r="AE204" s="170">
        <f ca="1">SUMIFS(Административные!AE$25:AE$65,Административные!$F$25:$F$65,$F204,Административные!$G$25:$G$65,$G204)</f>
        <v>0</v>
      </c>
      <c r="AF204" s="170">
        <f ca="1">SUMIFS(Административные!AF$25:AF$65,Административные!$F$25:$F$65,$F204,Административные!$G$25:$G$65,$G204)</f>
        <v>0</v>
      </c>
      <c r="AG204" s="170">
        <f ca="1">SUMIFS(Административные!AG$25:AG$65,Административные!$F$25:$F$65,$F204,Административные!$G$25:$G$65,$G204)</f>
        <v>0</v>
      </c>
      <c r="AH204" s="170">
        <f t="shared" ref="AH204:AH235" ca="1" si="53">AG204-AF204</f>
        <v>0</v>
      </c>
      <c r="AI204" s="170">
        <f ca="1">SUMIFS(Административные!AH$25:AH$65,Административные!$F$25:$F$65,$F204,Административные!$G$25:$G$65,$G204)</f>
        <v>0</v>
      </c>
      <c r="AJ204" s="170">
        <f ca="1">SUMIFS(Административные!AI$25:AI$65,Административные!$F$25:$F$65,$F204,Административные!$G$25:$G$65,$G204)</f>
        <v>306.16000000000003</v>
      </c>
      <c r="AK204" s="540"/>
      <c r="AL204" s="540"/>
      <c r="AM204" s="540"/>
      <c r="AN204" s="540"/>
      <c r="AO204" s="540"/>
      <c r="AP204" s="540"/>
      <c r="AQ204" s="540"/>
      <c r="AR204" s="540"/>
      <c r="AS204" s="540"/>
      <c r="AT204" s="170">
        <f ca="1">SUMIFS(Административные!AJ$25:AJ$65,Административные!$F$25:$F$65,$F204,Административные!$G$25:$G$65,$G204)</f>
        <v>306.16000000000003</v>
      </c>
      <c r="AU204" s="540"/>
      <c r="AV204" s="540"/>
      <c r="AW204" s="540"/>
      <c r="AX204" s="540"/>
      <c r="AY204" s="540"/>
      <c r="AZ204" s="540"/>
      <c r="BA204" s="540"/>
      <c r="BB204" s="540"/>
      <c r="BC204" s="540"/>
      <c r="BD204" s="170">
        <f t="shared" ref="BD204:BD220" ca="1" si="54">IF(AI204=0,0,(AT204-AI204)/AI204*100)</f>
        <v>0</v>
      </c>
      <c r="BE204" s="540"/>
      <c r="BF204" s="540"/>
      <c r="BG204" s="540"/>
      <c r="BH204" s="540"/>
      <c r="BI204" s="540"/>
      <c r="BJ204" s="540"/>
      <c r="BK204" s="540"/>
      <c r="BL204" s="540"/>
      <c r="BM204" s="540"/>
      <c r="BN204" s="195"/>
      <c r="BO204" s="599" t="str">
        <f ca="1">IF(IFERROR(INDEX(Административные!$K$26:$L$65,MATCH($F204&amp;"15komm",Административные!$K$26:$K$65,0),2),"")=0,"",IFERROR(INDEX(Административные!$K$26:$L$65,MATCH($F204&amp;"15komm",Административные!$K$26:$K$65,0),2),""))</f>
        <v/>
      </c>
      <c r="BP204" s="195"/>
      <c r="BS204" s="694" t="s">
        <v>1220</v>
      </c>
    </row>
    <row r="205" spans="1:75" ht="63" customHeight="1">
      <c r="C205" s="25"/>
      <c r="D205" s="25"/>
      <c r="E205" s="449">
        <v>15</v>
      </c>
      <c r="F205" s="3" t="str" cm="1">
        <f t="array" aca="1" ref="F205" ca="1">OFFSET(E205,-1,1)</f>
        <v>1</v>
      </c>
      <c r="G205" s="25" t="s">
        <v>1221</v>
      </c>
      <c r="H205" s="575"/>
      <c r="I205" s="575" t="s">
        <v>2007</v>
      </c>
      <c r="J205" s="25"/>
      <c r="K205" s="276" t="s">
        <v>2007</v>
      </c>
      <c r="L205" s="25"/>
      <c r="M205" s="25"/>
      <c r="N205" s="25"/>
      <c r="O205" s="25"/>
      <c r="P205" s="25"/>
      <c r="Q205" s="25"/>
      <c r="R205" s="25"/>
      <c r="S205" s="25"/>
      <c r="T205" s="351" t="b" cm="1">
        <f t="array" ref="T205">T204</f>
        <v>1</v>
      </c>
      <c r="U205" s="25"/>
      <c r="V205" s="25"/>
      <c r="W205" s="25"/>
      <c r="X205" s="1046"/>
      <c r="Z205" s="1008"/>
      <c r="AB205" s="7" t="s">
        <v>2008</v>
      </c>
      <c r="AC205" s="541" t="s">
        <v>1224</v>
      </c>
      <c r="AD205" s="7" t="s">
        <v>859</v>
      </c>
      <c r="AE205" s="170">
        <f ca="1">SUMIFS(Административные!AE$25:AE$65,Административные!$F$25:$F$65,$F205,Административные!$G$25:$G$65,$G205)</f>
        <v>340.67</v>
      </c>
      <c r="AF205" s="170">
        <f ca="1">SUMIFS(Административные!AF$25:AF$65,Административные!$F$25:$F$65,$F205,Административные!$G$25:$G$65,$G205)</f>
        <v>705.53</v>
      </c>
      <c r="AG205" s="170">
        <f ca="1">SUMIFS(Административные!AG$25:AG$65,Административные!$F$25:$F$65,$F205,Административные!$G$25:$G$65,$G205)</f>
        <v>705.53</v>
      </c>
      <c r="AH205" s="170">
        <f t="shared" ca="1" si="53"/>
        <v>0</v>
      </c>
      <c r="AI205" s="170">
        <f ca="1">SUMIFS(Административные!AH$25:AH$65,Административные!$F$25:$F$65,$F205,Административные!$G$25:$G$65,$G205)</f>
        <v>4853.2084289590002</v>
      </c>
      <c r="AJ205" s="170">
        <f ca="1">SUMIFS(Административные!AI$25:AI$65,Административные!$F$25:$F$65,$F205,Административные!$G$25:$G$65,$G205)</f>
        <v>2933.03</v>
      </c>
      <c r="AK205" s="540"/>
      <c r="AL205" s="540"/>
      <c r="AM205" s="540"/>
      <c r="AN205" s="540"/>
      <c r="AO205" s="540"/>
      <c r="AP205" s="540"/>
      <c r="AQ205" s="540"/>
      <c r="AR205" s="540"/>
      <c r="AS205" s="540"/>
      <c r="AT205" s="170">
        <f ca="1">SUMIFS(Административные!AJ$25:AJ$65,Административные!$F$25:$F$65,$F205,Административные!$G$25:$G$65,$G205)</f>
        <v>3159.08</v>
      </c>
      <c r="AU205" s="540"/>
      <c r="AV205" s="540"/>
      <c r="AW205" s="540"/>
      <c r="AX205" s="540"/>
      <c r="AY205" s="540"/>
      <c r="AZ205" s="540"/>
      <c r="BA205" s="540"/>
      <c r="BB205" s="540"/>
      <c r="BC205" s="540"/>
      <c r="BD205" s="170">
        <f t="shared" ca="1" si="54"/>
        <v>-34.907390724250966</v>
      </c>
      <c r="BE205" s="540"/>
      <c r="BF205" s="540"/>
      <c r="BG205" s="540"/>
      <c r="BH205" s="540"/>
      <c r="BI205" s="540"/>
      <c r="BJ205" s="540"/>
      <c r="BK205" s="540"/>
      <c r="BL205" s="540"/>
      <c r="BM205" s="540"/>
      <c r="BN205" s="195"/>
      <c r="BO205" s="599" t="str">
        <f ca="1">IF(IFERROR(INDEX(Административные!$K$26:$L$65,MATCH($F205&amp;"16komm",Административные!$K$26:$K$65,0),2),"")=0,"",IFERROR(INDEX(Административные!$K$26:$L$65,MATCH($F205&amp;"16komm",Административные!$K$26:$K$65,0),2),""))</f>
        <v>Учтены расходы на ПОКУПНУЮ ЭЛЕКТРОЭНЕРГИЮ ДЛЯ ОБЩЕХОЗЯЙСТВЕННЫХ НУЖД. П. 22, 23 "Основ ценообразования в сфере водоснабжения и водоотведения".</v>
      </c>
      <c r="BP205" s="195"/>
      <c r="BS205" s="694" t="s">
        <v>2009</v>
      </c>
    </row>
    <row r="206" spans="1:75" ht="149.25" customHeight="1">
      <c r="C206" s="25"/>
      <c r="D206" s="25"/>
      <c r="E206" s="449">
        <v>22.5</v>
      </c>
      <c r="F206" s="3" t="str" cm="1">
        <f t="array" aca="1" ref="F206" ca="1">OFFSET(E206,-1,1)</f>
        <v>1</v>
      </c>
      <c r="G206" s="25"/>
      <c r="H206" s="575"/>
      <c r="I206" s="575" t="s">
        <v>1406</v>
      </c>
      <c r="J206" s="25"/>
      <c r="K206" s="276" t="s">
        <v>1406</v>
      </c>
      <c r="L206" s="25" t="s">
        <v>968</v>
      </c>
      <c r="M206" s="25"/>
      <c r="N206" s="25"/>
      <c r="O206" s="25"/>
      <c r="P206" s="25"/>
      <c r="Q206" s="25"/>
      <c r="R206" s="25"/>
      <c r="S206" s="25"/>
      <c r="T206" s="351" t="b" cm="1">
        <f t="array" ref="T206">T205</f>
        <v>1</v>
      </c>
      <c r="U206" s="25"/>
      <c r="V206" s="25"/>
      <c r="W206" s="25"/>
      <c r="X206" s="1046"/>
      <c r="Z206" s="1008"/>
      <c r="AB206" s="7" t="s">
        <v>1060</v>
      </c>
      <c r="AC206" s="134" t="s">
        <v>2010</v>
      </c>
      <c r="AD206" s="7" t="s">
        <v>859</v>
      </c>
      <c r="AE206" s="170">
        <f ca="1">AE207+AE208</f>
        <v>526.72</v>
      </c>
      <c r="AF206" s="170">
        <f ca="1">AF207+AF208</f>
        <v>2169.4500000000003</v>
      </c>
      <c r="AG206" s="170">
        <f ca="1">AG207+AG208</f>
        <v>2169.4500000000003</v>
      </c>
      <c r="AH206" s="170">
        <f t="shared" ca="1" si="53"/>
        <v>0</v>
      </c>
      <c r="AI206" s="170">
        <f ca="1">AI207+AI208</f>
        <v>16211.301410304</v>
      </c>
      <c r="AJ206" s="170">
        <f ca="1">AJ207+AJ208</f>
        <v>19810.488297600001</v>
      </c>
      <c r="AK206" s="540"/>
      <c r="AL206" s="540"/>
      <c r="AM206" s="540"/>
      <c r="AN206" s="540"/>
      <c r="AO206" s="540"/>
      <c r="AP206" s="540"/>
      <c r="AQ206" s="540"/>
      <c r="AR206" s="540"/>
      <c r="AS206" s="540"/>
      <c r="AT206" s="170">
        <f ca="1">AT207+AT208</f>
        <v>17169.102877920002</v>
      </c>
      <c r="AU206" s="540"/>
      <c r="AV206" s="540"/>
      <c r="AW206" s="540"/>
      <c r="AX206" s="540"/>
      <c r="AY206" s="540"/>
      <c r="AZ206" s="540"/>
      <c r="BA206" s="540"/>
      <c r="BB206" s="540"/>
      <c r="BC206" s="540"/>
      <c r="BD206" s="170">
        <f t="shared" ca="1" si="54"/>
        <v>5.9082330491197803</v>
      </c>
      <c r="BE206" s="540"/>
      <c r="BF206" s="540"/>
      <c r="BG206" s="540"/>
      <c r="BH206" s="540"/>
      <c r="BI206" s="540"/>
      <c r="BJ206" s="540"/>
      <c r="BK206" s="540"/>
      <c r="BL206" s="540"/>
      <c r="BM206" s="540"/>
      <c r="BN206" s="195"/>
      <c r="BO206" s="195" t="s">
        <v>2246</v>
      </c>
      <c r="BP206" s="195" t="s">
        <v>2229</v>
      </c>
      <c r="BS206" s="692" t="s">
        <v>1823</v>
      </c>
    </row>
    <row r="207" spans="1:75" ht="128.25" customHeight="1">
      <c r="C207" s="25"/>
      <c r="D207" s="25"/>
      <c r="E207" s="449">
        <v>15</v>
      </c>
      <c r="F207" s="3" t="str" cm="1">
        <f t="array" aca="1" ref="F207" ca="1">OFFSET(E207,-1,1)</f>
        <v>1</v>
      </c>
      <c r="G207" s="25" t="s">
        <v>1158</v>
      </c>
      <c r="H207" s="575"/>
      <c r="I207" s="575" t="s">
        <v>2011</v>
      </c>
      <c r="J207" s="25"/>
      <c r="K207" s="276" t="s">
        <v>2011</v>
      </c>
      <c r="L207" s="25" t="s">
        <v>543</v>
      </c>
      <c r="M207" s="25"/>
      <c r="N207" s="25"/>
      <c r="O207" s="25"/>
      <c r="P207" s="25"/>
      <c r="Q207" s="25"/>
      <c r="R207" s="25"/>
      <c r="S207" s="25"/>
      <c r="T207" s="351" t="b" cm="1">
        <f t="array" ref="T207">T206</f>
        <v>1</v>
      </c>
      <c r="U207" s="25"/>
      <c r="V207" s="25"/>
      <c r="W207" s="25"/>
      <c r="X207" s="1046"/>
      <c r="Z207" s="1008"/>
      <c r="AB207" s="7" t="s">
        <v>2012</v>
      </c>
      <c r="AC207" s="541" t="s">
        <v>1824</v>
      </c>
      <c r="AD207" s="543" t="s">
        <v>859</v>
      </c>
      <c r="AE207" s="170">
        <f ca="1">SUMIFS(ФОТ!AE$25:AE$89,ФОТ!$F$25:$F$89,$F207,ФОТ!$G$25:$G$89,$G207)</f>
        <v>404.55</v>
      </c>
      <c r="AF207" s="170">
        <f ca="1">SUMIFS(ФОТ!AF$25:AF$89,ФОТ!$F$25:$F$89,$F207,ФОТ!$G$25:$G$89,$G207)</f>
        <v>1667.16</v>
      </c>
      <c r="AG207" s="170">
        <f ca="1">SUMIFS(ФОТ!AG$25:AG$89,ФОТ!$F$25:$F$89,$F207,ФОТ!$G$25:$G$89,$G207)</f>
        <v>1667.16</v>
      </c>
      <c r="AH207" s="170">
        <f t="shared" ca="1" si="53"/>
        <v>0</v>
      </c>
      <c r="AI207" s="170">
        <f ca="1">SUMIFS(ФОТ!AH$25:AH$89,ФОТ!$F$25:$F$89,$F207,ФОТ!$G$25:$G$89,$G207)</f>
        <v>12451.076352</v>
      </c>
      <c r="AJ207" s="170">
        <f ca="1">SUMIFS(ФОТ!AI$25:AI$89,ФОТ!$F$25:$F$89,$F207,ФОТ!$G$25:$G$89,$G207)</f>
        <v>15215.428800000002</v>
      </c>
      <c r="AK207" s="540"/>
      <c r="AL207" s="540"/>
      <c r="AM207" s="540"/>
      <c r="AN207" s="540"/>
      <c r="AO207" s="540"/>
      <c r="AP207" s="540"/>
      <c r="AQ207" s="540"/>
      <c r="AR207" s="540"/>
      <c r="AS207" s="540"/>
      <c r="AT207" s="170">
        <f ca="1">SUMIFS(ФОТ!AJ$25:AJ$89,ФОТ!$F$25:$F$89,$F207,ФОТ!$G$25:$G$89,$G207)</f>
        <v>13186.714960000001</v>
      </c>
      <c r="AU207" s="540"/>
      <c r="AV207" s="540"/>
      <c r="AW207" s="540"/>
      <c r="AX207" s="540"/>
      <c r="AY207" s="540"/>
      <c r="AZ207" s="540"/>
      <c r="BA207" s="540"/>
      <c r="BB207" s="540"/>
      <c r="BC207" s="540"/>
      <c r="BD207" s="170">
        <f t="shared" ca="1" si="54"/>
        <v>5.9082330491197776</v>
      </c>
      <c r="BE207" s="540"/>
      <c r="BF207" s="540"/>
      <c r="BG207" s="540"/>
      <c r="BH207" s="540"/>
      <c r="BI207" s="540"/>
      <c r="BJ207" s="540"/>
      <c r="BK207" s="540"/>
      <c r="BL207" s="540"/>
      <c r="BM207" s="540"/>
      <c r="BN207" s="195"/>
      <c r="BO207" s="599" t="s">
        <v>1177</v>
      </c>
      <c r="BP207" s="195" t="s">
        <v>2229</v>
      </c>
      <c r="BS207" s="692" t="s">
        <v>1197</v>
      </c>
    </row>
    <row r="208" spans="1:75" ht="150.75" customHeight="1">
      <c r="C208" s="25"/>
      <c r="D208" s="25"/>
      <c r="E208" s="449">
        <v>22.5</v>
      </c>
      <c r="F208" s="3" t="str" cm="1">
        <f t="array" aca="1" ref="F208" ca="1">OFFSET(E208,-1,1)</f>
        <v>1</v>
      </c>
      <c r="G208" s="25" t="s">
        <v>1163</v>
      </c>
      <c r="H208" s="575"/>
      <c r="I208" s="575" t="s">
        <v>2013</v>
      </c>
      <c r="J208" s="25"/>
      <c r="K208" s="276" t="s">
        <v>2013</v>
      </c>
      <c r="L208" s="25" t="s">
        <v>548</v>
      </c>
      <c r="M208" s="25"/>
      <c r="N208" s="25"/>
      <c r="O208" s="25"/>
      <c r="P208" s="25"/>
      <c r="Q208" s="25"/>
      <c r="R208" s="25"/>
      <c r="S208" s="25"/>
      <c r="T208" s="351" t="b" cm="1">
        <f t="array" ref="T208">T207</f>
        <v>1</v>
      </c>
      <c r="U208" s="25"/>
      <c r="V208" s="25"/>
      <c r="W208" s="25"/>
      <c r="X208" s="1046"/>
      <c r="Z208" s="1008"/>
      <c r="AB208" s="7" t="s">
        <v>2014</v>
      </c>
      <c r="AC208" s="541" t="s">
        <v>2015</v>
      </c>
      <c r="AD208" s="7" t="s">
        <v>859</v>
      </c>
      <c r="AE208" s="170">
        <f ca="1">SUMIFS(ФОТ!AE$25:AE$89,ФОТ!$F$25:$F$89,$F208,ФОТ!$G$25:$G$89,$G208)</f>
        <v>122.17</v>
      </c>
      <c r="AF208" s="170">
        <f ca="1">SUMIFS(ФОТ!AF$25:AF$89,ФОТ!$F$25:$F$89,$F208,ФОТ!$G$25:$G$89,$G208)</f>
        <v>502.29</v>
      </c>
      <c r="AG208" s="170">
        <f ca="1">SUMIFS(ФОТ!AG$25:AG$89,ФОТ!$F$25:$F$89,$F208,ФОТ!$G$25:$G$89,$G208)</f>
        <v>502.29</v>
      </c>
      <c r="AH208" s="170">
        <f t="shared" ca="1" si="53"/>
        <v>0</v>
      </c>
      <c r="AI208" s="170">
        <f ca="1">SUMIFS(ФОТ!AH$25:AH$89,ФОТ!$F$25:$F$89,$F208,ФОТ!$G$25:$G$89,$G208)</f>
        <v>3760.225058304</v>
      </c>
      <c r="AJ208" s="170">
        <f ca="1">SUMIFS(ФОТ!AI$25:AI$89,ФОТ!$F$25:$F$89,$F208,ФОТ!$G$25:$G$89,$G208)</f>
        <v>4595.0594976000002</v>
      </c>
      <c r="AK208" s="540"/>
      <c r="AL208" s="540"/>
      <c r="AM208" s="540"/>
      <c r="AN208" s="540"/>
      <c r="AO208" s="540"/>
      <c r="AP208" s="540"/>
      <c r="AQ208" s="540"/>
      <c r="AR208" s="540"/>
      <c r="AS208" s="540"/>
      <c r="AT208" s="170">
        <f ca="1">SUMIFS(ФОТ!AJ$25:AJ$89,ФОТ!$F$25:$F$89,$F208,ФОТ!$G$25:$G$89,$G208)</f>
        <v>3982.3879179199998</v>
      </c>
      <c r="AU208" s="540"/>
      <c r="AV208" s="540"/>
      <c r="AW208" s="540"/>
      <c r="AX208" s="540"/>
      <c r="AY208" s="540"/>
      <c r="AZ208" s="540"/>
      <c r="BA208" s="540"/>
      <c r="BB208" s="540"/>
      <c r="BC208" s="540"/>
      <c r="BD208" s="170">
        <f t="shared" ca="1" si="54"/>
        <v>5.9082330491197643</v>
      </c>
      <c r="BE208" s="540"/>
      <c r="BF208" s="540"/>
      <c r="BG208" s="540"/>
      <c r="BH208" s="540"/>
      <c r="BI208" s="540"/>
      <c r="BJ208" s="540"/>
      <c r="BK208" s="540"/>
      <c r="BL208" s="540"/>
      <c r="BM208" s="540"/>
      <c r="BN208" s="195"/>
      <c r="BO208" s="599" t="s">
        <v>1179</v>
      </c>
      <c r="BP208" s="195" t="s">
        <v>2229</v>
      </c>
      <c r="BS208" s="692" t="s">
        <v>1826</v>
      </c>
    </row>
    <row r="209" spans="1:75" ht="72" customHeight="1">
      <c r="C209" s="25"/>
      <c r="D209" s="25"/>
      <c r="E209" s="449">
        <v>33.75</v>
      </c>
      <c r="F209" s="3" t="str" cm="1">
        <f t="array" aca="1" ref="F209" ca="1">OFFSET(E209,-1,1)</f>
        <v>1</v>
      </c>
      <c r="G209" s="569" t="s">
        <v>1226</v>
      </c>
      <c r="H209" s="575"/>
      <c r="I209" s="575" t="s">
        <v>1409</v>
      </c>
      <c r="J209" s="25"/>
      <c r="K209" s="276" t="s">
        <v>1409</v>
      </c>
      <c r="L209" s="25" t="s">
        <v>970</v>
      </c>
      <c r="M209" s="25"/>
      <c r="N209" s="25"/>
      <c r="O209" s="25"/>
      <c r="P209" s="25"/>
      <c r="Q209" s="25"/>
      <c r="R209" s="25"/>
      <c r="S209" s="25"/>
      <c r="T209" s="351" t="b" cm="1">
        <f t="array" ref="T209">T208</f>
        <v>1</v>
      </c>
      <c r="U209" s="25"/>
      <c r="V209" s="25"/>
      <c r="W209" s="25"/>
      <c r="X209" s="1046"/>
      <c r="Z209" s="1008"/>
      <c r="AB209" s="7" t="s">
        <v>1410</v>
      </c>
      <c r="AC209" s="134" t="s">
        <v>2016</v>
      </c>
      <c r="AD209" s="7" t="s">
        <v>859</v>
      </c>
      <c r="AE209" s="170">
        <f ca="1">SUMIFS(Административные!AE$25:AE$65,Административные!$F$25:$F$65,$F209,Административные!$G$25:$G$65,$G209)</f>
        <v>18.59</v>
      </c>
      <c r="AF209" s="170">
        <f ca="1">SUMIFS(Административные!AF$25:AF$65,Административные!$F$25:$F$65,$F209,Административные!$G$25:$G$65,$G209)</f>
        <v>0</v>
      </c>
      <c r="AG209" s="170">
        <f ca="1">SUMIFS(Административные!AG$25:AG$65,Административные!$F$25:$F$65,$F209,Административные!$G$25:$G$65,$G209)</f>
        <v>0</v>
      </c>
      <c r="AH209" s="170">
        <f t="shared" ca="1" si="53"/>
        <v>0</v>
      </c>
      <c r="AI209" s="170">
        <f ca="1">SUMIFS(Административные!AH$25:AH$65,Административные!$F$25:$F$65,$F209,Административные!$G$25:$G$65,$G209)</f>
        <v>512.65390000000002</v>
      </c>
      <c r="AJ209" s="170">
        <f ca="1">SUMIFS(Административные!AI$25:AI$65,Административные!$F$25:$F$65,$F209,Административные!$G$25:$G$65,$G209)</f>
        <v>1471.1100000000001</v>
      </c>
      <c r="AK209" s="540"/>
      <c r="AL209" s="540"/>
      <c r="AM209" s="540"/>
      <c r="AN209" s="540"/>
      <c r="AO209" s="540"/>
      <c r="AP209" s="540"/>
      <c r="AQ209" s="540"/>
      <c r="AR209" s="540"/>
      <c r="AS209" s="540"/>
      <c r="AT209" s="170">
        <f ca="1">SUMIFS(Административные!AJ$25:AJ$65,Административные!$F$25:$F$65,$F209,Административные!$G$25:$G$65,$G209)</f>
        <v>1471.1100000000001</v>
      </c>
      <c r="AU209" s="540"/>
      <c r="AV209" s="540"/>
      <c r="AW209" s="540"/>
      <c r="AX209" s="540"/>
      <c r="AY209" s="540"/>
      <c r="AZ209" s="540"/>
      <c r="BA209" s="540"/>
      <c r="BB209" s="540"/>
      <c r="BC209" s="540"/>
      <c r="BD209" s="170">
        <f t="shared" ca="1" si="54"/>
        <v>186.95968176580732</v>
      </c>
      <c r="BE209" s="540"/>
      <c r="BF209" s="540"/>
      <c r="BG209" s="540"/>
      <c r="BH209" s="540"/>
      <c r="BI209" s="540"/>
      <c r="BJ209" s="540"/>
      <c r="BK209" s="540"/>
      <c r="BL209" s="540"/>
      <c r="BM209" s="540"/>
      <c r="BN209" s="195"/>
      <c r="BO209" s="599" t="s">
        <v>1252</v>
      </c>
      <c r="BP209" s="195" t="s">
        <v>2247</v>
      </c>
      <c r="BS209" s="692" t="s">
        <v>1228</v>
      </c>
    </row>
    <row r="210" spans="1:75" ht="14.25" customHeight="1">
      <c r="C210" s="25"/>
      <c r="D210" s="25"/>
      <c r="E210" s="449">
        <v>15</v>
      </c>
      <c r="F210" s="3" t="str" cm="1">
        <f t="array" aca="1" ref="F210" ca="1">OFFSET(E210,-1,1)</f>
        <v>1</v>
      </c>
      <c r="G210" s="569" t="s">
        <v>1229</v>
      </c>
      <c r="H210" s="575"/>
      <c r="I210" s="575" t="s">
        <v>1413</v>
      </c>
      <c r="J210" s="25"/>
      <c r="K210" s="276" t="s">
        <v>1413</v>
      </c>
      <c r="L210" s="25" t="s">
        <v>972</v>
      </c>
      <c r="M210" s="25"/>
      <c r="N210" s="25"/>
      <c r="O210" s="25"/>
      <c r="P210" s="25"/>
      <c r="Q210" s="25"/>
      <c r="R210" s="25"/>
      <c r="S210" s="25"/>
      <c r="T210" s="351" t="b" cm="1">
        <f t="array" ref="T210">T209</f>
        <v>1</v>
      </c>
      <c r="U210" s="25"/>
      <c r="V210" s="25"/>
      <c r="W210" s="25"/>
      <c r="X210" s="1046"/>
      <c r="Z210" s="1008"/>
      <c r="AB210" s="7" t="s">
        <v>1414</v>
      </c>
      <c r="AC210" s="134" t="s">
        <v>2017</v>
      </c>
      <c r="AD210" s="7" t="s">
        <v>859</v>
      </c>
      <c r="AE210" s="170">
        <f ca="1">SUMIFS(Административные!AE$25:AE$65,Административные!$F$25:$F$65,$F210,Административные!$G$25:$G$65,$G210)</f>
        <v>0</v>
      </c>
      <c r="AF210" s="170">
        <f ca="1">SUMIFS(Административные!AF$25:AF$65,Административные!$F$25:$F$65,$F210,Административные!$G$25:$G$65,$G210)</f>
        <v>0</v>
      </c>
      <c r="AG210" s="170">
        <f ca="1">SUMIFS(Административные!AG$25:AG$65,Административные!$F$25:$F$65,$F210,Административные!$G$25:$G$65,$G210)</f>
        <v>0</v>
      </c>
      <c r="AH210" s="170">
        <f t="shared" ca="1" si="53"/>
        <v>0</v>
      </c>
      <c r="AI210" s="170">
        <f ca="1">SUMIFS(Административные!AH$25:AH$65,Административные!$F$25:$F$65,$F210,Административные!$G$25:$G$65,$G210)</f>
        <v>0</v>
      </c>
      <c r="AJ210" s="170">
        <f ca="1">SUMIFS(Административные!AI$25:AI$65,Административные!$F$25:$F$65,$F210,Административные!$G$25:$G$65,$G210)</f>
        <v>0</v>
      </c>
      <c r="AK210" s="540"/>
      <c r="AL210" s="540"/>
      <c r="AM210" s="540"/>
      <c r="AN210" s="540"/>
      <c r="AO210" s="540"/>
      <c r="AP210" s="540"/>
      <c r="AQ210" s="540"/>
      <c r="AR210" s="540"/>
      <c r="AS210" s="540"/>
      <c r="AT210" s="170">
        <f ca="1">SUMIFS(Административные!AJ$25:AJ$65,Административные!$F$25:$F$65,$F210,Административные!$G$25:$G$65,$G210)</f>
        <v>0</v>
      </c>
      <c r="AU210" s="540"/>
      <c r="AV210" s="540"/>
      <c r="AW210" s="540"/>
      <c r="AX210" s="540"/>
      <c r="AY210" s="540"/>
      <c r="AZ210" s="540"/>
      <c r="BA210" s="540"/>
      <c r="BB210" s="540"/>
      <c r="BC210" s="540"/>
      <c r="BD210" s="170">
        <f t="shared" ca="1" si="54"/>
        <v>0</v>
      </c>
      <c r="BE210" s="540"/>
      <c r="BF210" s="540"/>
      <c r="BG210" s="540"/>
      <c r="BH210" s="540"/>
      <c r="BI210" s="540"/>
      <c r="BJ210" s="540"/>
      <c r="BK210" s="540"/>
      <c r="BL210" s="540"/>
      <c r="BM210" s="540"/>
      <c r="BN210" s="195"/>
      <c r="BO210" s="599" t="str">
        <f ca="1">IF(IFERROR(INDEX(Административные!$K$26:$L$65,MATCH($F210&amp;"3komm",Административные!$K$26:$K$65,0),2),"")=0,"",IFERROR(INDEX(Административные!$K$26:$L$65,MATCH($F210&amp;"3komm",Административные!$K$26:$K$65,0),2),""))</f>
        <v/>
      </c>
      <c r="BP210" s="195"/>
      <c r="BS210" s="692" t="s">
        <v>1231</v>
      </c>
    </row>
    <row r="211" spans="1:75" ht="14.25" customHeight="1">
      <c r="C211" s="25"/>
      <c r="D211" s="25"/>
      <c r="E211" s="449">
        <v>15</v>
      </c>
      <c r="F211" s="3" t="str" cm="1">
        <f t="array" aca="1" ref="F211" ca="1">OFFSET(E211,-1,1)</f>
        <v>1</v>
      </c>
      <c r="G211" s="569" t="s">
        <v>1232</v>
      </c>
      <c r="H211" s="575"/>
      <c r="I211" s="575" t="s">
        <v>2018</v>
      </c>
      <c r="J211" s="25"/>
      <c r="K211" s="276" t="s">
        <v>2018</v>
      </c>
      <c r="L211" s="25" t="s">
        <v>975</v>
      </c>
      <c r="M211" s="25"/>
      <c r="N211" s="25"/>
      <c r="O211" s="25"/>
      <c r="P211" s="25"/>
      <c r="Q211" s="25"/>
      <c r="R211" s="25"/>
      <c r="S211" s="25"/>
      <c r="T211" s="351" t="b" cm="1">
        <f t="array" ref="T211">T210</f>
        <v>1</v>
      </c>
      <c r="U211" s="25"/>
      <c r="V211" s="25"/>
      <c r="W211" s="25"/>
      <c r="X211" s="1046"/>
      <c r="Z211" s="1008"/>
      <c r="AB211" s="7" t="s">
        <v>2019</v>
      </c>
      <c r="AC211" s="134" t="s">
        <v>2020</v>
      </c>
      <c r="AD211" s="7" t="s">
        <v>859</v>
      </c>
      <c r="AE211" s="170">
        <f ca="1">SUMIFS(Административные!AE$25:AE$65,Административные!$F$25:$F$65,$F211,Административные!$G$25:$G$65,$G211)</f>
        <v>0</v>
      </c>
      <c r="AF211" s="170">
        <f ca="1">SUMIFS(Административные!AF$25:AF$65,Административные!$F$25:$F$65,$F211,Административные!$G$25:$G$65,$G211)</f>
        <v>0</v>
      </c>
      <c r="AG211" s="170">
        <f ca="1">SUMIFS(Административные!AG$25:AG$65,Административные!$F$25:$F$65,$F211,Административные!$G$25:$G$65,$G211)</f>
        <v>0</v>
      </c>
      <c r="AH211" s="170">
        <f t="shared" ca="1" si="53"/>
        <v>0</v>
      </c>
      <c r="AI211" s="170">
        <f ca="1">SUMIFS(Административные!AH$25:AH$65,Административные!$F$25:$F$65,$F211,Административные!$G$25:$G$65,$G211)</f>
        <v>0</v>
      </c>
      <c r="AJ211" s="170">
        <f ca="1">SUMIFS(Административные!AI$25:AI$65,Административные!$F$25:$F$65,$F211,Административные!$G$25:$G$65,$G211)</f>
        <v>0</v>
      </c>
      <c r="AK211" s="540"/>
      <c r="AL211" s="540"/>
      <c r="AM211" s="540"/>
      <c r="AN211" s="540"/>
      <c r="AO211" s="540"/>
      <c r="AP211" s="540"/>
      <c r="AQ211" s="540"/>
      <c r="AR211" s="540"/>
      <c r="AS211" s="540"/>
      <c r="AT211" s="170">
        <f ca="1">SUMIFS(Административные!AJ$25:AJ$65,Административные!$F$25:$F$65,$F211,Административные!$G$25:$G$65,$G211)</f>
        <v>0</v>
      </c>
      <c r="AU211" s="540"/>
      <c r="AV211" s="540"/>
      <c r="AW211" s="540"/>
      <c r="AX211" s="540"/>
      <c r="AY211" s="540"/>
      <c r="AZ211" s="540"/>
      <c r="BA211" s="540"/>
      <c r="BB211" s="540"/>
      <c r="BC211" s="540"/>
      <c r="BD211" s="170">
        <f t="shared" ca="1" si="54"/>
        <v>0</v>
      </c>
      <c r="BE211" s="540"/>
      <c r="BF211" s="540"/>
      <c r="BG211" s="540"/>
      <c r="BH211" s="540"/>
      <c r="BI211" s="540"/>
      <c r="BJ211" s="540"/>
      <c r="BK211" s="540"/>
      <c r="BL211" s="540"/>
      <c r="BM211" s="540"/>
      <c r="BN211" s="195"/>
      <c r="BO211" s="599" t="str">
        <f ca="1">IF(IFERROR(INDEX(Административные!$K$26:$L$65,MATCH($F211&amp;"4komm",Административные!$K$26:$K$65,0),2),"")=0,"",IFERROR(INDEX(Административные!$K$26:$L$65,MATCH($F211&amp;"4komm",Административные!$K$26:$K$65,0),2),""))</f>
        <v/>
      </c>
      <c r="BP211" s="195"/>
      <c r="BS211" s="692" t="s">
        <v>1234</v>
      </c>
    </row>
    <row r="212" spans="1:75" ht="14.25" customHeight="1">
      <c r="C212" s="25"/>
      <c r="D212" s="25"/>
      <c r="E212" s="449">
        <v>15</v>
      </c>
      <c r="F212" s="3" t="str" cm="1">
        <f t="array" aca="1" ref="F212" ca="1">OFFSET(E212,-1,1)</f>
        <v>1</v>
      </c>
      <c r="G212" s="569" t="s">
        <v>1235</v>
      </c>
      <c r="H212" s="575"/>
      <c r="I212" s="575" t="s">
        <v>2021</v>
      </c>
      <c r="J212" s="25"/>
      <c r="K212" s="276" t="s">
        <v>2021</v>
      </c>
      <c r="L212" s="25" t="s">
        <v>1217</v>
      </c>
      <c r="M212" s="25"/>
      <c r="N212" s="25"/>
      <c r="O212" s="25"/>
      <c r="P212" s="25"/>
      <c r="Q212" s="25"/>
      <c r="R212" s="25"/>
      <c r="S212" s="25"/>
      <c r="T212" s="351" t="b" cm="1">
        <f t="array" ref="T212">T211</f>
        <v>1</v>
      </c>
      <c r="U212" s="25"/>
      <c r="V212" s="25"/>
      <c r="W212" s="25"/>
      <c r="X212" s="1046"/>
      <c r="Z212" s="1008"/>
      <c r="AB212" s="7" t="s">
        <v>2022</v>
      </c>
      <c r="AC212" s="134" t="s">
        <v>2023</v>
      </c>
      <c r="AD212" s="7" t="s">
        <v>859</v>
      </c>
      <c r="AE212" s="170">
        <f ca="1">SUMIFS(Административные!AE$25:AE$65,Административные!$F$25:$F$65,$F212,Административные!$G$25:$G$65,$G212)</f>
        <v>0</v>
      </c>
      <c r="AF212" s="170">
        <f ca="1">SUMIFS(Административные!AF$25:AF$65,Административные!$F$25:$F$65,$F212,Административные!$G$25:$G$65,$G212)</f>
        <v>0</v>
      </c>
      <c r="AG212" s="170">
        <f ca="1">SUMIFS(Административные!AG$25:AG$65,Административные!$F$25:$F$65,$F212,Административные!$G$25:$G$65,$G212)</f>
        <v>0</v>
      </c>
      <c r="AH212" s="170">
        <f t="shared" ca="1" si="53"/>
        <v>0</v>
      </c>
      <c r="AI212" s="170">
        <f ca="1">SUMIFS(Административные!AH$25:AH$65,Административные!$F$25:$F$65,$F212,Административные!$G$25:$G$65,$G212)</f>
        <v>0</v>
      </c>
      <c r="AJ212" s="170">
        <f ca="1">SUMIFS(Административные!AI$25:AI$65,Административные!$F$25:$F$65,$F212,Административные!$G$25:$G$65,$G212)</f>
        <v>0</v>
      </c>
      <c r="AK212" s="540"/>
      <c r="AL212" s="540"/>
      <c r="AM212" s="540"/>
      <c r="AN212" s="540"/>
      <c r="AO212" s="540"/>
      <c r="AP212" s="540"/>
      <c r="AQ212" s="540"/>
      <c r="AR212" s="540"/>
      <c r="AS212" s="540"/>
      <c r="AT212" s="170">
        <f ca="1">SUMIFS(Административные!AJ$25:AJ$65,Административные!$F$25:$F$65,$F212,Административные!$G$25:$G$65,$G212)</f>
        <v>0</v>
      </c>
      <c r="AU212" s="540"/>
      <c r="AV212" s="540"/>
      <c r="AW212" s="540"/>
      <c r="AX212" s="540"/>
      <c r="AY212" s="540"/>
      <c r="AZ212" s="540"/>
      <c r="BA212" s="540"/>
      <c r="BB212" s="540"/>
      <c r="BC212" s="540"/>
      <c r="BD212" s="170">
        <f t="shared" ca="1" si="54"/>
        <v>0</v>
      </c>
      <c r="BE212" s="540"/>
      <c r="BF212" s="540"/>
      <c r="BG212" s="540"/>
      <c r="BH212" s="540"/>
      <c r="BI212" s="540"/>
      <c r="BJ212" s="540"/>
      <c r="BK212" s="540"/>
      <c r="BL212" s="540"/>
      <c r="BM212" s="540"/>
      <c r="BN212" s="195"/>
      <c r="BO212" s="599" t="str">
        <f ca="1">IF(IFERROR(INDEX(Административные!$K$26:$L$65,MATCH($F212&amp;"5komm",Административные!$K$26:$K$65,0),2),"")=0,"",IFERROR(INDEX(Административные!$K$26:$L$65,MATCH($F212&amp;"5komm",Административные!$K$26:$K$65,0),2),""))</f>
        <v/>
      </c>
      <c r="BP212" s="195"/>
      <c r="BS212" s="692" t="s">
        <v>1828</v>
      </c>
    </row>
    <row r="213" spans="1:75" ht="45" customHeight="1">
      <c r="C213" s="25"/>
      <c r="D213" s="25"/>
      <c r="E213" s="449">
        <v>15</v>
      </c>
      <c r="F213" s="3" t="str" cm="1">
        <f t="array" aca="1" ref="F213" ca="1">OFFSET(E213,-1,1)</f>
        <v>1</v>
      </c>
      <c r="G213" s="569" t="s">
        <v>1238</v>
      </c>
      <c r="H213" s="575"/>
      <c r="I213" s="575" t="s">
        <v>2024</v>
      </c>
      <c r="J213" s="25"/>
      <c r="K213" s="276" t="s">
        <v>2024</v>
      </c>
      <c r="L213" s="25" t="s">
        <v>1222</v>
      </c>
      <c r="M213" s="25"/>
      <c r="N213" s="25"/>
      <c r="O213" s="25"/>
      <c r="P213" s="25"/>
      <c r="Q213" s="25"/>
      <c r="R213" s="25"/>
      <c r="S213" s="25"/>
      <c r="T213" s="351" t="b" cm="1">
        <f t="array" ref="T213">T212</f>
        <v>1</v>
      </c>
      <c r="U213" s="25"/>
      <c r="V213" s="25"/>
      <c r="W213" s="25"/>
      <c r="X213" s="1046"/>
      <c r="Z213" s="1008"/>
      <c r="AB213" s="7" t="s">
        <v>2025</v>
      </c>
      <c r="AC213" s="134" t="s">
        <v>2026</v>
      </c>
      <c r="AD213" s="7" t="s">
        <v>859</v>
      </c>
      <c r="AE213" s="170">
        <f ca="1">SUMIFS(Административные!AE$25:AE$65,Административные!$F$25:$F$65,$F213,Административные!$G$25:$G$65,$G213)</f>
        <v>125.45</v>
      </c>
      <c r="AF213" s="170">
        <f ca="1">SUMIFS(Административные!AF$25:AF$65,Административные!$F$25:$F$65,$F213,Административные!$G$25:$G$65,$G213)</f>
        <v>281.29000000000002</v>
      </c>
      <c r="AG213" s="170">
        <f ca="1">SUMIFS(Административные!AG$25:AG$65,Административные!$F$25:$F$65,$F213,Административные!$G$25:$G$65,$G213)</f>
        <v>281.29000000000002</v>
      </c>
      <c r="AH213" s="170">
        <f t="shared" ca="1" si="53"/>
        <v>0</v>
      </c>
      <c r="AI213" s="170">
        <f ca="1">SUMIFS(Административные!AH$25:AH$65,Административные!$F$25:$F$65,$F213,Административные!$G$25:$G$65,$G213)</f>
        <v>672.22</v>
      </c>
      <c r="AJ213" s="170">
        <f ca="1">SUMIFS(Административные!AI$25:AI$65,Административные!$F$25:$F$65,$F213,Административные!$G$25:$G$65,$G213)</f>
        <v>2273.7000000000003</v>
      </c>
      <c r="AK213" s="540"/>
      <c r="AL213" s="540"/>
      <c r="AM213" s="540"/>
      <c r="AN213" s="540"/>
      <c r="AO213" s="540"/>
      <c r="AP213" s="540"/>
      <c r="AQ213" s="540"/>
      <c r="AR213" s="540"/>
      <c r="AS213" s="540"/>
      <c r="AT213" s="170">
        <f ca="1">SUMIFS(Административные!AJ$25:AJ$65,Административные!$F$25:$F$65,$F213,Административные!$G$25:$G$65,$G213)</f>
        <v>1698.55</v>
      </c>
      <c r="AU213" s="540"/>
      <c r="AV213" s="540"/>
      <c r="AW213" s="540"/>
      <c r="AX213" s="540"/>
      <c r="AY213" s="540"/>
      <c r="AZ213" s="540"/>
      <c r="BA213" s="540"/>
      <c r="BB213" s="540"/>
      <c r="BC213" s="540"/>
      <c r="BD213" s="170">
        <f t="shared" ca="1" si="54"/>
        <v>152.67769480229686</v>
      </c>
      <c r="BE213" s="540"/>
      <c r="BF213" s="540"/>
      <c r="BG213" s="540"/>
      <c r="BH213" s="540"/>
      <c r="BI213" s="540"/>
      <c r="BJ213" s="540"/>
      <c r="BK213" s="540"/>
      <c r="BL213" s="540"/>
      <c r="BM213" s="540"/>
      <c r="BN213" s="195"/>
      <c r="BO213" s="599" t="s">
        <v>1253</v>
      </c>
      <c r="BP213" s="195" t="s">
        <v>2244</v>
      </c>
      <c r="BS213" s="692" t="s">
        <v>1830</v>
      </c>
    </row>
    <row r="214" spans="1:75" ht="32.1" customHeight="1">
      <c r="C214" s="25"/>
      <c r="D214" s="25"/>
      <c r="E214" s="449">
        <v>15</v>
      </c>
      <c r="F214" s="3" t="str" cm="1">
        <f t="array" aca="1" ref="F214" ca="1">OFFSET(E214,-1,1)</f>
        <v>1</v>
      </c>
      <c r="G214" s="569" t="s">
        <v>1240</v>
      </c>
      <c r="H214" s="575"/>
      <c r="I214" s="575" t="s">
        <v>2027</v>
      </c>
      <c r="J214" s="25"/>
      <c r="K214" s="276" t="s">
        <v>2027</v>
      </c>
      <c r="L214" s="25" t="s">
        <v>1831</v>
      </c>
      <c r="M214" s="25"/>
      <c r="N214" s="25"/>
      <c r="O214" s="25"/>
      <c r="P214" s="25"/>
      <c r="Q214" s="25"/>
      <c r="R214" s="25"/>
      <c r="S214" s="25"/>
      <c r="T214" s="351" t="b" cm="1">
        <f t="array" ref="T214">T213</f>
        <v>1</v>
      </c>
      <c r="U214" s="25"/>
      <c r="V214" s="25"/>
      <c r="W214" s="25"/>
      <c r="X214" s="1046"/>
      <c r="Z214" s="1008"/>
      <c r="AB214" s="7" t="s">
        <v>2028</v>
      </c>
      <c r="AC214" s="541" t="s">
        <v>1833</v>
      </c>
      <c r="AD214" s="7" t="s">
        <v>859</v>
      </c>
      <c r="AE214" s="170">
        <f ca="1">SUMIFS(Административные!AE$25:AE$65,Административные!$F$25:$F$65,$F214,Административные!$G$25:$G$65,$G214)</f>
        <v>0</v>
      </c>
      <c r="AF214" s="170">
        <f ca="1">SUMIFS(Административные!AF$25:AF$65,Административные!$F$25:$F$65,$F214,Административные!$G$25:$G$65,$G214)</f>
        <v>0</v>
      </c>
      <c r="AG214" s="170">
        <f ca="1">SUMIFS(Административные!AG$25:AG$65,Административные!$F$25:$F$65,$F214,Административные!$G$25:$G$65,$G214)</f>
        <v>0</v>
      </c>
      <c r="AH214" s="170">
        <f t="shared" ca="1" si="53"/>
        <v>0</v>
      </c>
      <c r="AI214" s="170">
        <f ca="1">SUMIFS(Административные!AH$25:AH$65,Административные!$F$25:$F$65,$F214,Административные!$G$25:$G$65,$G214)</f>
        <v>0</v>
      </c>
      <c r="AJ214" s="170">
        <f ca="1">SUMIFS(Административные!AI$25:AI$65,Административные!$F$25:$F$65,$F214,Административные!$G$25:$G$65,$G214)</f>
        <v>0</v>
      </c>
      <c r="AK214" s="540"/>
      <c r="AL214" s="540"/>
      <c r="AM214" s="540"/>
      <c r="AN214" s="540"/>
      <c r="AO214" s="540"/>
      <c r="AP214" s="540"/>
      <c r="AQ214" s="540"/>
      <c r="AR214" s="540"/>
      <c r="AS214" s="540"/>
      <c r="AT214" s="170">
        <f ca="1">SUMIFS(Административные!AJ$25:AJ$65,Административные!$F$25:$F$65,$F214,Административные!$G$25:$G$65,$G214)</f>
        <v>0</v>
      </c>
      <c r="AU214" s="540"/>
      <c r="AV214" s="540"/>
      <c r="AW214" s="540"/>
      <c r="AX214" s="540"/>
      <c r="AY214" s="540"/>
      <c r="AZ214" s="540"/>
      <c r="BA214" s="540"/>
      <c r="BB214" s="540"/>
      <c r="BC214" s="540"/>
      <c r="BD214" s="170">
        <f t="shared" ca="1" si="54"/>
        <v>0</v>
      </c>
      <c r="BE214" s="540"/>
      <c r="BF214" s="540"/>
      <c r="BG214" s="540"/>
      <c r="BH214" s="540"/>
      <c r="BI214" s="540"/>
      <c r="BJ214" s="540"/>
      <c r="BK214" s="540"/>
      <c r="BL214" s="540"/>
      <c r="BM214" s="540"/>
      <c r="BN214" s="195"/>
      <c r="BO214" s="599" t="str">
        <f ca="1">IF(IFERROR(INDEX(Административные!$K$26:$L$65,MATCH($F214&amp;"7komm",Административные!$K$26:$K$65,0),2),"")=0,"",IFERROR(INDEX(Административные!$K$26:$L$65,MATCH($F214&amp;"7komm",Административные!$K$26:$K$65,0),2),""))</f>
        <v/>
      </c>
      <c r="BP214" s="195"/>
      <c r="BS214" s="692" t="s">
        <v>1834</v>
      </c>
    </row>
    <row r="215" spans="1:75" ht="39.6" customHeight="1">
      <c r="C215" s="25"/>
      <c r="D215" s="25"/>
      <c r="E215" s="449">
        <v>15</v>
      </c>
      <c r="F215" s="3" t="str" cm="1">
        <f t="array" aca="1" ref="F215" ca="1">OFFSET(E215,-1,1)</f>
        <v>1</v>
      </c>
      <c r="G215" s="569" t="s">
        <v>1243</v>
      </c>
      <c r="H215" s="575"/>
      <c r="I215" s="575" t="s">
        <v>2029</v>
      </c>
      <c r="J215" s="25"/>
      <c r="K215" s="276" t="s">
        <v>2029</v>
      </c>
      <c r="L215" s="25" t="s">
        <v>1835</v>
      </c>
      <c r="M215" s="25"/>
      <c r="N215" s="25"/>
      <c r="O215" s="25"/>
      <c r="P215" s="25"/>
      <c r="Q215" s="25"/>
      <c r="R215" s="25"/>
      <c r="S215" s="25"/>
      <c r="T215" s="351" t="b" cm="1">
        <f t="array" ref="T215">T214</f>
        <v>1</v>
      </c>
      <c r="U215" s="25"/>
      <c r="V215" s="25"/>
      <c r="W215" s="25"/>
      <c r="X215" s="1046"/>
      <c r="Z215" s="1008"/>
      <c r="AB215" s="7" t="s">
        <v>2030</v>
      </c>
      <c r="AC215" s="541" t="s">
        <v>1244</v>
      </c>
      <c r="AD215" s="7" t="s">
        <v>859</v>
      </c>
      <c r="AE215" s="170">
        <f ca="1">SUMIFS(Административные!AE$25:AE$65,Административные!$F$25:$F$65,$F215,Административные!$G$25:$G$65,$G215)</f>
        <v>0</v>
      </c>
      <c r="AF215" s="170">
        <f ca="1">SUMIFS(Административные!AF$25:AF$65,Административные!$F$25:$F$65,$F215,Административные!$G$25:$G$65,$G215)</f>
        <v>0</v>
      </c>
      <c r="AG215" s="170">
        <f ca="1">SUMIFS(Административные!AG$25:AG$65,Административные!$F$25:$F$65,$F215,Административные!$G$25:$G$65,$G215)</f>
        <v>0</v>
      </c>
      <c r="AH215" s="170">
        <f t="shared" ca="1" si="53"/>
        <v>0</v>
      </c>
      <c r="AI215" s="170">
        <f ca="1">SUMIFS(Административные!AH$25:AH$65,Административные!$F$25:$F$65,$F215,Административные!$G$25:$G$65,$G215)</f>
        <v>0</v>
      </c>
      <c r="AJ215" s="170">
        <f ca="1">SUMIFS(Административные!AI$25:AI$65,Административные!$F$25:$F$65,$F215,Административные!$G$25:$G$65,$G215)</f>
        <v>0</v>
      </c>
      <c r="AK215" s="540"/>
      <c r="AL215" s="540"/>
      <c r="AM215" s="540"/>
      <c r="AN215" s="540"/>
      <c r="AO215" s="540"/>
      <c r="AP215" s="540"/>
      <c r="AQ215" s="540"/>
      <c r="AR215" s="540"/>
      <c r="AS215" s="540"/>
      <c r="AT215" s="170">
        <f ca="1">SUMIFS(Административные!AJ$25:AJ$65,Административные!$F$25:$F$65,$F215,Административные!$G$25:$G$65,$G215)</f>
        <v>0</v>
      </c>
      <c r="AU215" s="540"/>
      <c r="AV215" s="540"/>
      <c r="AW215" s="540"/>
      <c r="AX215" s="540"/>
      <c r="AY215" s="540"/>
      <c r="AZ215" s="540"/>
      <c r="BA215" s="540"/>
      <c r="BB215" s="540"/>
      <c r="BC215" s="540"/>
      <c r="BD215" s="170">
        <f t="shared" ca="1" si="54"/>
        <v>0</v>
      </c>
      <c r="BE215" s="540"/>
      <c r="BF215" s="540"/>
      <c r="BG215" s="540"/>
      <c r="BH215" s="540"/>
      <c r="BI215" s="540"/>
      <c r="BJ215" s="540"/>
      <c r="BK215" s="540"/>
      <c r="BL215" s="540"/>
      <c r="BM215" s="540"/>
      <c r="BN215" s="195"/>
      <c r="BO215" s="599" t="str">
        <f ca="1">IF(IFERROR(INDEX(Административные!$K$26:$L$65,MATCH($F215&amp;"8komm",Административные!$K$26:$K$65,0),2),"")=0,"",IFERROR(INDEX(Административные!$K$26:$L$65,MATCH($F215&amp;"8komm",Административные!$K$26:$K$65,0),2),""))</f>
        <v/>
      </c>
      <c r="BP215" s="195"/>
      <c r="BS215" s="692" t="s">
        <v>1837</v>
      </c>
    </row>
    <row r="216" spans="1:75" ht="41.25" customHeight="1">
      <c r="C216" s="25"/>
      <c r="D216" s="25"/>
      <c r="E216" s="449">
        <v>15</v>
      </c>
      <c r="F216" s="3" t="str" cm="1">
        <f t="array" aca="1" ref="F216" ca="1">OFFSET(E216,-1,1)</f>
        <v>1</v>
      </c>
      <c r="G216" s="25" t="s">
        <v>1246</v>
      </c>
      <c r="H216" s="575"/>
      <c r="I216" s="575" t="s">
        <v>2031</v>
      </c>
      <c r="J216" s="25"/>
      <c r="K216" s="276" t="s">
        <v>2031</v>
      </c>
      <c r="L216" s="25" t="s">
        <v>1838</v>
      </c>
      <c r="M216" s="25"/>
      <c r="N216" s="25"/>
      <c r="O216" s="25"/>
      <c r="P216" s="25"/>
      <c r="Q216" s="25"/>
      <c r="R216" s="25"/>
      <c r="S216" s="25"/>
      <c r="T216" s="351" t="b" cm="1">
        <f t="array" ref="T216">T215</f>
        <v>1</v>
      </c>
      <c r="U216" s="25"/>
      <c r="V216" s="25"/>
      <c r="W216" s="25"/>
      <c r="X216" s="1046"/>
      <c r="Z216" s="1008"/>
      <c r="AB216" s="7" t="s">
        <v>2032</v>
      </c>
      <c r="AC216" s="541" t="s">
        <v>1247</v>
      </c>
      <c r="AD216" s="7" t="s">
        <v>859</v>
      </c>
      <c r="AE216" s="170">
        <f ca="1">SUMIFS(Административные!AE$25:AE$65,Административные!$F$25:$F$65,$F216,Административные!$G$25:$G$65,$G216)</f>
        <v>125.45</v>
      </c>
      <c r="AF216" s="170">
        <f ca="1">SUMIFS(Административные!AF$25:AF$65,Административные!$F$25:$F$65,$F216,Административные!$G$25:$G$65,$G216)</f>
        <v>281.29000000000002</v>
      </c>
      <c r="AG216" s="170">
        <f ca="1">SUMIFS(Административные!AG$25:AG$65,Административные!$F$25:$F$65,$F216,Административные!$G$25:$G$65,$G216)</f>
        <v>281.29000000000002</v>
      </c>
      <c r="AH216" s="170">
        <f t="shared" ca="1" si="53"/>
        <v>0</v>
      </c>
      <c r="AI216" s="170">
        <f ca="1">SUMIFS(Административные!AH$25:AH$65,Административные!$F$25:$F$65,$F216,Административные!$G$25:$G$65,$G216)</f>
        <v>672.22</v>
      </c>
      <c r="AJ216" s="170">
        <f ca="1">SUMIFS(Административные!AI$25:AI$65,Административные!$F$25:$F$65,$F216,Административные!$G$25:$G$65,$G216)</f>
        <v>2273.7000000000003</v>
      </c>
      <c r="AK216" s="540"/>
      <c r="AL216" s="540"/>
      <c r="AM216" s="540"/>
      <c r="AN216" s="540"/>
      <c r="AO216" s="540"/>
      <c r="AP216" s="540"/>
      <c r="AQ216" s="540"/>
      <c r="AR216" s="540"/>
      <c r="AS216" s="540"/>
      <c r="AT216" s="170">
        <f ca="1">SUMIFS(Административные!AJ$25:AJ$65,Административные!$F$25:$F$65,$F216,Административные!$G$25:$G$65,$G216)</f>
        <v>1698.55</v>
      </c>
      <c r="AU216" s="540"/>
      <c r="AV216" s="540"/>
      <c r="AW216" s="540"/>
      <c r="AX216" s="540"/>
      <c r="AY216" s="540"/>
      <c r="AZ216" s="540"/>
      <c r="BA216" s="540"/>
      <c r="BB216" s="540"/>
      <c r="BC216" s="540"/>
      <c r="BD216" s="170">
        <f t="shared" ca="1" si="54"/>
        <v>152.67769480229686</v>
      </c>
      <c r="BE216" s="540"/>
      <c r="BF216" s="540"/>
      <c r="BG216" s="540"/>
      <c r="BH216" s="540"/>
      <c r="BI216" s="540"/>
      <c r="BJ216" s="540"/>
      <c r="BK216" s="540"/>
      <c r="BL216" s="540"/>
      <c r="BM216" s="540"/>
      <c r="BN216" s="195"/>
      <c r="BO216" s="599" t="str">
        <f ca="1">IF(IFERROR(INDEX(Административные!$K$26:$L$65,MATCH($F216&amp;"9komm",Административные!$K$26:$K$65,0),2),"")=0,"",IFERROR(INDEX(Административные!$K$26:$L$65,MATCH($F216&amp;"9komm",Административные!$K$26:$K$65,0),2),""))</f>
        <v>П. 25 (1) , п. 25 (4) - 25 (7) Методических указаний  № 1746-э.</v>
      </c>
      <c r="BP216" s="195" t="s">
        <v>2244</v>
      </c>
      <c r="BS216" s="692" t="s">
        <v>1840</v>
      </c>
    </row>
    <row r="217" spans="1:75" ht="56.25" customHeight="1">
      <c r="B217" s="328" t="b">
        <f>STATUS_GO="да"</f>
        <v>1</v>
      </c>
      <c r="C217" s="25"/>
      <c r="D217" s="25"/>
      <c r="E217" s="449">
        <v>22.5</v>
      </c>
      <c r="F217" s="3" t="str" cm="1">
        <f t="array" aca="1" ref="F217" ca="1">OFFSET(E217,-1,1)</f>
        <v>1</v>
      </c>
      <c r="G217" s="25"/>
      <c r="H217" s="575"/>
      <c r="I217" s="575" t="s">
        <v>948</v>
      </c>
      <c r="J217" s="25"/>
      <c r="K217" s="276" t="s">
        <v>948</v>
      </c>
      <c r="L217" s="25" t="s">
        <v>325</v>
      </c>
      <c r="M217" s="25"/>
      <c r="N217" s="25"/>
      <c r="O217" s="25"/>
      <c r="P217" s="25"/>
      <c r="Q217" s="25"/>
      <c r="R217" s="25"/>
      <c r="S217" s="25"/>
      <c r="T217" s="351" t="b" cm="1">
        <f t="array" ref="T217">T216</f>
        <v>1</v>
      </c>
      <c r="U217" s="25"/>
      <c r="V217" s="25"/>
      <c r="W217" s="25"/>
      <c r="X217" s="1046"/>
      <c r="Z217" s="1008"/>
      <c r="AB217" s="7" t="s">
        <v>949</v>
      </c>
      <c r="AC217" s="127" t="s">
        <v>2033</v>
      </c>
      <c r="AD217" s="7" t="s">
        <v>859</v>
      </c>
      <c r="AE217" s="170">
        <f ca="1">SUMIFS('Сбытовые расходы ГО'!AE$25:AE$51,'Сбытовые расходы ГО'!$F$25:$F$51,$F217,'Сбытовые расходы ГО'!$G$25:$G$51,"L0")-SUMIFS('Сбытовые расходы ГО'!AE$25:AE$51,'Сбытовые расходы ГО'!$F$25:$F$51,$F217,'Сбытовые расходы ГО'!$G$25:$G$51,"L1")</f>
        <v>0</v>
      </c>
      <c r="AF217" s="170">
        <f ca="1">SUMIFS('Сбытовые расходы ГО'!AF$25:AF$51,'Сбытовые расходы ГО'!$F$25:$F$51,$F217,'Сбытовые расходы ГО'!$G$25:$G$51,"L0")-SUMIFS('Сбытовые расходы ГО'!AF$25:AF$51,'Сбытовые расходы ГО'!$F$25:$F$51,$F217,'Сбытовые расходы ГО'!$G$25:$G$51,"L1")</f>
        <v>985.8</v>
      </c>
      <c r="AG217" s="170">
        <f ca="1">SUMIFS('Сбытовые расходы ГО'!AG$25:AG$51,'Сбытовые расходы ГО'!$F$25:$F$51,$F217,'Сбытовые расходы ГО'!$G$25:$G$51,"L0")-SUMIFS('Сбытовые расходы ГО'!AG$25:AG$51,'Сбытовые расходы ГО'!$F$25:$F$51,$F217,'Сбытовые расходы ГО'!$G$25:$G$51,"L1")</f>
        <v>985.8</v>
      </c>
      <c r="AH217" s="170">
        <f t="shared" ca="1" si="53"/>
        <v>0</v>
      </c>
      <c r="AI217" s="170">
        <f ca="1">SUMIFS('Сбытовые расходы ГО'!AH$25:AH$51,'Сбытовые расходы ГО'!$F$25:$F$51,$F217,'Сбытовые расходы ГО'!$G$25:$G$51,"L0")-SUMIFS('Сбытовые расходы ГО'!AH$25:AH$51,'Сбытовые расходы ГО'!$F$25:$F$51,$F217,'Сбытовые расходы ГО'!$G$25:$G$51,"L1")</f>
        <v>2685</v>
      </c>
      <c r="AJ217" s="170">
        <f ca="1">SUMIFS('Сбытовые расходы ГО'!AI$25:AI$51,'Сбытовые расходы ГО'!$F$25:$F$51,$F217,'Сбытовые расходы ГО'!$G$25:$G$51,"L0")-SUMIFS('Сбытовые расходы ГО'!AI$25:AI$51,'Сбытовые расходы ГО'!$F$25:$F$51,$F217,'Сбытовые расходы ГО'!$G$25:$G$51,"L1")</f>
        <v>2418.2399999999998</v>
      </c>
      <c r="AK217" s="540"/>
      <c r="AL217" s="540"/>
      <c r="AM217" s="540"/>
      <c r="AN217" s="540"/>
      <c r="AO217" s="540"/>
      <c r="AP217" s="540"/>
      <c r="AQ217" s="540"/>
      <c r="AR217" s="540"/>
      <c r="AS217" s="540"/>
      <c r="AT217" s="170">
        <f ca="1">SUMIFS('Сбытовые расходы ГО'!AJ$25:AJ$51,'Сбытовые расходы ГО'!$F$25:$F$51,$F217,'Сбытовые расходы ГО'!$G$25:$G$51,"L0")-SUMIFS('Сбытовые расходы ГО'!AJ$25:AJ$51,'Сбытовые расходы ГО'!$F$25:$F$51,$F217,'Сбытовые расходы ГО'!$G$25:$G$51,"L1")</f>
        <v>2418.2399999999998</v>
      </c>
      <c r="AU217" s="540"/>
      <c r="AV217" s="540"/>
      <c r="AW217" s="540"/>
      <c r="AX217" s="540"/>
      <c r="AY217" s="540"/>
      <c r="AZ217" s="540"/>
      <c r="BA217" s="540"/>
      <c r="BB217" s="540"/>
      <c r="BC217" s="540"/>
      <c r="BD217" s="170">
        <f t="shared" ca="1" si="54"/>
        <v>-9.9351955307262649</v>
      </c>
      <c r="BE217" s="540"/>
      <c r="BF217" s="540"/>
      <c r="BG217" s="540"/>
      <c r="BH217" s="540"/>
      <c r="BI217" s="540"/>
      <c r="BJ217" s="540"/>
      <c r="BK217" s="540"/>
      <c r="BL217" s="540"/>
      <c r="BM217" s="540"/>
      <c r="BN217" s="195"/>
      <c r="BO217" s="195" t="s">
        <v>2248</v>
      </c>
      <c r="BP217" s="195" t="s">
        <v>2249</v>
      </c>
      <c r="BS217" s="693" t="s">
        <v>1842</v>
      </c>
    </row>
    <row r="218" spans="1:75" ht="35.85" customHeight="1">
      <c r="C218" s="25"/>
      <c r="D218" s="25"/>
      <c r="E218" s="449">
        <v>15</v>
      </c>
      <c r="F218" s="3" t="str" cm="1">
        <f t="array" aca="1" ref="F218" ca="1">OFFSET(E218,-1,1)</f>
        <v>1</v>
      </c>
      <c r="G218" s="25"/>
      <c r="H218" s="575"/>
      <c r="I218" s="575" t="s">
        <v>1780</v>
      </c>
      <c r="J218" s="25"/>
      <c r="K218" s="276" t="s">
        <v>1780</v>
      </c>
      <c r="L218" s="25"/>
      <c r="M218" s="25"/>
      <c r="N218" s="25"/>
      <c r="O218" s="25"/>
      <c r="P218" s="25"/>
      <c r="Q218" s="25"/>
      <c r="R218" s="25"/>
      <c r="S218" s="25"/>
      <c r="T218" s="351" t="b" cm="1">
        <f t="array" ref="T218">T217</f>
        <v>1</v>
      </c>
      <c r="U218" s="25"/>
      <c r="V218" s="25"/>
      <c r="W218" s="25"/>
      <c r="X218" s="1046"/>
      <c r="Z218" s="1008"/>
      <c r="AB218" s="7" t="s">
        <v>1781</v>
      </c>
      <c r="AC218" s="127" t="s">
        <v>2034</v>
      </c>
      <c r="AD218" s="7" t="s">
        <v>859</v>
      </c>
      <c r="AE218" s="128"/>
      <c r="AF218" s="128"/>
      <c r="AG218" s="128"/>
      <c r="AH218" s="170">
        <f t="shared" si="53"/>
        <v>0</v>
      </c>
      <c r="AI218" s="128"/>
      <c r="AJ218" s="128"/>
      <c r="AK218" s="540"/>
      <c r="AL218" s="540"/>
      <c r="AM218" s="540"/>
      <c r="AN218" s="540"/>
      <c r="AO218" s="540"/>
      <c r="AP218" s="540"/>
      <c r="AQ218" s="540"/>
      <c r="AR218" s="540"/>
      <c r="AS218" s="540"/>
      <c r="AT218" s="128"/>
      <c r="AU218" s="540"/>
      <c r="AV218" s="540"/>
      <c r="AW218" s="540"/>
      <c r="AX218" s="540"/>
      <c r="AY218" s="540"/>
      <c r="AZ218" s="540"/>
      <c r="BA218" s="540"/>
      <c r="BB218" s="540"/>
      <c r="BC218" s="540"/>
      <c r="BD218" s="170">
        <f t="shared" si="54"/>
        <v>0</v>
      </c>
      <c r="BE218" s="540"/>
      <c r="BF218" s="540"/>
      <c r="BG218" s="540"/>
      <c r="BH218" s="540"/>
      <c r="BI218" s="540"/>
      <c r="BJ218" s="540"/>
      <c r="BK218" s="540"/>
      <c r="BL218" s="540"/>
      <c r="BM218" s="540"/>
      <c r="BN218" s="195"/>
      <c r="BO218" s="195"/>
      <c r="BP218" s="195"/>
      <c r="BS218" s="694" t="s">
        <v>2035</v>
      </c>
    </row>
    <row r="219" spans="1:75" s="903" customFormat="1" ht="47.1" customHeight="1">
      <c r="A219" s="76"/>
      <c r="B219" s="331"/>
      <c r="C219" s="27"/>
      <c r="D219" s="27"/>
      <c r="E219" s="557">
        <v>21</v>
      </c>
      <c r="F219" s="3" t="str" cm="1">
        <f t="array" aca="1" ref="F219" ca="1">OFFSET(E219,-1,1)</f>
        <v>1</v>
      </c>
      <c r="G219" s="27"/>
      <c r="H219" s="575"/>
      <c r="I219" s="575" t="s">
        <v>1784</v>
      </c>
      <c r="J219" s="27"/>
      <c r="K219" s="276" t="s">
        <v>1784</v>
      </c>
      <c r="L219" s="27"/>
      <c r="M219" s="27"/>
      <c r="N219" s="27"/>
      <c r="O219" s="27"/>
      <c r="P219" s="27"/>
      <c r="Q219" s="27"/>
      <c r="R219" s="27"/>
      <c r="S219" s="27"/>
      <c r="T219" s="351" t="b">
        <f ca="1">AND(F219&gt;0,method_reg="Метод индексации")</f>
        <v>1</v>
      </c>
      <c r="U219" s="27"/>
      <c r="V219" s="27"/>
      <c r="W219" s="27"/>
      <c r="X219" s="1046"/>
      <c r="Y219" s="76"/>
      <c r="Z219" s="1008"/>
      <c r="AA219" s="76"/>
      <c r="AB219" s="124" t="s">
        <v>1785</v>
      </c>
      <c r="AC219" s="262" t="s">
        <v>2036</v>
      </c>
      <c r="AD219" s="124" t="s">
        <v>859</v>
      </c>
      <c r="AE219" s="126">
        <f>SUM(AE220:AE221)</f>
        <v>0</v>
      </c>
      <c r="AF219" s="126">
        <f>SUM(AF220:AF221)</f>
        <v>0</v>
      </c>
      <c r="AG219" s="126">
        <f>SUM(AG220:AG221)</f>
        <v>0</v>
      </c>
      <c r="AH219" s="126">
        <f t="shared" si="53"/>
        <v>0</v>
      </c>
      <c r="AI219" s="126">
        <f>SUM(AI220:AI221)</f>
        <v>0</v>
      </c>
      <c r="AJ219" s="126">
        <f>SUM(AJ220:AJ221)</f>
        <v>0</v>
      </c>
      <c r="AK219" s="129"/>
      <c r="AL219" s="129"/>
      <c r="AM219" s="129"/>
      <c r="AN219" s="129"/>
      <c r="AO219" s="129"/>
      <c r="AP219" s="129"/>
      <c r="AQ219" s="129"/>
      <c r="AR219" s="129"/>
      <c r="AS219" s="129"/>
      <c r="AT219" s="126">
        <f>SUM(AT220:AT221)</f>
        <v>0</v>
      </c>
      <c r="AU219" s="129"/>
      <c r="AV219" s="129"/>
      <c r="AW219" s="129"/>
      <c r="AX219" s="129"/>
      <c r="AY219" s="129"/>
      <c r="AZ219" s="129"/>
      <c r="BA219" s="129"/>
      <c r="BB219" s="129"/>
      <c r="BC219" s="129"/>
      <c r="BD219" s="126">
        <f t="shared" si="54"/>
        <v>0</v>
      </c>
      <c r="BE219" s="129"/>
      <c r="BF219" s="129"/>
      <c r="BG219" s="129"/>
      <c r="BH219" s="129"/>
      <c r="BI219" s="129"/>
      <c r="BJ219" s="129"/>
      <c r="BK219" s="129"/>
      <c r="BL219" s="129"/>
      <c r="BM219" s="129"/>
      <c r="BN219" s="554"/>
      <c r="BO219" s="554"/>
      <c r="BP219" s="554"/>
      <c r="BQ219" s="76"/>
      <c r="BR219" s="76"/>
      <c r="BS219" s="700" t="s">
        <v>2037</v>
      </c>
      <c r="BT219" s="700"/>
      <c r="BU219" s="700"/>
      <c r="BV219" s="509"/>
      <c r="BW219" s="509"/>
    </row>
    <row r="220" spans="1:75" ht="14.25" hidden="1" customHeight="1">
      <c r="B220" s="328" t="b">
        <f>method_reg="Метод индексации"</f>
        <v>1</v>
      </c>
      <c r="C220" s="25"/>
      <c r="D220" s="25"/>
      <c r="E220" s="449">
        <v>15</v>
      </c>
      <c r="F220" s="3" t="str" cm="1">
        <f t="array" aca="1" ref="F220" ca="1">OFFSET(E220,-1,1)</f>
        <v>1</v>
      </c>
      <c r="G220" s="25"/>
      <c r="H220" s="25"/>
      <c r="I220" s="575" t="s">
        <v>1784</v>
      </c>
      <c r="J220" s="25" cm="1">
        <f t="array" ref="J220">AC220</f>
        <v>0</v>
      </c>
      <c r="K220" s="276" t="s">
        <v>1784</v>
      </c>
      <c r="L220" s="25"/>
      <c r="M220" s="25"/>
      <c r="N220" s="25"/>
      <c r="O220" s="25"/>
      <c r="P220" s="25"/>
      <c r="Q220" s="25"/>
      <c r="R220" s="25"/>
      <c r="S220" s="25"/>
      <c r="T220" s="351" t="b">
        <f ca="1">AND(F220&gt;0,Y220&gt;0)</f>
        <v>0</v>
      </c>
      <c r="U220" s="25"/>
      <c r="V220" s="25"/>
      <c r="W220" s="25" t="s">
        <v>171</v>
      </c>
      <c r="X220" s="1046"/>
      <c r="Y220" s="72">
        <v>0</v>
      </c>
      <c r="Z220" s="1008"/>
      <c r="AA220" s="319" t="s">
        <v>172</v>
      </c>
      <c r="AB220" s="7" t="str">
        <f>"1.7."&amp;Y220</f>
        <v>1.7.0</v>
      </c>
      <c r="AC220" s="779"/>
      <c r="AD220" s="7" t="s">
        <v>859</v>
      </c>
      <c r="AE220" s="777"/>
      <c r="AF220" s="777"/>
      <c r="AG220" s="777"/>
      <c r="AH220" s="170">
        <f t="shared" si="53"/>
        <v>0</v>
      </c>
      <c r="AI220" s="777"/>
      <c r="AJ220" s="128"/>
      <c r="AK220" s="540"/>
      <c r="AL220" s="540"/>
      <c r="AM220" s="540"/>
      <c r="AN220" s="540"/>
      <c r="AO220" s="540"/>
      <c r="AP220" s="540"/>
      <c r="AQ220" s="540"/>
      <c r="AR220" s="540"/>
      <c r="AS220" s="540"/>
      <c r="AT220" s="128"/>
      <c r="AU220" s="540"/>
      <c r="AV220" s="540"/>
      <c r="AW220" s="540"/>
      <c r="AX220" s="540"/>
      <c r="AY220" s="540"/>
      <c r="AZ220" s="540"/>
      <c r="BA220" s="540"/>
      <c r="BB220" s="540"/>
      <c r="BC220" s="540"/>
      <c r="BD220" s="170">
        <f t="shared" si="54"/>
        <v>0</v>
      </c>
      <c r="BE220" s="540"/>
      <c r="BF220" s="540"/>
      <c r="BG220" s="540"/>
      <c r="BH220" s="540"/>
      <c r="BI220" s="540"/>
      <c r="BJ220" s="540"/>
      <c r="BK220" s="540"/>
      <c r="BL220" s="540"/>
      <c r="BM220" s="540"/>
      <c r="BN220" s="774"/>
      <c r="BO220" s="774"/>
      <c r="BP220" s="774"/>
      <c r="BS220" s="694" t="s">
        <v>2037</v>
      </c>
      <c r="BT220" s="694" t="s">
        <v>2038</v>
      </c>
      <c r="BU220" s="694" cm="1">
        <f t="array" ref="BU220">AC220</f>
        <v>0</v>
      </c>
      <c r="BW220" s="505" t="b">
        <v>1</v>
      </c>
    </row>
    <row r="221" spans="1:75" ht="14.25" customHeight="1">
      <c r="B221" s="328" t="b" cm="1">
        <f t="array" ref="B221">B220</f>
        <v>1</v>
      </c>
      <c r="C221" s="25"/>
      <c r="D221" s="25"/>
      <c r="E221" s="449">
        <v>15</v>
      </c>
      <c r="F221" s="3" t="str" cm="1">
        <f t="array" aca="1" ref="F221" ca="1">OFFSET(E221,-1,1)</f>
        <v>1</v>
      </c>
      <c r="G221" s="360"/>
      <c r="H221" s="25"/>
      <c r="I221" s="25"/>
      <c r="J221" s="25" t="s">
        <v>2039</v>
      </c>
      <c r="L221" s="25"/>
      <c r="M221" s="25"/>
      <c r="N221" s="25"/>
      <c r="O221" s="25"/>
      <c r="P221" s="25"/>
      <c r="Q221" s="25"/>
      <c r="R221" s="25"/>
      <c r="S221" s="25"/>
      <c r="T221" s="351" t="b">
        <f ca="1">F221&gt;0</f>
        <v>1</v>
      </c>
      <c r="U221" s="25"/>
      <c r="V221" s="25"/>
      <c r="W221" s="504" t="s">
        <v>388</v>
      </c>
      <c r="X221" s="1046"/>
      <c r="Z221" s="1008"/>
      <c r="AB221" s="587"/>
      <c r="AC221" s="171" t="s">
        <v>175</v>
      </c>
      <c r="AD221" s="545"/>
      <c r="AE221" s="545"/>
      <c r="AF221" s="545"/>
      <c r="AG221" s="545"/>
      <c r="AH221" s="545"/>
      <c r="AI221" s="545"/>
      <c r="AJ221" s="545"/>
      <c r="AK221" s="545"/>
      <c r="AL221" s="545"/>
      <c r="AM221" s="545"/>
      <c r="AN221" s="545"/>
      <c r="AO221" s="545"/>
      <c r="AP221" s="545"/>
      <c r="AQ221" s="545"/>
      <c r="AR221" s="545"/>
      <c r="AS221" s="545"/>
      <c r="AT221" s="545"/>
      <c r="AU221" s="545"/>
      <c r="AV221" s="545"/>
      <c r="AW221" s="545"/>
      <c r="AX221" s="545"/>
      <c r="AY221" s="545"/>
      <c r="AZ221" s="545"/>
      <c r="BA221" s="545"/>
      <c r="BB221" s="545"/>
      <c r="BC221" s="545"/>
      <c r="BD221" s="545"/>
      <c r="BE221" s="545"/>
      <c r="BF221" s="545"/>
      <c r="BG221" s="545"/>
      <c r="BH221" s="545"/>
      <c r="BI221" s="545"/>
      <c r="BJ221" s="545"/>
      <c r="BK221" s="545"/>
      <c r="BL221" s="545"/>
      <c r="BM221" s="545"/>
      <c r="BN221" s="545"/>
      <c r="BO221" s="545"/>
      <c r="BP221" s="546"/>
      <c r="BV221" s="505" t="s">
        <v>2038</v>
      </c>
    </row>
    <row r="222" spans="1:75" s="903" customFormat="1" ht="34.700000000000003" customHeight="1">
      <c r="A222" s="76"/>
      <c r="B222" s="331"/>
      <c r="C222" s="27"/>
      <c r="D222" s="27"/>
      <c r="E222" s="557">
        <v>21</v>
      </c>
      <c r="F222" s="3" t="str" cm="1">
        <f t="array" aca="1" ref="F222" ca="1">OFFSET(E222,-1,1)</f>
        <v>1</v>
      </c>
      <c r="G222" s="27"/>
      <c r="H222" s="25"/>
      <c r="I222" s="25" t="s">
        <v>322</v>
      </c>
      <c r="J222" s="27"/>
      <c r="K222" s="72" t="s">
        <v>322</v>
      </c>
      <c r="L222" s="27"/>
      <c r="M222" s="27"/>
      <c r="N222" s="27"/>
      <c r="O222" s="27"/>
      <c r="P222" s="27"/>
      <c r="Q222" s="27"/>
      <c r="R222" s="27"/>
      <c r="S222" s="27"/>
      <c r="T222" s="351" t="b">
        <f ca="1">F222&gt;0</f>
        <v>1</v>
      </c>
      <c r="U222" s="27"/>
      <c r="V222" s="27"/>
      <c r="W222" s="27"/>
      <c r="X222" s="1046"/>
      <c r="Y222" s="76"/>
      <c r="Z222" s="1008"/>
      <c r="AA222" s="76"/>
      <c r="AB222" s="147" t="s">
        <v>435</v>
      </c>
      <c r="AC222" s="125" t="s">
        <v>2040</v>
      </c>
      <c r="AD222" s="147" t="s">
        <v>859</v>
      </c>
      <c r="AE222" s="126">
        <f ca="1">AE223+AE235+AE236++AE247+AE248+AE249+AE251+AE252+AE253+AE254+AE257</f>
        <v>575.6</v>
      </c>
      <c r="AF222" s="126">
        <f ca="1">AF223+AF235+AF236++AF247+AF248+AF249+AF251+AF252+AF253+AF254+AF257</f>
        <v>897.95</v>
      </c>
      <c r="AG222" s="126">
        <f ca="1">AG223+AG235+AG236++AG247+AG248+AG249+AG251+AG252+AG253+AG254+AG257</f>
        <v>897.95</v>
      </c>
      <c r="AH222" s="126">
        <f t="shared" ref="AH222:AH267" ca="1" si="55">AG222-AF222</f>
        <v>0</v>
      </c>
      <c r="AI222" s="126">
        <f t="shared" ref="AI222:BC222" ca="1" si="56">AI223+AI235+AI236++AI247+AI248+AI249+AI251+AI252+AI253+AI254+AI257</f>
        <v>12789.14</v>
      </c>
      <c r="AJ222" s="126">
        <f t="shared" ca="1" si="56"/>
        <v>18299.581999999999</v>
      </c>
      <c r="AK222" s="126">
        <f t="shared" ca="1" si="56"/>
        <v>17894.1999</v>
      </c>
      <c r="AL222" s="126">
        <f t="shared" ca="1" si="56"/>
        <v>17471.07748</v>
      </c>
      <c r="AM222" s="126">
        <f t="shared" ca="1" si="56"/>
        <v>0</v>
      </c>
      <c r="AN222" s="126">
        <f t="shared" ca="1" si="56"/>
        <v>0</v>
      </c>
      <c r="AO222" s="126">
        <f t="shared" ca="1" si="56"/>
        <v>0</v>
      </c>
      <c r="AP222" s="126">
        <f t="shared" ca="1" si="56"/>
        <v>0</v>
      </c>
      <c r="AQ222" s="126">
        <f t="shared" ca="1" si="56"/>
        <v>0</v>
      </c>
      <c r="AR222" s="126">
        <f t="shared" ca="1" si="56"/>
        <v>0</v>
      </c>
      <c r="AS222" s="126">
        <f t="shared" ca="1" si="56"/>
        <v>0</v>
      </c>
      <c r="AT222" s="126">
        <f t="shared" ca="1" si="56"/>
        <v>16754</v>
      </c>
      <c r="AU222" s="126">
        <f t="shared" ca="1" si="56"/>
        <v>16358.3017</v>
      </c>
      <c r="AV222" s="126">
        <f t="shared" ca="1" si="56"/>
        <v>15931.2330033</v>
      </c>
      <c r="AW222" s="126">
        <f t="shared" ca="1" si="56"/>
        <v>0</v>
      </c>
      <c r="AX222" s="126">
        <f t="shared" ca="1" si="56"/>
        <v>0</v>
      </c>
      <c r="AY222" s="126">
        <f t="shared" ca="1" si="56"/>
        <v>0</v>
      </c>
      <c r="AZ222" s="126">
        <f t="shared" ca="1" si="56"/>
        <v>0</v>
      </c>
      <c r="BA222" s="126">
        <f t="shared" ca="1" si="56"/>
        <v>0</v>
      </c>
      <c r="BB222" s="126">
        <f t="shared" ca="1" si="56"/>
        <v>0</v>
      </c>
      <c r="BC222" s="126">
        <f t="shared" ca="1" si="56"/>
        <v>0</v>
      </c>
      <c r="BD222" s="126">
        <f t="shared" ref="BD222:BD267" ca="1" si="57">IF(AI222=0,0,(AT222-AI222)/AI222*100)</f>
        <v>31.001771815774955</v>
      </c>
      <c r="BE222" s="126">
        <f t="shared" ref="BE222:BE267" ca="1" si="58">IF(AT222=0,0,(AU222-AT222)/AT222*100)</f>
        <v>-2.3618138951892087</v>
      </c>
      <c r="BF222" s="126">
        <f t="shared" ref="BF222:BF267" ca="1" si="59">IF(AU222=0,0,(AV222-AU222)/AU222*100)</f>
        <v>-2.6107153696767931</v>
      </c>
      <c r="BG222" s="126">
        <f t="shared" ref="BG222:BG267" ca="1" si="60">IF(AV222=0,0,(AW222-AV222)/AV222*100)</f>
        <v>-100</v>
      </c>
      <c r="BH222" s="126">
        <f t="shared" ref="BH222:BH267" ca="1" si="61">IF(AW222=0,0,(AX222-AW222)/AW222*100)</f>
        <v>0</v>
      </c>
      <c r="BI222" s="126">
        <f t="shared" ref="BI222:BI267" ca="1" si="62">IF(AX222=0,0,(AY222-AX222)/AX222*100)</f>
        <v>0</v>
      </c>
      <c r="BJ222" s="126">
        <f t="shared" ref="BJ222:BJ267" ca="1" si="63">IF(AY222=0,0,(AZ222-AY222)/AY222*100)</f>
        <v>0</v>
      </c>
      <c r="BK222" s="126">
        <f t="shared" ref="BK222:BK267" ca="1" si="64">IF(AZ222=0,0,(BA222-AZ222)/AZ222*100)</f>
        <v>0</v>
      </c>
      <c r="BL222" s="126">
        <f t="shared" ref="BL222:BL267" ca="1" si="65">IF(BA222=0,0,(BB222-BA222)/BA222*100)</f>
        <v>0</v>
      </c>
      <c r="BM222" s="126">
        <f t="shared" ref="BM222:BM267" ca="1" si="66">IF(BB222=0,0,(BC222-BB222)/BB222*100)</f>
        <v>0</v>
      </c>
      <c r="BN222" s="195"/>
      <c r="BO222" s="195"/>
      <c r="BP222" s="195"/>
      <c r="BQ222" s="74"/>
      <c r="BR222" s="76"/>
      <c r="BS222" s="700" t="s">
        <v>2041</v>
      </c>
      <c r="BT222" s="700"/>
      <c r="BU222" s="700"/>
      <c r="BV222" s="509"/>
      <c r="BW222" s="509"/>
    </row>
    <row r="223" spans="1:75" s="903" customFormat="1" ht="56.45" customHeight="1">
      <c r="A223" s="76"/>
      <c r="B223" s="331"/>
      <c r="C223" s="27"/>
      <c r="D223" s="27"/>
      <c r="E223" s="557">
        <v>22.5</v>
      </c>
      <c r="F223" s="3" t="str" cm="1">
        <f t="array" aca="1" ref="F223" ca="1">OFFSET(E223,-1,1)</f>
        <v>1</v>
      </c>
      <c r="G223" s="266" t="str" cm="1">
        <f t="array" aca="1" ref="G223" ca="1">F222</f>
        <v>1</v>
      </c>
      <c r="H223" s="25"/>
      <c r="I223" s="25" t="s">
        <v>525</v>
      </c>
      <c r="J223" s="27"/>
      <c r="K223" s="72" t="s">
        <v>525</v>
      </c>
      <c r="L223" s="27" t="s">
        <v>511</v>
      </c>
      <c r="M223" s="27"/>
      <c r="N223" s="27"/>
      <c r="O223" s="27"/>
      <c r="P223" s="27"/>
      <c r="Q223" s="27"/>
      <c r="R223" s="27"/>
      <c r="S223" s="27"/>
      <c r="T223" s="351" t="b" cm="1">
        <f t="array" aca="1" ref="T223" ca="1">T222</f>
        <v>1</v>
      </c>
      <c r="U223" s="27"/>
      <c r="V223" s="27"/>
      <c r="W223" s="27"/>
      <c r="X223" s="1046"/>
      <c r="Y223" s="76"/>
      <c r="Z223" s="1008"/>
      <c r="AA223" s="76"/>
      <c r="AB223" s="124" t="s">
        <v>588</v>
      </c>
      <c r="AC223" s="262" t="s">
        <v>2042</v>
      </c>
      <c r="AD223" s="124" t="s">
        <v>859</v>
      </c>
      <c r="AE223" s="126">
        <f ca="1">SUM(AE224:AE234)</f>
        <v>1.95</v>
      </c>
      <c r="AF223" s="126">
        <f ca="1">SUM(AF224:AF234)</f>
        <v>0</v>
      </c>
      <c r="AG223" s="126">
        <f ca="1">SUM(AG224:AG234)</f>
        <v>0</v>
      </c>
      <c r="AH223" s="126">
        <f t="shared" ca="1" si="55"/>
        <v>0</v>
      </c>
      <c r="AI223" s="126">
        <f t="shared" ref="AI223:BC223" ca="1" si="67">SUM(AI224:AI234)</f>
        <v>26.25</v>
      </c>
      <c r="AJ223" s="126">
        <f t="shared" ca="1" si="67"/>
        <v>1552.3219999999999</v>
      </c>
      <c r="AK223" s="126">
        <f t="shared" ca="1" si="67"/>
        <v>1620.6899000000001</v>
      </c>
      <c r="AL223" s="126">
        <f t="shared" ca="1" si="67"/>
        <v>1664.76748</v>
      </c>
      <c r="AM223" s="126">
        <f t="shared" ca="1" si="67"/>
        <v>0</v>
      </c>
      <c r="AN223" s="126">
        <f t="shared" ca="1" si="67"/>
        <v>0</v>
      </c>
      <c r="AO223" s="126">
        <f t="shared" ca="1" si="67"/>
        <v>0</v>
      </c>
      <c r="AP223" s="126">
        <f t="shared" ca="1" si="67"/>
        <v>0</v>
      </c>
      <c r="AQ223" s="126">
        <f t="shared" ca="1" si="67"/>
        <v>0</v>
      </c>
      <c r="AR223" s="126">
        <f t="shared" ca="1" si="67"/>
        <v>0</v>
      </c>
      <c r="AS223" s="126">
        <f t="shared" ca="1" si="67"/>
        <v>0</v>
      </c>
      <c r="AT223" s="126">
        <f t="shared" ca="1" si="67"/>
        <v>1088.7</v>
      </c>
      <c r="AU223" s="126">
        <f t="shared" ca="1" si="67"/>
        <v>1187.7817</v>
      </c>
      <c r="AV223" s="126">
        <f t="shared" ca="1" si="67"/>
        <v>1245.9830033000001</v>
      </c>
      <c r="AW223" s="126">
        <f t="shared" ca="1" si="67"/>
        <v>0</v>
      </c>
      <c r="AX223" s="126">
        <f t="shared" ca="1" si="67"/>
        <v>0</v>
      </c>
      <c r="AY223" s="126">
        <f t="shared" ca="1" si="67"/>
        <v>0</v>
      </c>
      <c r="AZ223" s="126">
        <f t="shared" ca="1" si="67"/>
        <v>0</v>
      </c>
      <c r="BA223" s="126">
        <f t="shared" ca="1" si="67"/>
        <v>0</v>
      </c>
      <c r="BB223" s="126">
        <f t="shared" ca="1" si="67"/>
        <v>0</v>
      </c>
      <c r="BC223" s="126">
        <f t="shared" ca="1" si="67"/>
        <v>0</v>
      </c>
      <c r="BD223" s="126">
        <f t="shared" ca="1" si="57"/>
        <v>4047.4285714285716</v>
      </c>
      <c r="BE223" s="126">
        <f t="shared" ca="1" si="58"/>
        <v>9.1009185266831949</v>
      </c>
      <c r="BF223" s="126">
        <f t="shared" ca="1" si="59"/>
        <v>4.9000000000000048</v>
      </c>
      <c r="BG223" s="126">
        <f t="shared" ca="1" si="60"/>
        <v>-100</v>
      </c>
      <c r="BH223" s="126">
        <f t="shared" ca="1" si="61"/>
        <v>0</v>
      </c>
      <c r="BI223" s="126">
        <f t="shared" ca="1" si="62"/>
        <v>0</v>
      </c>
      <c r="BJ223" s="126">
        <f t="shared" ca="1" si="63"/>
        <v>0</v>
      </c>
      <c r="BK223" s="126">
        <f t="shared" ca="1" si="64"/>
        <v>0</v>
      </c>
      <c r="BL223" s="126">
        <f t="shared" ca="1" si="65"/>
        <v>0</v>
      </c>
      <c r="BM223" s="126">
        <f t="shared" ca="1" si="66"/>
        <v>0</v>
      </c>
      <c r="BN223" s="554"/>
      <c r="BO223" s="554" t="s">
        <v>920</v>
      </c>
      <c r="BP223" s="554"/>
      <c r="BQ223" s="76"/>
      <c r="BR223" s="76"/>
      <c r="BS223" s="700" t="s">
        <v>2043</v>
      </c>
      <c r="BT223" s="700"/>
      <c r="BU223" s="700"/>
      <c r="BV223" s="509"/>
      <c r="BW223" s="509"/>
    </row>
    <row r="224" spans="1:75" ht="41.25" customHeight="1">
      <c r="C224" s="25"/>
      <c r="D224" s="25"/>
      <c r="E224" s="449">
        <v>15</v>
      </c>
      <c r="F224" s="3" t="str" cm="1">
        <f t="array" aca="1" ref="F224" ca="1">OFFSET(E224,-1,1)</f>
        <v>1</v>
      </c>
      <c r="G224" s="25" t="s">
        <v>1114</v>
      </c>
      <c r="H224" s="25"/>
      <c r="I224" s="25" t="s">
        <v>1604</v>
      </c>
      <c r="J224" s="25"/>
      <c r="K224" s="72" t="s">
        <v>1604</v>
      </c>
      <c r="L224" s="25" t="s">
        <v>1381</v>
      </c>
      <c r="M224" s="25"/>
      <c r="N224" s="25"/>
      <c r="O224" s="25"/>
      <c r="P224" s="25"/>
      <c r="Q224" s="25"/>
      <c r="R224" s="25"/>
      <c r="S224" s="25"/>
      <c r="T224" s="351" t="b" cm="1">
        <f t="array" aca="1" ref="T224" ca="1">T223</f>
        <v>1</v>
      </c>
      <c r="U224" s="25"/>
      <c r="V224" s="25"/>
      <c r="W224" s="25"/>
      <c r="X224" s="1046"/>
      <c r="Z224" s="1008"/>
      <c r="AB224" s="7" t="s">
        <v>533</v>
      </c>
      <c r="AC224" s="134" t="s">
        <v>2044</v>
      </c>
      <c r="AD224" s="7" t="s">
        <v>859</v>
      </c>
      <c r="AE224" s="170">
        <f ca="1">SUMIFS(Покупка!AE$25:AE$87,Покупка!$F$25:$F$87,$F224,Покупка!$AC$25:$AC$87,$G224)</f>
        <v>1.95</v>
      </c>
      <c r="AF224" s="170">
        <f ca="1">SUMIFS(Покупка!AF$25:AF$87,Покупка!$F$25:$F$87,$F224,Покупка!$AC$25:$AC$87,$G224)</f>
        <v>0</v>
      </c>
      <c r="AG224" s="170">
        <f ca="1">SUMIFS(Покупка!AG$25:AG$87,Покупка!$F$25:$F$87,$F224,Покупка!$AC$25:$AC$87,$G224)</f>
        <v>0</v>
      </c>
      <c r="AH224" s="170">
        <f t="shared" ca="1" si="55"/>
        <v>0</v>
      </c>
      <c r="AI224" s="170">
        <f ca="1">SUMIFS(Покупка!AH$25:AH$87,Покупка!$F$25:$F$87,$F224,Покупка!$AC$25:$AC$87,$G224)</f>
        <v>26.25</v>
      </c>
      <c r="AJ224" s="170">
        <f ca="1">SUMIFS(Покупка!AI$25:AI$87,Покупка!$F$25:$F$87,$F224,Покупка!$AC$25:$AC$87,$G224)</f>
        <v>24.071999999999999</v>
      </c>
      <c r="AK224" s="170">
        <f ca="1">SUMIFS(Покупка!AJ$25:AJ$87,Покупка!$F$25:$F$87,$F224,Покупка!$AC$25:$AC$87,$G224)</f>
        <v>25.189900000000002</v>
      </c>
      <c r="AL224" s="170">
        <f ca="1">SUMIFS(Покупка!AK$25:AK$87,Покупка!$F$25:$F$87,$F224,Покупка!$AC$25:$AC$87,$G224)</f>
        <v>26.197479999999999</v>
      </c>
      <c r="AM224" s="170">
        <f ca="1">SUMIFS(Покупка!AL$25:AL$87,Покупка!$F$25:$F$87,$F224,Покупка!$AC$25:$AC$87,$G224)</f>
        <v>0</v>
      </c>
      <c r="AN224" s="170">
        <f ca="1">SUMIFS(Покупка!AM$25:AM$87,Покупка!$F$25:$F$87,$F224,Покупка!$AC$25:$AC$87,$G224)</f>
        <v>0</v>
      </c>
      <c r="AO224" s="170">
        <f ca="1">SUMIFS(Покупка!AN$25:AN$87,Покупка!$F$25:$F$87,$F224,Покупка!$AC$25:$AC$87,$G224)</f>
        <v>0</v>
      </c>
      <c r="AP224" s="170">
        <f ca="1">SUMIFS(Покупка!AO$25:AO$87,Покупка!$F$25:$F$87,$F224,Покупка!$AC$25:$AC$87,$G224)</f>
        <v>0</v>
      </c>
      <c r="AQ224" s="170">
        <f ca="1">SUMIFS(Покупка!AP$25:AP$87,Покупка!$F$25:$F$87,$F224,Покупка!$AC$25:$AC$87,$G224)</f>
        <v>0</v>
      </c>
      <c r="AR224" s="170">
        <f ca="1">SUMIFS(Покупка!AQ$25:AQ$87,Покупка!$F$25:$F$87,$F224,Покупка!$AC$25:$AC$87,$G224)</f>
        <v>0</v>
      </c>
      <c r="AS224" s="170">
        <f ca="1">SUMIFS(Покупка!AR$25:AR$87,Покупка!$F$25:$F$87,$F224,Покупка!$AC$25:$AC$87,$G224)</f>
        <v>0</v>
      </c>
      <c r="AT224" s="170">
        <f ca="1">SUMIFS(Покупка!AS$25:AS$87,Покупка!$F$25:$F$87,$F224,Покупка!$AC$25:$AC$87,$G224)</f>
        <v>42.67</v>
      </c>
      <c r="AU224" s="170">
        <f ca="1">SUMIFS(Покупка!AT$25:AT$87,Покупка!$F$25:$F$87,$F224,Покупка!$AC$25:$AC$87,$G224)</f>
        <v>46.552970000000002</v>
      </c>
      <c r="AV224" s="170">
        <f ca="1">SUMIFS(Покупка!AU$25:AU$87,Покупка!$F$25:$F$87,$F224,Покупка!$AC$25:$AC$87,$G224)</f>
        <v>48.834065529999997</v>
      </c>
      <c r="AW224" s="170">
        <f ca="1">SUMIFS(Покупка!AV$25:AV$87,Покупка!$F$25:$F$87,$F224,Покупка!$AC$25:$AC$87,$G224)</f>
        <v>0</v>
      </c>
      <c r="AX224" s="170">
        <f ca="1">SUMIFS(Покупка!AW$25:AW$87,Покупка!$F$25:$F$87,$F224,Покупка!$AC$25:$AC$87,$G224)</f>
        <v>0</v>
      </c>
      <c r="AY224" s="170">
        <f ca="1">SUMIFS(Покупка!AX$25:AX$87,Покупка!$F$25:$F$87,$F224,Покупка!$AC$25:$AC$87,$G224)</f>
        <v>0</v>
      </c>
      <c r="AZ224" s="170">
        <f ca="1">SUMIFS(Покупка!AY$25:AY$87,Покупка!$F$25:$F$87,$F224,Покупка!$AC$25:$AC$87,$G224)</f>
        <v>0</v>
      </c>
      <c r="BA224" s="170">
        <f ca="1">SUMIFS(Покупка!AZ$25:AZ$87,Покупка!$F$25:$F$87,$F224,Покупка!$AC$25:$AC$87,$G224)</f>
        <v>0</v>
      </c>
      <c r="BB224" s="170">
        <f ca="1">SUMIFS(Покупка!BA$25:BA$87,Покупка!$F$25:$F$87,$F224,Покупка!$AC$25:$AC$87,$G224)</f>
        <v>0</v>
      </c>
      <c r="BC224" s="170">
        <f ca="1">SUMIFS(Покупка!BB$25:BB$87,Покупка!$F$25:$F$87,$F224,Покупка!$AC$25:$AC$87,$G224)</f>
        <v>0</v>
      </c>
      <c r="BD224" s="170">
        <f t="shared" ca="1" si="57"/>
        <v>62.552380952380958</v>
      </c>
      <c r="BE224" s="170">
        <f t="shared" ca="1" si="58"/>
        <v>9.1</v>
      </c>
      <c r="BF224" s="170">
        <f t="shared" ca="1" si="59"/>
        <v>4.8999999999999888</v>
      </c>
      <c r="BG224" s="170">
        <f t="shared" ca="1" si="60"/>
        <v>-100</v>
      </c>
      <c r="BH224" s="170">
        <f t="shared" ca="1" si="61"/>
        <v>0</v>
      </c>
      <c r="BI224" s="170">
        <f t="shared" ca="1" si="62"/>
        <v>0</v>
      </c>
      <c r="BJ224" s="170">
        <f t="shared" ca="1" si="63"/>
        <v>0</v>
      </c>
      <c r="BK224" s="170">
        <f t="shared" ca="1" si="64"/>
        <v>0</v>
      </c>
      <c r="BL224" s="170">
        <f t="shared" ca="1" si="65"/>
        <v>0</v>
      </c>
      <c r="BM224" s="170">
        <f t="shared" ca="1" si="66"/>
        <v>0</v>
      </c>
      <c r="BN224" s="195"/>
      <c r="BO224" s="599" t="s">
        <v>1122</v>
      </c>
      <c r="BP224" s="195" t="s">
        <v>2250</v>
      </c>
      <c r="BS224" s="694" t="s">
        <v>1115</v>
      </c>
    </row>
    <row r="225" spans="1:75" ht="0" hidden="1" customHeight="1">
      <c r="C225" s="25"/>
      <c r="D225" s="25"/>
      <c r="E225" s="449">
        <v>15</v>
      </c>
      <c r="F225" s="3" t="str" cm="1">
        <f t="array" aca="1" ref="F225" ca="1">OFFSET(E225,-1,1)</f>
        <v>1</v>
      </c>
      <c r="G225" s="25" t="s">
        <v>1116</v>
      </c>
      <c r="H225" s="25"/>
      <c r="I225" s="25" t="s">
        <v>1608</v>
      </c>
      <c r="J225" s="25"/>
      <c r="K225" s="25" t="s">
        <v>1608</v>
      </c>
      <c r="L225" s="25" t="s">
        <v>1385</v>
      </c>
      <c r="M225" s="25"/>
      <c r="N225" s="25"/>
      <c r="O225" s="25"/>
      <c r="P225" s="25"/>
      <c r="Q225" s="25"/>
      <c r="R225" s="25"/>
      <c r="S225" s="25"/>
      <c r="T225" s="351" t="b" cm="1">
        <f t="array" aca="1" ref="T225" ca="1">T224</f>
        <v>1</v>
      </c>
      <c r="U225" s="25"/>
      <c r="V225" s="25"/>
      <c r="W225" s="25"/>
      <c r="X225" s="1046"/>
      <c r="Z225" s="1008"/>
      <c r="AB225" s="7" t="s">
        <v>2045</v>
      </c>
      <c r="AC225" s="134" t="s">
        <v>2046</v>
      </c>
      <c r="AD225" s="7" t="s">
        <v>859</v>
      </c>
      <c r="AE225" s="170">
        <f ca="1">SUMIFS(Покупка!AE$25:AE$87,Покупка!$F$25:$F$87,$F225,Покупка!$AC$25:$AC$87,$G225)</f>
        <v>0</v>
      </c>
      <c r="AF225" s="170">
        <f ca="1">SUMIFS(Покупка!AF$25:AF$87,Покупка!$F$25:$F$87,$F225,Покупка!$AC$25:$AC$87,$G225)</f>
        <v>0</v>
      </c>
      <c r="AG225" s="170">
        <f ca="1">SUMIFS(Покупка!AG$25:AG$87,Покупка!$F$25:$F$87,$F225,Покупка!$AC$25:$AC$87,$G225)</f>
        <v>0</v>
      </c>
      <c r="AH225" s="170">
        <f t="shared" ca="1" si="55"/>
        <v>0</v>
      </c>
      <c r="AI225" s="170">
        <f ca="1">SUMIFS(Покупка!AH$25:AH$87,Покупка!$F$25:$F$87,$F225,Покупка!$AC$25:$AC$87,$G225)</f>
        <v>0</v>
      </c>
      <c r="AJ225" s="170">
        <f ca="1">SUMIFS(Покупка!AI$25:AI$87,Покупка!$F$25:$F$87,$F225,Покупка!$AC$25:$AC$87,$G225)</f>
        <v>0</v>
      </c>
      <c r="AK225" s="170">
        <f ca="1">SUMIFS(Покупка!AJ$25:AJ$87,Покупка!$F$25:$F$87,$F225,Покупка!$AC$25:$AC$87,$G225)</f>
        <v>0</v>
      </c>
      <c r="AL225" s="170">
        <f ca="1">SUMIFS(Покупка!AK$25:AK$87,Покупка!$F$25:$F$87,$F225,Покупка!$AC$25:$AC$87,$G225)</f>
        <v>0</v>
      </c>
      <c r="AM225" s="170">
        <f ca="1">SUMIFS(Покупка!AL$25:AL$87,Покупка!$F$25:$F$87,$F225,Покупка!$AC$25:$AC$87,$G225)</f>
        <v>0</v>
      </c>
      <c r="AN225" s="170">
        <f ca="1">SUMIFS(Покупка!AM$25:AM$87,Покупка!$F$25:$F$87,$F225,Покупка!$AC$25:$AC$87,$G225)</f>
        <v>0</v>
      </c>
      <c r="AO225" s="170">
        <f ca="1">SUMIFS(Покупка!AN$25:AN$87,Покупка!$F$25:$F$87,$F225,Покупка!$AC$25:$AC$87,$G225)</f>
        <v>0</v>
      </c>
      <c r="AP225" s="170">
        <f ca="1">SUMIFS(Покупка!AO$25:AO$87,Покупка!$F$25:$F$87,$F225,Покупка!$AC$25:$AC$87,$G225)</f>
        <v>0</v>
      </c>
      <c r="AQ225" s="170">
        <f ca="1">SUMIFS(Покупка!AP$25:AP$87,Покупка!$F$25:$F$87,$F225,Покупка!$AC$25:$AC$87,$G225)</f>
        <v>0</v>
      </c>
      <c r="AR225" s="170">
        <f ca="1">SUMIFS(Покупка!AQ$25:AQ$87,Покупка!$F$25:$F$87,$F225,Покупка!$AC$25:$AC$87,$G225)</f>
        <v>0</v>
      </c>
      <c r="AS225" s="170">
        <f ca="1">SUMIFS(Покупка!AR$25:AR$87,Покупка!$F$25:$F$87,$F225,Покупка!$AC$25:$AC$87,$G225)</f>
        <v>0</v>
      </c>
      <c r="AT225" s="170">
        <f ca="1">SUMIFS(Покупка!AS$25:AS$87,Покупка!$F$25:$F$87,$F225,Покупка!$AC$25:$AC$87,$G225)</f>
        <v>0</v>
      </c>
      <c r="AU225" s="170">
        <f ca="1">SUMIFS(Покупка!AT$25:AT$87,Покупка!$F$25:$F$87,$F225,Покупка!$AC$25:$AC$87,$G225)</f>
        <v>0</v>
      </c>
      <c r="AV225" s="170">
        <f ca="1">SUMIFS(Покупка!AU$25:AU$87,Покупка!$F$25:$F$87,$F225,Покупка!$AC$25:$AC$87,$G225)</f>
        <v>0</v>
      </c>
      <c r="AW225" s="170">
        <f ca="1">SUMIFS(Покупка!AV$25:AV$87,Покупка!$F$25:$F$87,$F225,Покупка!$AC$25:$AC$87,$G225)</f>
        <v>0</v>
      </c>
      <c r="AX225" s="170">
        <f ca="1">SUMIFS(Покупка!AW$25:AW$87,Покупка!$F$25:$F$87,$F225,Покупка!$AC$25:$AC$87,$G225)</f>
        <v>0</v>
      </c>
      <c r="AY225" s="170">
        <f ca="1">SUMIFS(Покупка!AX$25:AX$87,Покупка!$F$25:$F$87,$F225,Покупка!$AC$25:$AC$87,$G225)</f>
        <v>0</v>
      </c>
      <c r="AZ225" s="170">
        <f ca="1">SUMIFS(Покупка!AY$25:AY$87,Покупка!$F$25:$F$87,$F225,Покупка!$AC$25:$AC$87,$G225)</f>
        <v>0</v>
      </c>
      <c r="BA225" s="170">
        <f ca="1">SUMIFS(Покупка!AZ$25:AZ$87,Покупка!$F$25:$F$87,$F225,Покупка!$AC$25:$AC$87,$G225)</f>
        <v>0</v>
      </c>
      <c r="BB225" s="170">
        <f ca="1">SUMIFS(Покупка!BA$25:BA$87,Покупка!$F$25:$F$87,$F225,Покупка!$AC$25:$AC$87,$G225)</f>
        <v>0</v>
      </c>
      <c r="BC225" s="170">
        <f ca="1">SUMIFS(Покупка!BB$25:BB$87,Покупка!$F$25:$F$87,$F225,Покупка!$AC$25:$AC$87,$G225)</f>
        <v>0</v>
      </c>
      <c r="BD225" s="170">
        <f t="shared" ca="1" si="57"/>
        <v>0</v>
      </c>
      <c r="BE225" s="170">
        <f t="shared" ca="1" si="58"/>
        <v>0</v>
      </c>
      <c r="BF225" s="170">
        <f t="shared" ca="1" si="59"/>
        <v>0</v>
      </c>
      <c r="BG225" s="170">
        <f t="shared" ca="1" si="60"/>
        <v>0</v>
      </c>
      <c r="BH225" s="170">
        <f t="shared" ca="1" si="61"/>
        <v>0</v>
      </c>
      <c r="BI225" s="170">
        <f t="shared" ca="1" si="62"/>
        <v>0</v>
      </c>
      <c r="BJ225" s="170">
        <f t="shared" ca="1" si="63"/>
        <v>0</v>
      </c>
      <c r="BK225" s="170">
        <f t="shared" ca="1" si="64"/>
        <v>0</v>
      </c>
      <c r="BL225" s="170">
        <f t="shared" ca="1" si="65"/>
        <v>0</v>
      </c>
      <c r="BM225" s="170">
        <f t="shared" ca="1" si="66"/>
        <v>0</v>
      </c>
      <c r="BN225" s="195"/>
      <c r="BO225" s="599" t="str">
        <f ca="1">IF(IFERROR(INDEX(Покупка!$K$26:$L$87,MATCH($F225&amp;"7komm",Покупка!$K$26:$K$87,0),2),"")=0,"",IFERROR(INDEX(Покупка!$K$26:$L$87,MATCH($F225&amp;"7komm",Покупка!$K$26:$K$87,0),2),""))</f>
        <v/>
      </c>
      <c r="BP225" s="195"/>
      <c r="BS225" s="694" t="s">
        <v>1117</v>
      </c>
    </row>
    <row r="226" spans="1:75" ht="0" hidden="1" customHeight="1">
      <c r="C226" s="25"/>
      <c r="D226" s="25"/>
      <c r="E226" s="449">
        <v>15</v>
      </c>
      <c r="F226" s="3" t="str" cm="1">
        <f t="array" aca="1" ref="F226" ca="1">OFFSET(E226,-1,1)</f>
        <v>1</v>
      </c>
      <c r="G226" s="25" t="s">
        <v>1091</v>
      </c>
      <c r="H226" s="25"/>
      <c r="I226" s="25" t="s">
        <v>1684</v>
      </c>
      <c r="J226" s="25"/>
      <c r="K226" s="25" t="s">
        <v>1684</v>
      </c>
      <c r="L226" s="25" t="s">
        <v>1553</v>
      </c>
      <c r="M226" s="25"/>
      <c r="N226" s="25"/>
      <c r="O226" s="25"/>
      <c r="P226" s="25"/>
      <c r="Q226" s="25"/>
      <c r="R226" s="25"/>
      <c r="S226" s="25"/>
      <c r="T226" s="351" t="b" cm="1">
        <f t="array" aca="1" ref="T226" ca="1">T225</f>
        <v>1</v>
      </c>
      <c r="U226" s="25"/>
      <c r="V226" s="25"/>
      <c r="W226" s="25"/>
      <c r="X226" s="1046"/>
      <c r="Z226" s="1008"/>
      <c r="AB226" s="7" t="s">
        <v>2047</v>
      </c>
      <c r="AC226" s="134" t="s">
        <v>2048</v>
      </c>
      <c r="AD226" s="7" t="s">
        <v>859</v>
      </c>
      <c r="AE226" s="170">
        <f ca="1">SUMIFS(Покупка!AE$25:AE$87,Покупка!$F$25:$F$87,$F226,Покупка!$AC$25:$AC$87,$G226)</f>
        <v>0</v>
      </c>
      <c r="AF226" s="170">
        <f ca="1">SUMIFS(Покупка!AF$25:AF$87,Покупка!$F$25:$F$87,$F226,Покупка!$AC$25:$AC$87,$G226)</f>
        <v>0</v>
      </c>
      <c r="AG226" s="170">
        <f ca="1">SUMIFS(Покупка!AG$25:AG$87,Покупка!$F$25:$F$87,$F226,Покупка!$AC$25:$AC$87,$G226)</f>
        <v>0</v>
      </c>
      <c r="AH226" s="170">
        <f t="shared" ca="1" si="55"/>
        <v>0</v>
      </c>
      <c r="AI226" s="170">
        <f ca="1">SUMIFS(Покупка!AH$25:AH$87,Покупка!$F$25:$F$87,$F226,Покупка!$AC$25:$AC$87,$G226)</f>
        <v>0</v>
      </c>
      <c r="AJ226" s="170">
        <f ca="1">SUMIFS(Покупка!AI$25:AI$87,Покупка!$F$25:$F$87,$F226,Покупка!$AC$25:$AC$87,$G226)</f>
        <v>0</v>
      </c>
      <c r="AK226" s="170">
        <f ca="1">SUMIFS(Покупка!AJ$25:AJ$87,Покупка!$F$25:$F$87,$F226,Покупка!$AC$25:$AC$87,$G226)</f>
        <v>0</v>
      </c>
      <c r="AL226" s="170">
        <f ca="1">SUMIFS(Покупка!AK$25:AK$87,Покупка!$F$25:$F$87,$F226,Покупка!$AC$25:$AC$87,$G226)</f>
        <v>0</v>
      </c>
      <c r="AM226" s="170">
        <f ca="1">SUMIFS(Покупка!AL$25:AL$87,Покупка!$F$25:$F$87,$F226,Покупка!$AC$25:$AC$87,$G226)</f>
        <v>0</v>
      </c>
      <c r="AN226" s="170">
        <f ca="1">SUMIFS(Покупка!AM$25:AM$87,Покупка!$F$25:$F$87,$F226,Покупка!$AC$25:$AC$87,$G226)</f>
        <v>0</v>
      </c>
      <c r="AO226" s="170">
        <f ca="1">SUMIFS(Покупка!AN$25:AN$87,Покупка!$F$25:$F$87,$F226,Покупка!$AC$25:$AC$87,$G226)</f>
        <v>0</v>
      </c>
      <c r="AP226" s="170">
        <f ca="1">SUMIFS(Покупка!AO$25:AO$87,Покупка!$F$25:$F$87,$F226,Покупка!$AC$25:$AC$87,$G226)</f>
        <v>0</v>
      </c>
      <c r="AQ226" s="170">
        <f ca="1">SUMIFS(Покупка!AP$25:AP$87,Покупка!$F$25:$F$87,$F226,Покупка!$AC$25:$AC$87,$G226)</f>
        <v>0</v>
      </c>
      <c r="AR226" s="170">
        <f ca="1">SUMIFS(Покупка!AQ$25:AQ$87,Покупка!$F$25:$F$87,$F226,Покупка!$AC$25:$AC$87,$G226)</f>
        <v>0</v>
      </c>
      <c r="AS226" s="170">
        <f ca="1">SUMIFS(Покупка!AR$25:AR$87,Покупка!$F$25:$F$87,$F226,Покупка!$AC$25:$AC$87,$G226)</f>
        <v>0</v>
      </c>
      <c r="AT226" s="170">
        <f ca="1">SUMIFS(Покупка!AS$25:AS$87,Покупка!$F$25:$F$87,$F226,Покупка!$AC$25:$AC$87,$G226)</f>
        <v>0</v>
      </c>
      <c r="AU226" s="170">
        <f ca="1">SUMIFS(Покупка!AT$25:AT$87,Покупка!$F$25:$F$87,$F226,Покупка!$AC$25:$AC$87,$G226)</f>
        <v>0</v>
      </c>
      <c r="AV226" s="170">
        <f ca="1">SUMIFS(Покупка!AU$25:AU$87,Покупка!$F$25:$F$87,$F226,Покупка!$AC$25:$AC$87,$G226)</f>
        <v>0</v>
      </c>
      <c r="AW226" s="170">
        <f ca="1">SUMIFS(Покупка!AV$25:AV$87,Покупка!$F$25:$F$87,$F226,Покупка!$AC$25:$AC$87,$G226)</f>
        <v>0</v>
      </c>
      <c r="AX226" s="170">
        <f ca="1">SUMIFS(Покупка!AW$25:AW$87,Покупка!$F$25:$F$87,$F226,Покупка!$AC$25:$AC$87,$G226)</f>
        <v>0</v>
      </c>
      <c r="AY226" s="170">
        <f ca="1">SUMIFS(Покупка!AX$25:AX$87,Покупка!$F$25:$F$87,$F226,Покупка!$AC$25:$AC$87,$G226)</f>
        <v>0</v>
      </c>
      <c r="AZ226" s="170">
        <f ca="1">SUMIFS(Покупка!AY$25:AY$87,Покупка!$F$25:$F$87,$F226,Покупка!$AC$25:$AC$87,$G226)</f>
        <v>0</v>
      </c>
      <c r="BA226" s="170">
        <f ca="1">SUMIFS(Покупка!AZ$25:AZ$87,Покупка!$F$25:$F$87,$F226,Покупка!$AC$25:$AC$87,$G226)</f>
        <v>0</v>
      </c>
      <c r="BB226" s="170">
        <f ca="1">SUMIFS(Покупка!BA$25:BA$87,Покупка!$F$25:$F$87,$F226,Покупка!$AC$25:$AC$87,$G226)</f>
        <v>0</v>
      </c>
      <c r="BC226" s="170">
        <f ca="1">SUMIFS(Покупка!BB$25:BB$87,Покупка!$F$25:$F$87,$F226,Покупка!$AC$25:$AC$87,$G226)</f>
        <v>0</v>
      </c>
      <c r="BD226" s="170">
        <f t="shared" ca="1" si="57"/>
        <v>0</v>
      </c>
      <c r="BE226" s="170">
        <f t="shared" ca="1" si="58"/>
        <v>0</v>
      </c>
      <c r="BF226" s="170">
        <f t="shared" ca="1" si="59"/>
        <v>0</v>
      </c>
      <c r="BG226" s="170">
        <f t="shared" ca="1" si="60"/>
        <v>0</v>
      </c>
      <c r="BH226" s="170">
        <f t="shared" ca="1" si="61"/>
        <v>0</v>
      </c>
      <c r="BI226" s="170">
        <f t="shared" ca="1" si="62"/>
        <v>0</v>
      </c>
      <c r="BJ226" s="170">
        <f t="shared" ca="1" si="63"/>
        <v>0</v>
      </c>
      <c r="BK226" s="170">
        <f t="shared" ca="1" si="64"/>
        <v>0</v>
      </c>
      <c r="BL226" s="170">
        <f t="shared" ca="1" si="65"/>
        <v>0</v>
      </c>
      <c r="BM226" s="170">
        <f t="shared" ca="1" si="66"/>
        <v>0</v>
      </c>
      <c r="BN226" s="195"/>
      <c r="BO226" s="599" t="str">
        <f ca="1">IF(IFERROR(INDEX(Покупка!$K$26:$L$87,MATCH($F226&amp;"2komm",Покупка!$K$26:$K$87,0),2),"")=0,"",IFERROR(INDEX(Покупка!$K$26:$L$87,MATCH($F226&amp;"2komm",Покупка!$K$26:$K$87,0),2),""))</f>
        <v/>
      </c>
      <c r="BP226" s="195"/>
      <c r="BS226" s="694" t="s">
        <v>2049</v>
      </c>
    </row>
    <row r="227" spans="1:75" ht="0" hidden="1" customHeight="1">
      <c r="C227" s="25"/>
      <c r="D227" s="25"/>
      <c r="E227" s="449">
        <v>15</v>
      </c>
      <c r="F227" s="3" t="str" cm="1">
        <f t="array" aca="1" ref="F227" ca="1">OFFSET(E227,-1,1)</f>
        <v>1</v>
      </c>
      <c r="G227" s="25" t="s">
        <v>1082</v>
      </c>
      <c r="H227" s="25"/>
      <c r="I227" s="25" t="s">
        <v>1686</v>
      </c>
      <c r="J227" s="25"/>
      <c r="K227" s="25" t="s">
        <v>1686</v>
      </c>
      <c r="L227" s="25" t="s">
        <v>1548</v>
      </c>
      <c r="M227" s="25"/>
      <c r="N227" s="25"/>
      <c r="O227" s="25"/>
      <c r="P227" s="25"/>
      <c r="Q227" s="25"/>
      <c r="R227" s="25"/>
      <c r="S227" s="25"/>
      <c r="T227" s="351" t="b" cm="1">
        <f t="array" aca="1" ref="T227" ca="1">T226</f>
        <v>1</v>
      </c>
      <c r="U227" s="25"/>
      <c r="V227" s="25"/>
      <c r="W227" s="25"/>
      <c r="X227" s="1046"/>
      <c r="Z227" s="1008"/>
      <c r="AB227" s="7" t="s">
        <v>2050</v>
      </c>
      <c r="AC227" s="134" t="s">
        <v>2051</v>
      </c>
      <c r="AD227" s="7" t="s">
        <v>859</v>
      </c>
      <c r="AE227" s="170">
        <f ca="1">SUMIFS(Покупка!AE$25:AE$87,Покупка!$F$25:$F$87,$F227,Покупка!$AC$25:$AC$87,$G227)</f>
        <v>0</v>
      </c>
      <c r="AF227" s="170">
        <f ca="1">SUMIFS(Покупка!AF$25:AF$87,Покупка!$F$25:$F$87,$F227,Покупка!$AC$25:$AC$87,$G227)</f>
        <v>0</v>
      </c>
      <c r="AG227" s="170">
        <f ca="1">SUMIFS(Покупка!AG$25:AG$87,Покупка!$F$25:$F$87,$F227,Покупка!$AC$25:$AC$87,$G227)</f>
        <v>0</v>
      </c>
      <c r="AH227" s="170">
        <f t="shared" ca="1" si="55"/>
        <v>0</v>
      </c>
      <c r="AI227" s="170">
        <f ca="1">SUMIFS(Покупка!AH$25:AH$87,Покупка!$F$25:$F$87,$F227,Покупка!$AC$25:$AC$87,$G227)</f>
        <v>0</v>
      </c>
      <c r="AJ227" s="170">
        <f ca="1">SUMIFS(Покупка!AI$25:AI$87,Покупка!$F$25:$F$87,$F227,Покупка!$AC$25:$AC$87,$G227)</f>
        <v>0</v>
      </c>
      <c r="AK227" s="170">
        <f ca="1">SUMIFS(Покупка!AJ$25:AJ$87,Покупка!$F$25:$F$87,$F227,Покупка!$AC$25:$AC$87,$G227)</f>
        <v>0</v>
      </c>
      <c r="AL227" s="170">
        <f ca="1">SUMIFS(Покупка!AK$25:AK$87,Покупка!$F$25:$F$87,$F227,Покупка!$AC$25:$AC$87,$G227)</f>
        <v>0</v>
      </c>
      <c r="AM227" s="170">
        <f ca="1">SUMIFS(Покупка!AL$25:AL$87,Покупка!$F$25:$F$87,$F227,Покупка!$AC$25:$AC$87,$G227)</f>
        <v>0</v>
      </c>
      <c r="AN227" s="170">
        <f ca="1">SUMIFS(Покупка!AM$25:AM$87,Покупка!$F$25:$F$87,$F227,Покупка!$AC$25:$AC$87,$G227)</f>
        <v>0</v>
      </c>
      <c r="AO227" s="170">
        <f ca="1">SUMIFS(Покупка!AN$25:AN$87,Покупка!$F$25:$F$87,$F227,Покупка!$AC$25:$AC$87,$G227)</f>
        <v>0</v>
      </c>
      <c r="AP227" s="170">
        <f ca="1">SUMIFS(Покупка!AO$25:AO$87,Покупка!$F$25:$F$87,$F227,Покупка!$AC$25:$AC$87,$G227)</f>
        <v>0</v>
      </c>
      <c r="AQ227" s="170">
        <f ca="1">SUMIFS(Покупка!AP$25:AP$87,Покупка!$F$25:$F$87,$F227,Покупка!$AC$25:$AC$87,$G227)</f>
        <v>0</v>
      </c>
      <c r="AR227" s="170">
        <f ca="1">SUMIFS(Покупка!AQ$25:AQ$87,Покупка!$F$25:$F$87,$F227,Покупка!$AC$25:$AC$87,$G227)</f>
        <v>0</v>
      </c>
      <c r="AS227" s="170">
        <f ca="1">SUMIFS(Покупка!AR$25:AR$87,Покупка!$F$25:$F$87,$F227,Покупка!$AC$25:$AC$87,$G227)</f>
        <v>0</v>
      </c>
      <c r="AT227" s="170">
        <f ca="1">SUMIFS(Покупка!AS$25:AS$87,Покупка!$F$25:$F$87,$F227,Покупка!$AC$25:$AC$87,$G227)</f>
        <v>0</v>
      </c>
      <c r="AU227" s="170">
        <f ca="1">SUMIFS(Покупка!AT$25:AT$87,Покупка!$F$25:$F$87,$F227,Покупка!$AC$25:$AC$87,$G227)</f>
        <v>0</v>
      </c>
      <c r="AV227" s="170">
        <f ca="1">SUMIFS(Покупка!AU$25:AU$87,Покупка!$F$25:$F$87,$F227,Покупка!$AC$25:$AC$87,$G227)</f>
        <v>0</v>
      </c>
      <c r="AW227" s="170">
        <f ca="1">SUMIFS(Покупка!AV$25:AV$87,Покупка!$F$25:$F$87,$F227,Покупка!$AC$25:$AC$87,$G227)</f>
        <v>0</v>
      </c>
      <c r="AX227" s="170">
        <f ca="1">SUMIFS(Покупка!AW$25:AW$87,Покупка!$F$25:$F$87,$F227,Покупка!$AC$25:$AC$87,$G227)</f>
        <v>0</v>
      </c>
      <c r="AY227" s="170">
        <f ca="1">SUMIFS(Покупка!AX$25:AX$87,Покупка!$F$25:$F$87,$F227,Покупка!$AC$25:$AC$87,$G227)</f>
        <v>0</v>
      </c>
      <c r="AZ227" s="170">
        <f ca="1">SUMIFS(Покупка!AY$25:AY$87,Покупка!$F$25:$F$87,$F227,Покупка!$AC$25:$AC$87,$G227)</f>
        <v>0</v>
      </c>
      <c r="BA227" s="170">
        <f ca="1">SUMIFS(Покупка!AZ$25:AZ$87,Покупка!$F$25:$F$87,$F227,Покупка!$AC$25:$AC$87,$G227)</f>
        <v>0</v>
      </c>
      <c r="BB227" s="170">
        <f ca="1">SUMIFS(Покупка!BA$25:BA$87,Покупка!$F$25:$F$87,$F227,Покупка!$AC$25:$AC$87,$G227)</f>
        <v>0</v>
      </c>
      <c r="BC227" s="170">
        <f ca="1">SUMIFS(Покупка!BB$25:BB$87,Покупка!$F$25:$F$87,$F227,Покупка!$AC$25:$AC$87,$G227)</f>
        <v>0</v>
      </c>
      <c r="BD227" s="170">
        <f t="shared" ca="1" si="57"/>
        <v>0</v>
      </c>
      <c r="BE227" s="170">
        <f t="shared" ca="1" si="58"/>
        <v>0</v>
      </c>
      <c r="BF227" s="170">
        <f t="shared" ca="1" si="59"/>
        <v>0</v>
      </c>
      <c r="BG227" s="170">
        <f t="shared" ca="1" si="60"/>
        <v>0</v>
      </c>
      <c r="BH227" s="170">
        <f t="shared" ca="1" si="61"/>
        <v>0</v>
      </c>
      <c r="BI227" s="170">
        <f t="shared" ca="1" si="62"/>
        <v>0</v>
      </c>
      <c r="BJ227" s="170">
        <f t="shared" ca="1" si="63"/>
        <v>0</v>
      </c>
      <c r="BK227" s="170">
        <f t="shared" ca="1" si="64"/>
        <v>0</v>
      </c>
      <c r="BL227" s="170">
        <f t="shared" ca="1" si="65"/>
        <v>0</v>
      </c>
      <c r="BM227" s="170">
        <f t="shared" ca="1" si="66"/>
        <v>0</v>
      </c>
      <c r="BN227" s="195"/>
      <c r="BO227" s="599" t="str">
        <f ca="1">IF(IFERROR(INDEX(Покупка!$K$26:$L$87,MATCH($F227&amp;"1komm",Покупка!$K$26:$K$87,0),2),"")=0,"",IFERROR(INDEX(Покупка!$K$26:$L$87,MATCH($F227&amp;"1komm",Покупка!$K$26:$K$87,0),2),""))</f>
        <v/>
      </c>
      <c r="BP227" s="195"/>
      <c r="BS227" s="694" t="s">
        <v>2052</v>
      </c>
    </row>
    <row r="228" spans="1:75" ht="0" hidden="1" customHeight="1">
      <c r="C228" s="25"/>
      <c r="D228" s="25"/>
      <c r="E228" s="449">
        <v>15</v>
      </c>
      <c r="F228" s="3" t="str" cm="1">
        <f t="array" aca="1" ref="F228" ca="1">OFFSET(E228,-1,1)</f>
        <v>1</v>
      </c>
      <c r="G228" s="25" t="s">
        <v>1118</v>
      </c>
      <c r="H228" s="25"/>
      <c r="I228" s="25" t="s">
        <v>1689</v>
      </c>
      <c r="J228" s="25"/>
      <c r="K228" s="25" t="s">
        <v>1689</v>
      </c>
      <c r="L228" s="25"/>
      <c r="M228" s="25"/>
      <c r="N228" s="25"/>
      <c r="O228" s="25"/>
      <c r="P228" s="25"/>
      <c r="Q228" s="25"/>
      <c r="R228" s="25"/>
      <c r="S228" s="25"/>
      <c r="T228" s="351" t="b" cm="1">
        <f t="array" aca="1" ref="T228" ca="1">T227</f>
        <v>1</v>
      </c>
      <c r="U228" s="25"/>
      <c r="V228" s="25"/>
      <c r="W228" s="25"/>
      <c r="X228" s="1046"/>
      <c r="Z228" s="1008"/>
      <c r="AB228" s="7" t="s">
        <v>2053</v>
      </c>
      <c r="AC228" s="134" t="s">
        <v>2054</v>
      </c>
      <c r="AD228" s="7" t="s">
        <v>859</v>
      </c>
      <c r="AE228" s="170">
        <f ca="1">SUMIFS(Покупка!AE$25:AE$87,Покупка!$F$25:$F$87,$F228,Покупка!$AC$25:$AC$87,$G228)</f>
        <v>0</v>
      </c>
      <c r="AF228" s="170">
        <f ca="1">SUMIFS(Покупка!AF$25:AF$87,Покупка!$F$25:$F$87,$F228,Покупка!$AC$25:$AC$87,$G228)</f>
        <v>0</v>
      </c>
      <c r="AG228" s="170">
        <f ca="1">SUMIFS(Покупка!AG$25:AG$87,Покупка!$F$25:$F$87,$F228,Покупка!$AC$25:$AC$87,$G228)</f>
        <v>0</v>
      </c>
      <c r="AH228" s="170">
        <f t="shared" ca="1" si="55"/>
        <v>0</v>
      </c>
      <c r="AI228" s="170">
        <f ca="1">SUMIFS(Покупка!AH$25:AH$87,Покупка!$F$25:$F$87,$F228,Покупка!$AC$25:$AC$87,$G228)</f>
        <v>0</v>
      </c>
      <c r="AJ228" s="170">
        <f ca="1">SUMIFS(Покупка!AI$25:AI$87,Покупка!$F$25:$F$87,$F228,Покупка!$AC$25:$AC$87,$G228)</f>
        <v>0</v>
      </c>
      <c r="AK228" s="170">
        <f ca="1">SUMIFS(Покупка!AJ$25:AJ$87,Покупка!$F$25:$F$87,$F228,Покупка!$AC$25:$AC$87,$G228)</f>
        <v>0</v>
      </c>
      <c r="AL228" s="170">
        <f ca="1">SUMIFS(Покупка!AK$25:AK$87,Покупка!$F$25:$F$87,$F228,Покупка!$AC$25:$AC$87,$G228)</f>
        <v>0</v>
      </c>
      <c r="AM228" s="170">
        <f ca="1">SUMIFS(Покупка!AL$25:AL$87,Покупка!$F$25:$F$87,$F228,Покупка!$AC$25:$AC$87,$G228)</f>
        <v>0</v>
      </c>
      <c r="AN228" s="170">
        <f ca="1">SUMIFS(Покупка!AM$25:AM$87,Покупка!$F$25:$F$87,$F228,Покупка!$AC$25:$AC$87,$G228)</f>
        <v>0</v>
      </c>
      <c r="AO228" s="170">
        <f ca="1">SUMIFS(Покупка!AN$25:AN$87,Покупка!$F$25:$F$87,$F228,Покупка!$AC$25:$AC$87,$G228)</f>
        <v>0</v>
      </c>
      <c r="AP228" s="170">
        <f ca="1">SUMIFS(Покупка!AO$25:AO$87,Покупка!$F$25:$F$87,$F228,Покупка!$AC$25:$AC$87,$G228)</f>
        <v>0</v>
      </c>
      <c r="AQ228" s="170">
        <f ca="1">SUMIFS(Покупка!AP$25:AP$87,Покупка!$F$25:$F$87,$F228,Покупка!$AC$25:$AC$87,$G228)</f>
        <v>0</v>
      </c>
      <c r="AR228" s="170">
        <f ca="1">SUMIFS(Покупка!AQ$25:AQ$87,Покупка!$F$25:$F$87,$F228,Покупка!$AC$25:$AC$87,$G228)</f>
        <v>0</v>
      </c>
      <c r="AS228" s="170">
        <f ca="1">SUMIFS(Покупка!AR$25:AR$87,Покупка!$F$25:$F$87,$F228,Покупка!$AC$25:$AC$87,$G228)</f>
        <v>0</v>
      </c>
      <c r="AT228" s="170">
        <f ca="1">SUMIFS(Покупка!AS$25:AS$87,Покупка!$F$25:$F$87,$F228,Покупка!$AC$25:$AC$87,$G228)</f>
        <v>0</v>
      </c>
      <c r="AU228" s="170">
        <f ca="1">SUMIFS(Покупка!AT$25:AT$87,Покупка!$F$25:$F$87,$F228,Покупка!$AC$25:$AC$87,$G228)</f>
        <v>0</v>
      </c>
      <c r="AV228" s="170">
        <f ca="1">SUMIFS(Покупка!AU$25:AU$87,Покупка!$F$25:$F$87,$F228,Покупка!$AC$25:$AC$87,$G228)</f>
        <v>0</v>
      </c>
      <c r="AW228" s="170">
        <f ca="1">SUMIFS(Покупка!AV$25:AV$87,Покупка!$F$25:$F$87,$F228,Покупка!$AC$25:$AC$87,$G228)</f>
        <v>0</v>
      </c>
      <c r="AX228" s="170">
        <f ca="1">SUMIFS(Покупка!AW$25:AW$87,Покупка!$F$25:$F$87,$F228,Покупка!$AC$25:$AC$87,$G228)</f>
        <v>0</v>
      </c>
      <c r="AY228" s="170">
        <f ca="1">SUMIFS(Покупка!AX$25:AX$87,Покупка!$F$25:$F$87,$F228,Покупка!$AC$25:$AC$87,$G228)</f>
        <v>0</v>
      </c>
      <c r="AZ228" s="170">
        <f ca="1">SUMIFS(Покупка!AY$25:AY$87,Покупка!$F$25:$F$87,$F228,Покупка!$AC$25:$AC$87,$G228)</f>
        <v>0</v>
      </c>
      <c r="BA228" s="170">
        <f ca="1">SUMIFS(Покупка!AZ$25:AZ$87,Покупка!$F$25:$F$87,$F228,Покупка!$AC$25:$AC$87,$G228)</f>
        <v>0</v>
      </c>
      <c r="BB228" s="170">
        <f ca="1">SUMIFS(Покупка!BA$25:BA$87,Покупка!$F$25:$F$87,$F228,Покупка!$AC$25:$AC$87,$G228)</f>
        <v>0</v>
      </c>
      <c r="BC228" s="170">
        <f ca="1">SUMIFS(Покупка!BB$25:BB$87,Покупка!$F$25:$F$87,$F228,Покупка!$AC$25:$AC$87,$G228)</f>
        <v>0</v>
      </c>
      <c r="BD228" s="170">
        <f t="shared" ca="1" si="57"/>
        <v>0</v>
      </c>
      <c r="BE228" s="170">
        <f t="shared" ca="1" si="58"/>
        <v>0</v>
      </c>
      <c r="BF228" s="170">
        <f t="shared" ca="1" si="59"/>
        <v>0</v>
      </c>
      <c r="BG228" s="170">
        <f t="shared" ca="1" si="60"/>
        <v>0</v>
      </c>
      <c r="BH228" s="170">
        <f t="shared" ca="1" si="61"/>
        <v>0</v>
      </c>
      <c r="BI228" s="170">
        <f t="shared" ca="1" si="62"/>
        <v>0</v>
      </c>
      <c r="BJ228" s="170">
        <f t="shared" ca="1" si="63"/>
        <v>0</v>
      </c>
      <c r="BK228" s="170">
        <f t="shared" ca="1" si="64"/>
        <v>0</v>
      </c>
      <c r="BL228" s="170">
        <f t="shared" ca="1" si="65"/>
        <v>0</v>
      </c>
      <c r="BM228" s="170">
        <f t="shared" ca="1" si="66"/>
        <v>0</v>
      </c>
      <c r="BN228" s="195"/>
      <c r="BO228" s="599" t="str">
        <f ca="1">IF(IFERROR(INDEX(Покупка!$K$26:$L$87,MATCH($F228&amp;"8komm",Покупка!$K$26:$K$87,0),2),"")=0,"",IFERROR(INDEX(Покупка!$K$26:$L$87,MATCH($F228&amp;"8komm",Покупка!$K$26:$K$87,0),2),""))</f>
        <v/>
      </c>
      <c r="BP228" s="195"/>
      <c r="BS228" s="694" t="s">
        <v>1119</v>
      </c>
    </row>
    <row r="229" spans="1:75" ht="0" hidden="1" customHeight="1">
      <c r="C229" s="25"/>
      <c r="D229" s="25"/>
      <c r="E229" s="449">
        <v>15</v>
      </c>
      <c r="F229" s="3" t="str" cm="1">
        <f t="array" aca="1" ref="F229" ca="1">OFFSET(E229,-1,1)</f>
        <v>1</v>
      </c>
      <c r="G229" s="25"/>
      <c r="H229" s="25"/>
      <c r="I229" s="25" t="s">
        <v>2055</v>
      </c>
      <c r="J229" s="25"/>
      <c r="K229" s="25" t="s">
        <v>2055</v>
      </c>
      <c r="L229" s="25"/>
      <c r="M229" s="25"/>
      <c r="N229" s="25"/>
      <c r="O229" s="25"/>
      <c r="P229" s="25"/>
      <c r="Q229" s="25"/>
      <c r="R229" s="25"/>
      <c r="S229" s="25"/>
      <c r="T229" s="351" t="b" cm="1">
        <f t="array" aca="1" ref="T229" ca="1">T228</f>
        <v>1</v>
      </c>
      <c r="U229" s="25"/>
      <c r="V229" s="25"/>
      <c r="W229" s="25"/>
      <c r="X229" s="1046"/>
      <c r="Z229" s="1008"/>
      <c r="AB229" s="7" t="s">
        <v>2056</v>
      </c>
      <c r="AC229" s="134" t="s">
        <v>2057</v>
      </c>
      <c r="AD229" s="7" t="s">
        <v>859</v>
      </c>
      <c r="AE229" s="128"/>
      <c r="AF229" s="128"/>
      <c r="AG229" s="128"/>
      <c r="AH229" s="170">
        <f t="shared" si="55"/>
        <v>0</v>
      </c>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70">
        <f t="shared" si="57"/>
        <v>0</v>
      </c>
      <c r="BE229" s="170">
        <f t="shared" si="58"/>
        <v>0</v>
      </c>
      <c r="BF229" s="170">
        <f t="shared" si="59"/>
        <v>0</v>
      </c>
      <c r="BG229" s="170">
        <f t="shared" si="60"/>
        <v>0</v>
      </c>
      <c r="BH229" s="170">
        <f t="shared" si="61"/>
        <v>0</v>
      </c>
      <c r="BI229" s="170">
        <f t="shared" si="62"/>
        <v>0</v>
      </c>
      <c r="BJ229" s="170">
        <f t="shared" si="63"/>
        <v>0</v>
      </c>
      <c r="BK229" s="170">
        <f t="shared" si="64"/>
        <v>0</v>
      </c>
      <c r="BL229" s="170">
        <f t="shared" si="65"/>
        <v>0</v>
      </c>
      <c r="BM229" s="170">
        <f t="shared" si="66"/>
        <v>0</v>
      </c>
      <c r="BN229" s="195"/>
      <c r="BO229" s="195"/>
      <c r="BP229" s="195"/>
      <c r="BS229" s="694" t="s">
        <v>2058</v>
      </c>
    </row>
    <row r="230" spans="1:75" ht="0" hidden="1" customHeight="1">
      <c r="C230" s="25"/>
      <c r="D230" s="25"/>
      <c r="E230" s="449">
        <v>15</v>
      </c>
      <c r="F230" s="3" t="str" cm="1">
        <f t="array" aca="1" ref="F230" ca="1">OFFSET(E230,-1,1)</f>
        <v>1</v>
      </c>
      <c r="G230" s="25"/>
      <c r="H230" s="25"/>
      <c r="I230" s="25" t="s">
        <v>2059</v>
      </c>
      <c r="J230" s="25"/>
      <c r="K230" s="25" t="s">
        <v>2059</v>
      </c>
      <c r="L230" s="25"/>
      <c r="M230" s="25"/>
      <c r="N230" s="25"/>
      <c r="O230" s="25"/>
      <c r="P230" s="25"/>
      <c r="Q230" s="25"/>
      <c r="R230" s="25"/>
      <c r="S230" s="25"/>
      <c r="T230" s="351" t="b" cm="1">
        <f t="array" aca="1" ref="T230" ca="1">T229</f>
        <v>1</v>
      </c>
      <c r="U230" s="25"/>
      <c r="V230" s="25"/>
      <c r="W230" s="25"/>
      <c r="X230" s="1046"/>
      <c r="Z230" s="1008"/>
      <c r="AB230" s="7" t="s">
        <v>2060</v>
      </c>
      <c r="AC230" s="134" t="s">
        <v>2061</v>
      </c>
      <c r="AD230" s="7" t="s">
        <v>859</v>
      </c>
      <c r="AE230" s="128"/>
      <c r="AF230" s="128"/>
      <c r="AG230" s="128"/>
      <c r="AH230" s="170">
        <f t="shared" si="55"/>
        <v>0</v>
      </c>
      <c r="AI230" s="128"/>
      <c r="AJ230" s="128"/>
      <c r="AK230" s="128"/>
      <c r="AL230" s="128"/>
      <c r="AM230" s="128"/>
      <c r="AN230" s="128"/>
      <c r="AO230" s="128"/>
      <c r="AP230" s="128"/>
      <c r="AQ230" s="128"/>
      <c r="AR230" s="128"/>
      <c r="AS230" s="128"/>
      <c r="AT230" s="128"/>
      <c r="AU230" s="128"/>
      <c r="AV230" s="128"/>
      <c r="AW230" s="128"/>
      <c r="AX230" s="128"/>
      <c r="AY230" s="128"/>
      <c r="AZ230" s="128"/>
      <c r="BA230" s="128"/>
      <c r="BB230" s="128"/>
      <c r="BC230" s="128"/>
      <c r="BD230" s="170">
        <f t="shared" si="57"/>
        <v>0</v>
      </c>
      <c r="BE230" s="170">
        <f t="shared" si="58"/>
        <v>0</v>
      </c>
      <c r="BF230" s="170">
        <f t="shared" si="59"/>
        <v>0</v>
      </c>
      <c r="BG230" s="170">
        <f t="shared" si="60"/>
        <v>0</v>
      </c>
      <c r="BH230" s="170">
        <f t="shared" si="61"/>
        <v>0</v>
      </c>
      <c r="BI230" s="170">
        <f t="shared" si="62"/>
        <v>0</v>
      </c>
      <c r="BJ230" s="170">
        <f t="shared" si="63"/>
        <v>0</v>
      </c>
      <c r="BK230" s="170">
        <f t="shared" si="64"/>
        <v>0</v>
      </c>
      <c r="BL230" s="170">
        <f t="shared" si="65"/>
        <v>0</v>
      </c>
      <c r="BM230" s="170">
        <f t="shared" si="66"/>
        <v>0</v>
      </c>
      <c r="BN230" s="195"/>
      <c r="BO230" s="195"/>
      <c r="BP230" s="195"/>
      <c r="BS230" s="694" t="s">
        <v>2062</v>
      </c>
    </row>
    <row r="231" spans="1:75" ht="0" hidden="1" customHeight="1">
      <c r="C231" s="25"/>
      <c r="D231" s="25"/>
      <c r="E231" s="449">
        <v>15</v>
      </c>
      <c r="F231" s="3" t="str" cm="1">
        <f t="array" aca="1" ref="F231" ca="1">OFFSET(E231,-1,1)</f>
        <v>1</v>
      </c>
      <c r="G231" s="25" t="s">
        <v>1096</v>
      </c>
      <c r="H231" s="25"/>
      <c r="I231" s="25" t="s">
        <v>2063</v>
      </c>
      <c r="J231" s="25"/>
      <c r="K231" s="25" t="s">
        <v>2063</v>
      </c>
      <c r="L231" s="25" t="s">
        <v>1562</v>
      </c>
      <c r="M231" s="25"/>
      <c r="N231" s="25"/>
      <c r="O231" s="25"/>
      <c r="P231" s="25"/>
      <c r="Q231" s="25"/>
      <c r="R231" s="25"/>
      <c r="S231" s="25"/>
      <c r="T231" s="351" t="b" cm="1">
        <f t="array" aca="1" ref="T231" ca="1">T230</f>
        <v>1</v>
      </c>
      <c r="U231" s="25"/>
      <c r="V231" s="25"/>
      <c r="W231" s="25"/>
      <c r="X231" s="1046"/>
      <c r="Z231" s="1008"/>
      <c r="AB231" s="7" t="s">
        <v>2064</v>
      </c>
      <c r="AC231" s="134" t="s">
        <v>2065</v>
      </c>
      <c r="AD231" s="7" t="s">
        <v>859</v>
      </c>
      <c r="AE231" s="170">
        <f ca="1">SUMIFS(Покупка!AE$25:AE$87,Покупка!$F$25:$F$87,$F231,Покупка!$AC$25:$AC$87,$G231)</f>
        <v>0</v>
      </c>
      <c r="AF231" s="170">
        <f ca="1">SUMIFS(Покупка!AF$25:AF$87,Покупка!$F$25:$F$87,$F231,Покупка!$AC$25:$AC$87,$G231)</f>
        <v>0</v>
      </c>
      <c r="AG231" s="170">
        <f ca="1">SUMIFS(Покупка!AG$25:AG$87,Покупка!$F$25:$F$87,$F231,Покупка!$AC$25:$AC$87,$G231)</f>
        <v>0</v>
      </c>
      <c r="AH231" s="170">
        <f t="shared" ca="1" si="55"/>
        <v>0</v>
      </c>
      <c r="AI231" s="170">
        <f ca="1">SUMIFS(Покупка!AH$25:AH$87,Покупка!$F$25:$F$87,$F231,Покупка!$AC$25:$AC$87,$G231)</f>
        <v>0</v>
      </c>
      <c r="AJ231" s="170">
        <f ca="1">SUMIFS(Покупка!AI$25:AI$87,Покупка!$F$25:$F$87,$F231,Покупка!$AC$25:$AC$87,$G231)</f>
        <v>0</v>
      </c>
      <c r="AK231" s="170">
        <f ca="1">SUMIFS(Покупка!AJ$25:AJ$87,Покупка!$F$25:$F$87,$F231,Покупка!$AC$25:$AC$87,$G231)</f>
        <v>0</v>
      </c>
      <c r="AL231" s="170">
        <f ca="1">SUMIFS(Покупка!AK$25:AK$87,Покупка!$F$25:$F$87,$F231,Покупка!$AC$25:$AC$87,$G231)</f>
        <v>0</v>
      </c>
      <c r="AM231" s="170">
        <f ca="1">SUMIFS(Покупка!AL$25:AL$87,Покупка!$F$25:$F$87,$F231,Покупка!$AC$25:$AC$87,$G231)</f>
        <v>0</v>
      </c>
      <c r="AN231" s="170">
        <f ca="1">SUMIFS(Покупка!AM$25:AM$87,Покупка!$F$25:$F$87,$F231,Покупка!$AC$25:$AC$87,$G231)</f>
        <v>0</v>
      </c>
      <c r="AO231" s="170">
        <f ca="1">SUMIFS(Покупка!AN$25:AN$87,Покупка!$F$25:$F$87,$F231,Покупка!$AC$25:$AC$87,$G231)</f>
        <v>0</v>
      </c>
      <c r="AP231" s="170">
        <f ca="1">SUMIFS(Покупка!AO$25:AO$87,Покупка!$F$25:$F$87,$F231,Покупка!$AC$25:$AC$87,$G231)</f>
        <v>0</v>
      </c>
      <c r="AQ231" s="170">
        <f ca="1">SUMIFS(Покупка!AP$25:AP$87,Покупка!$F$25:$F$87,$F231,Покупка!$AC$25:$AC$87,$G231)</f>
        <v>0</v>
      </c>
      <c r="AR231" s="170">
        <f ca="1">SUMIFS(Покупка!AQ$25:AQ$87,Покупка!$F$25:$F$87,$F231,Покупка!$AC$25:$AC$87,$G231)</f>
        <v>0</v>
      </c>
      <c r="AS231" s="170">
        <f ca="1">SUMIFS(Покупка!AR$25:AR$87,Покупка!$F$25:$F$87,$F231,Покупка!$AC$25:$AC$87,$G231)</f>
        <v>0</v>
      </c>
      <c r="AT231" s="170">
        <f ca="1">SUMIFS(Покупка!AS$25:AS$87,Покупка!$F$25:$F$87,$F231,Покупка!$AC$25:$AC$87,$G231)</f>
        <v>0</v>
      </c>
      <c r="AU231" s="170">
        <f ca="1">SUMIFS(Покупка!AT$25:AT$87,Покупка!$F$25:$F$87,$F231,Покупка!$AC$25:$AC$87,$G231)</f>
        <v>0</v>
      </c>
      <c r="AV231" s="170">
        <f ca="1">SUMIFS(Покупка!AU$25:AU$87,Покупка!$F$25:$F$87,$F231,Покупка!$AC$25:$AC$87,$G231)</f>
        <v>0</v>
      </c>
      <c r="AW231" s="170">
        <f ca="1">SUMIFS(Покупка!AV$25:AV$87,Покупка!$F$25:$F$87,$F231,Покупка!$AC$25:$AC$87,$G231)</f>
        <v>0</v>
      </c>
      <c r="AX231" s="170">
        <f ca="1">SUMIFS(Покупка!AW$25:AW$87,Покупка!$F$25:$F$87,$F231,Покупка!$AC$25:$AC$87,$G231)</f>
        <v>0</v>
      </c>
      <c r="AY231" s="170">
        <f ca="1">SUMIFS(Покупка!AX$25:AX$87,Покупка!$F$25:$F$87,$F231,Покупка!$AC$25:$AC$87,$G231)</f>
        <v>0</v>
      </c>
      <c r="AZ231" s="170">
        <f ca="1">SUMIFS(Покупка!AY$25:AY$87,Покупка!$F$25:$F$87,$F231,Покупка!$AC$25:$AC$87,$G231)</f>
        <v>0</v>
      </c>
      <c r="BA231" s="170">
        <f ca="1">SUMIFS(Покупка!AZ$25:AZ$87,Покупка!$F$25:$F$87,$F231,Покупка!$AC$25:$AC$87,$G231)</f>
        <v>0</v>
      </c>
      <c r="BB231" s="170">
        <f ca="1">SUMIFS(Покупка!BA$25:BA$87,Покупка!$F$25:$F$87,$F231,Покупка!$AC$25:$AC$87,$G231)</f>
        <v>0</v>
      </c>
      <c r="BC231" s="170">
        <f ca="1">SUMIFS(Покупка!BB$25:BB$87,Покупка!$F$25:$F$87,$F231,Покупка!$AC$25:$AC$87,$G231)</f>
        <v>0</v>
      </c>
      <c r="BD231" s="170">
        <f t="shared" ca="1" si="57"/>
        <v>0</v>
      </c>
      <c r="BE231" s="170">
        <f t="shared" ca="1" si="58"/>
        <v>0</v>
      </c>
      <c r="BF231" s="170">
        <f t="shared" ca="1" si="59"/>
        <v>0</v>
      </c>
      <c r="BG231" s="170">
        <f t="shared" ca="1" si="60"/>
        <v>0</v>
      </c>
      <c r="BH231" s="170">
        <f t="shared" ca="1" si="61"/>
        <v>0</v>
      </c>
      <c r="BI231" s="170">
        <f t="shared" ca="1" si="62"/>
        <v>0</v>
      </c>
      <c r="BJ231" s="170">
        <f t="shared" ca="1" si="63"/>
        <v>0</v>
      </c>
      <c r="BK231" s="170">
        <f t="shared" ca="1" si="64"/>
        <v>0</v>
      </c>
      <c r="BL231" s="170">
        <f t="shared" ca="1" si="65"/>
        <v>0</v>
      </c>
      <c r="BM231" s="170">
        <f t="shared" ca="1" si="66"/>
        <v>0</v>
      </c>
      <c r="BN231" s="195"/>
      <c r="BO231" s="599" t="str">
        <f ca="1">IF(IFERROR(INDEX(Покупка!$K$26:$L$87,MATCH($F231&amp;"3komm",Покупка!$K$26:$K$87,0),2),"")=0,"",IFERROR(INDEX(Покупка!$K$26:$L$87,MATCH($F231&amp;"3komm",Покупка!$K$26:$K$87,0),2),""))</f>
        <v/>
      </c>
      <c r="BP231" s="195"/>
      <c r="BS231" s="694" t="s">
        <v>1764</v>
      </c>
    </row>
    <row r="232" spans="1:75" ht="0" hidden="1" customHeight="1">
      <c r="C232" s="25"/>
      <c r="D232" s="25"/>
      <c r="E232" s="449">
        <v>15</v>
      </c>
      <c r="F232" s="3" t="str" cm="1">
        <f t="array" aca="1" ref="F232" ca="1">OFFSET(E232,-1,1)</f>
        <v>1</v>
      </c>
      <c r="G232" s="25" t="s">
        <v>1102</v>
      </c>
      <c r="H232" s="25"/>
      <c r="I232" s="25" t="s">
        <v>2066</v>
      </c>
      <c r="J232" s="25"/>
      <c r="K232" s="25" t="s">
        <v>2066</v>
      </c>
      <c r="L232" s="25" t="s">
        <v>1567</v>
      </c>
      <c r="M232" s="25"/>
      <c r="N232" s="25"/>
      <c r="O232" s="25"/>
      <c r="P232" s="25"/>
      <c r="Q232" s="25"/>
      <c r="R232" s="25"/>
      <c r="S232" s="25"/>
      <c r="T232" s="351" t="b" cm="1">
        <f t="array" aca="1" ref="T232" ca="1">T231</f>
        <v>1</v>
      </c>
      <c r="U232" s="25"/>
      <c r="V232" s="25"/>
      <c r="W232" s="25"/>
      <c r="X232" s="1046"/>
      <c r="Z232" s="1008"/>
      <c r="AB232" s="7" t="s">
        <v>2067</v>
      </c>
      <c r="AC232" s="134" t="s">
        <v>2068</v>
      </c>
      <c r="AD232" s="7" t="s">
        <v>859</v>
      </c>
      <c r="AE232" s="170">
        <f ca="1">SUMIFS(Покупка!AE$25:AE$87,Покупка!$F$25:$F$87,$F232,Покупка!$AC$25:$AC$87,$G232)</f>
        <v>0</v>
      </c>
      <c r="AF232" s="170">
        <f ca="1">SUMIFS(Покупка!AF$25:AF$87,Покупка!$F$25:$F$87,$F232,Покупка!$AC$25:$AC$87,$G232)</f>
        <v>0</v>
      </c>
      <c r="AG232" s="170">
        <f ca="1">SUMIFS(Покупка!AG$25:AG$87,Покупка!$F$25:$F$87,$F232,Покупка!$AC$25:$AC$87,$G232)</f>
        <v>0</v>
      </c>
      <c r="AH232" s="170">
        <f t="shared" ca="1" si="55"/>
        <v>0</v>
      </c>
      <c r="AI232" s="170">
        <f ca="1">SUMIFS(Покупка!AH$25:AH$87,Покупка!$F$25:$F$87,$F232,Покупка!$AC$25:$AC$87,$G232)</f>
        <v>0</v>
      </c>
      <c r="AJ232" s="170">
        <f ca="1">SUMIFS(Покупка!AI$25:AI$87,Покупка!$F$25:$F$87,$F232,Покупка!$AC$25:$AC$87,$G232)</f>
        <v>0</v>
      </c>
      <c r="AK232" s="170">
        <f ca="1">SUMIFS(Покупка!AJ$25:AJ$87,Покупка!$F$25:$F$87,$F232,Покупка!$AC$25:$AC$87,$G232)</f>
        <v>0</v>
      </c>
      <c r="AL232" s="170">
        <f ca="1">SUMIFS(Покупка!AK$25:AK$87,Покупка!$F$25:$F$87,$F232,Покупка!$AC$25:$AC$87,$G232)</f>
        <v>0</v>
      </c>
      <c r="AM232" s="170">
        <f ca="1">SUMIFS(Покупка!AL$25:AL$87,Покупка!$F$25:$F$87,$F232,Покупка!$AC$25:$AC$87,$G232)</f>
        <v>0</v>
      </c>
      <c r="AN232" s="170">
        <f ca="1">SUMIFS(Покупка!AM$25:AM$87,Покупка!$F$25:$F$87,$F232,Покупка!$AC$25:$AC$87,$G232)</f>
        <v>0</v>
      </c>
      <c r="AO232" s="170">
        <f ca="1">SUMIFS(Покупка!AN$25:AN$87,Покупка!$F$25:$F$87,$F232,Покупка!$AC$25:$AC$87,$G232)</f>
        <v>0</v>
      </c>
      <c r="AP232" s="170">
        <f ca="1">SUMIFS(Покупка!AO$25:AO$87,Покупка!$F$25:$F$87,$F232,Покупка!$AC$25:$AC$87,$G232)</f>
        <v>0</v>
      </c>
      <c r="AQ232" s="170">
        <f ca="1">SUMIFS(Покупка!AP$25:AP$87,Покупка!$F$25:$F$87,$F232,Покупка!$AC$25:$AC$87,$G232)</f>
        <v>0</v>
      </c>
      <c r="AR232" s="170">
        <f ca="1">SUMIFS(Покупка!AQ$25:AQ$87,Покупка!$F$25:$F$87,$F232,Покупка!$AC$25:$AC$87,$G232)</f>
        <v>0</v>
      </c>
      <c r="AS232" s="170">
        <f ca="1">SUMIFS(Покупка!AR$25:AR$87,Покупка!$F$25:$F$87,$F232,Покупка!$AC$25:$AC$87,$G232)</f>
        <v>0</v>
      </c>
      <c r="AT232" s="170">
        <f ca="1">SUMIFS(Покупка!AS$25:AS$87,Покупка!$F$25:$F$87,$F232,Покупка!$AC$25:$AC$87,$G232)</f>
        <v>0</v>
      </c>
      <c r="AU232" s="170">
        <f ca="1">SUMIFS(Покупка!AT$25:AT$87,Покупка!$F$25:$F$87,$F232,Покупка!$AC$25:$AC$87,$G232)</f>
        <v>0</v>
      </c>
      <c r="AV232" s="170">
        <f ca="1">SUMIFS(Покупка!AU$25:AU$87,Покупка!$F$25:$F$87,$F232,Покупка!$AC$25:$AC$87,$G232)</f>
        <v>0</v>
      </c>
      <c r="AW232" s="170">
        <f ca="1">SUMIFS(Покупка!AV$25:AV$87,Покупка!$F$25:$F$87,$F232,Покупка!$AC$25:$AC$87,$G232)</f>
        <v>0</v>
      </c>
      <c r="AX232" s="170">
        <f ca="1">SUMIFS(Покупка!AW$25:AW$87,Покупка!$F$25:$F$87,$F232,Покупка!$AC$25:$AC$87,$G232)</f>
        <v>0</v>
      </c>
      <c r="AY232" s="170">
        <f ca="1">SUMIFS(Покупка!AX$25:AX$87,Покупка!$F$25:$F$87,$F232,Покупка!$AC$25:$AC$87,$G232)</f>
        <v>0</v>
      </c>
      <c r="AZ232" s="170">
        <f ca="1">SUMIFS(Покупка!AY$25:AY$87,Покупка!$F$25:$F$87,$F232,Покупка!$AC$25:$AC$87,$G232)</f>
        <v>0</v>
      </c>
      <c r="BA232" s="170">
        <f ca="1">SUMIFS(Покупка!AZ$25:AZ$87,Покупка!$F$25:$F$87,$F232,Покупка!$AC$25:$AC$87,$G232)</f>
        <v>0</v>
      </c>
      <c r="BB232" s="170">
        <f ca="1">SUMIFS(Покупка!BA$25:BA$87,Покупка!$F$25:$F$87,$F232,Покупка!$AC$25:$AC$87,$G232)</f>
        <v>0</v>
      </c>
      <c r="BC232" s="170">
        <f ca="1">SUMIFS(Покупка!BB$25:BB$87,Покупка!$F$25:$F$87,$F232,Покупка!$AC$25:$AC$87,$G232)</f>
        <v>0</v>
      </c>
      <c r="BD232" s="170">
        <f t="shared" ca="1" si="57"/>
        <v>0</v>
      </c>
      <c r="BE232" s="170">
        <f t="shared" ca="1" si="58"/>
        <v>0</v>
      </c>
      <c r="BF232" s="170">
        <f t="shared" ca="1" si="59"/>
        <v>0</v>
      </c>
      <c r="BG232" s="170">
        <f t="shared" ca="1" si="60"/>
        <v>0</v>
      </c>
      <c r="BH232" s="170">
        <f t="shared" ca="1" si="61"/>
        <v>0</v>
      </c>
      <c r="BI232" s="170">
        <f t="shared" ca="1" si="62"/>
        <v>0</v>
      </c>
      <c r="BJ232" s="170">
        <f t="shared" ca="1" si="63"/>
        <v>0</v>
      </c>
      <c r="BK232" s="170">
        <f t="shared" ca="1" si="64"/>
        <v>0</v>
      </c>
      <c r="BL232" s="170">
        <f t="shared" ca="1" si="65"/>
        <v>0</v>
      </c>
      <c r="BM232" s="170">
        <f t="shared" ca="1" si="66"/>
        <v>0</v>
      </c>
      <c r="BN232" s="195"/>
      <c r="BO232" s="599" t="str">
        <f ca="1">IF(IFERROR(INDEX(Покупка!$K$26:$L$87,MATCH($F232&amp;"4komm",Покупка!$K$26:$K$87,0),2),"")=0,"",IFERROR(INDEX(Покупка!$K$26:$L$87,MATCH($F231&amp;"3komm",Покупка!$K$26:$K$87,0),2),""))</f>
        <v/>
      </c>
      <c r="BP232" s="195"/>
      <c r="BS232" s="694" t="s">
        <v>1767</v>
      </c>
    </row>
    <row r="233" spans="1:75" ht="0" hidden="1" customHeight="1">
      <c r="C233" s="25"/>
      <c r="D233" s="25"/>
      <c r="E233" s="449">
        <v>15</v>
      </c>
      <c r="F233" s="3" t="str" cm="1">
        <f t="array" aca="1" ref="F233" ca="1">OFFSET(E233,-1,1)</f>
        <v>1</v>
      </c>
      <c r="G233" s="25" t="s">
        <v>1108</v>
      </c>
      <c r="H233" s="25"/>
      <c r="I233" s="25" t="s">
        <v>2069</v>
      </c>
      <c r="J233" s="25"/>
      <c r="K233" s="25" t="s">
        <v>2069</v>
      </c>
      <c r="L233" s="25" t="s">
        <v>1577</v>
      </c>
      <c r="M233" s="25"/>
      <c r="N233" s="25"/>
      <c r="O233" s="25"/>
      <c r="P233" s="25"/>
      <c r="Q233" s="25"/>
      <c r="R233" s="25"/>
      <c r="S233" s="25"/>
      <c r="T233" s="351" t="b" cm="1">
        <f t="array" aca="1" ref="T233" ca="1">T232</f>
        <v>1</v>
      </c>
      <c r="U233" s="25"/>
      <c r="V233" s="25"/>
      <c r="W233" s="25"/>
      <c r="X233" s="1046"/>
      <c r="Z233" s="1008"/>
      <c r="AB233" s="7" t="s">
        <v>2070</v>
      </c>
      <c r="AC233" s="134" t="s">
        <v>2071</v>
      </c>
      <c r="AD233" s="7" t="s">
        <v>859</v>
      </c>
      <c r="AE233" s="170">
        <f ca="1">SUMIFS(Покупка!AE$25:AE$87,Покупка!$F$25:$F$87,$F233,Покупка!$AC$25:$AC$87,$G233)</f>
        <v>0</v>
      </c>
      <c r="AF233" s="170">
        <f ca="1">SUMIFS(Покупка!AF$25:AF$87,Покупка!$F$25:$F$87,$F233,Покупка!$AC$25:$AC$87,$G233)</f>
        <v>0</v>
      </c>
      <c r="AG233" s="170">
        <f ca="1">SUMIFS(Покупка!AG$25:AG$87,Покупка!$F$25:$F$87,$F233,Покупка!$AC$25:$AC$87,$G233)</f>
        <v>0</v>
      </c>
      <c r="AH233" s="170">
        <f t="shared" ca="1" si="55"/>
        <v>0</v>
      </c>
      <c r="AI233" s="170">
        <f ca="1">SUMIFS(Покупка!AH$25:AH$87,Покупка!$F$25:$F$87,$F233,Покупка!$AC$25:$AC$87,$G233)</f>
        <v>0</v>
      </c>
      <c r="AJ233" s="170">
        <f ca="1">SUMIFS(Покупка!AI$25:AI$87,Покупка!$F$25:$F$87,$F233,Покупка!$AC$25:$AC$87,$G233)</f>
        <v>0</v>
      </c>
      <c r="AK233" s="170">
        <f ca="1">SUMIFS(Покупка!AJ$25:AJ$87,Покупка!$F$25:$F$87,$F233,Покупка!$AC$25:$AC$87,$G233)</f>
        <v>0</v>
      </c>
      <c r="AL233" s="170">
        <f ca="1">SUMIFS(Покупка!AK$25:AK$87,Покупка!$F$25:$F$87,$F233,Покупка!$AC$25:$AC$87,$G233)</f>
        <v>0</v>
      </c>
      <c r="AM233" s="170">
        <f ca="1">SUMIFS(Покупка!AL$25:AL$87,Покупка!$F$25:$F$87,$F233,Покупка!$AC$25:$AC$87,$G233)</f>
        <v>0</v>
      </c>
      <c r="AN233" s="170">
        <f ca="1">SUMIFS(Покупка!AM$25:AM$87,Покупка!$F$25:$F$87,$F233,Покупка!$AC$25:$AC$87,$G233)</f>
        <v>0</v>
      </c>
      <c r="AO233" s="170">
        <f ca="1">SUMIFS(Покупка!AN$25:AN$87,Покупка!$F$25:$F$87,$F233,Покупка!$AC$25:$AC$87,$G233)</f>
        <v>0</v>
      </c>
      <c r="AP233" s="170">
        <f ca="1">SUMIFS(Покупка!AO$25:AO$87,Покупка!$F$25:$F$87,$F233,Покупка!$AC$25:$AC$87,$G233)</f>
        <v>0</v>
      </c>
      <c r="AQ233" s="170">
        <f ca="1">SUMIFS(Покупка!AP$25:AP$87,Покупка!$F$25:$F$87,$F233,Покупка!$AC$25:$AC$87,$G233)</f>
        <v>0</v>
      </c>
      <c r="AR233" s="170">
        <f ca="1">SUMIFS(Покупка!AQ$25:AQ$87,Покупка!$F$25:$F$87,$F233,Покупка!$AC$25:$AC$87,$G233)</f>
        <v>0</v>
      </c>
      <c r="AS233" s="170">
        <f ca="1">SUMIFS(Покупка!AR$25:AR$87,Покупка!$F$25:$F$87,$F233,Покупка!$AC$25:$AC$87,$G233)</f>
        <v>0</v>
      </c>
      <c r="AT233" s="170">
        <f ca="1">SUMIFS(Покупка!AS$25:AS$87,Покупка!$F$25:$F$87,$F233,Покупка!$AC$25:$AC$87,$G233)</f>
        <v>0</v>
      </c>
      <c r="AU233" s="170">
        <f ca="1">SUMIFS(Покупка!AT$25:AT$87,Покупка!$F$25:$F$87,$F233,Покупка!$AC$25:$AC$87,$G233)</f>
        <v>0</v>
      </c>
      <c r="AV233" s="170">
        <f ca="1">SUMIFS(Покупка!AU$25:AU$87,Покупка!$F$25:$F$87,$F233,Покупка!$AC$25:$AC$87,$G233)</f>
        <v>0</v>
      </c>
      <c r="AW233" s="170">
        <f ca="1">SUMIFS(Покупка!AV$25:AV$87,Покупка!$F$25:$F$87,$F233,Покупка!$AC$25:$AC$87,$G233)</f>
        <v>0</v>
      </c>
      <c r="AX233" s="170">
        <f ca="1">SUMIFS(Покупка!AW$25:AW$87,Покупка!$F$25:$F$87,$F233,Покупка!$AC$25:$AC$87,$G233)</f>
        <v>0</v>
      </c>
      <c r="AY233" s="170">
        <f ca="1">SUMIFS(Покупка!AX$25:AX$87,Покупка!$F$25:$F$87,$F233,Покупка!$AC$25:$AC$87,$G233)</f>
        <v>0</v>
      </c>
      <c r="AZ233" s="170">
        <f ca="1">SUMIFS(Покупка!AY$25:AY$87,Покупка!$F$25:$F$87,$F233,Покупка!$AC$25:$AC$87,$G233)</f>
        <v>0</v>
      </c>
      <c r="BA233" s="170">
        <f ca="1">SUMIFS(Покупка!AZ$25:AZ$87,Покупка!$F$25:$F$87,$F233,Покупка!$AC$25:$AC$87,$G233)</f>
        <v>0</v>
      </c>
      <c r="BB233" s="170">
        <f ca="1">SUMIFS(Покупка!BA$25:BA$87,Покупка!$F$25:$F$87,$F233,Покупка!$AC$25:$AC$87,$G233)</f>
        <v>0</v>
      </c>
      <c r="BC233" s="170">
        <f ca="1">SUMIFS(Покупка!BB$25:BB$87,Покупка!$F$25:$F$87,$F233,Покупка!$AC$25:$AC$87,$G233)</f>
        <v>0</v>
      </c>
      <c r="BD233" s="170">
        <f t="shared" ca="1" si="57"/>
        <v>0</v>
      </c>
      <c r="BE233" s="170">
        <f t="shared" ca="1" si="58"/>
        <v>0</v>
      </c>
      <c r="BF233" s="170">
        <f t="shared" ca="1" si="59"/>
        <v>0</v>
      </c>
      <c r="BG233" s="170">
        <f t="shared" ca="1" si="60"/>
        <v>0</v>
      </c>
      <c r="BH233" s="170">
        <f t="shared" ca="1" si="61"/>
        <v>0</v>
      </c>
      <c r="BI233" s="170">
        <f t="shared" ca="1" si="62"/>
        <v>0</v>
      </c>
      <c r="BJ233" s="170">
        <f t="shared" ca="1" si="63"/>
        <v>0</v>
      </c>
      <c r="BK233" s="170">
        <f t="shared" ca="1" si="64"/>
        <v>0</v>
      </c>
      <c r="BL233" s="170">
        <f t="shared" ca="1" si="65"/>
        <v>0</v>
      </c>
      <c r="BM233" s="170">
        <f t="shared" ca="1" si="66"/>
        <v>0</v>
      </c>
      <c r="BN233" s="195"/>
      <c r="BO233" s="599" t="str">
        <f ca="1">IF(IFERROR(INDEX(Покупка!$K$26:$L$87,MATCH($F233&amp;"5komm",Покупка!$K$26:$K$87,0),2),"")=0,"",IFERROR(INDEX(Покупка!$K$26:$L$87,MATCH($F233&amp;"5komm",Покупка!$K$26:$K$87,0),2),""))</f>
        <v/>
      </c>
      <c r="BP233" s="195"/>
      <c r="BS233" s="694" t="s">
        <v>1770</v>
      </c>
    </row>
    <row r="234" spans="1:75" ht="40.5" customHeight="1">
      <c r="C234" s="25"/>
      <c r="D234" s="25"/>
      <c r="E234" s="449">
        <v>15</v>
      </c>
      <c r="F234" s="3" t="str" cm="1">
        <f t="array" aca="1" ref="F234" ca="1">OFFSET(E234,-1,1)</f>
        <v>1</v>
      </c>
      <c r="G234" s="25" t="s">
        <v>1120</v>
      </c>
      <c r="H234" s="25"/>
      <c r="I234" s="25"/>
      <c r="J234" s="25"/>
      <c r="K234" s="25"/>
      <c r="L234" s="25" t="s">
        <v>1544</v>
      </c>
      <c r="M234" s="25"/>
      <c r="N234" s="25"/>
      <c r="O234" s="25"/>
      <c r="P234" s="25"/>
      <c r="Q234" s="25"/>
      <c r="R234" s="25"/>
      <c r="S234" s="25"/>
      <c r="T234" s="351" t="b" cm="1">
        <f t="array" aca="1" ref="T234" ca="1">T233</f>
        <v>1</v>
      </c>
      <c r="U234" s="25"/>
      <c r="V234" s="25"/>
      <c r="W234" s="25"/>
      <c r="X234" s="1046"/>
      <c r="Z234" s="1008"/>
      <c r="AB234" s="7" t="s">
        <v>2072</v>
      </c>
      <c r="AC234" s="134" t="s">
        <v>2073</v>
      </c>
      <c r="AD234" s="7" t="s">
        <v>859</v>
      </c>
      <c r="AE234" s="170">
        <f ca="1">SUMIFS(Покупка!AE$25:AE$87,Покупка!$F$25:$F$87,$F234,Покупка!$AC$25:$AC$87,$G234)</f>
        <v>0</v>
      </c>
      <c r="AF234" s="170">
        <f ca="1">SUMIFS(Покупка!AF$25:AF$87,Покупка!$F$25:$F$87,$F234,Покупка!$AC$25:$AC$87,$G234)</f>
        <v>0</v>
      </c>
      <c r="AG234" s="170">
        <f ca="1">SUMIFS(Покупка!AG$25:AG$87,Покупка!$F$25:$F$87,$F234,Покупка!$AC$25:$AC$87,$G234)</f>
        <v>0</v>
      </c>
      <c r="AH234" s="170">
        <f t="shared" ca="1" si="55"/>
        <v>0</v>
      </c>
      <c r="AI234" s="170">
        <f ca="1">SUMIFS(Покупка!AH$25:AH$87,Покупка!$F$25:$F$87,$F234,Покупка!$AC$25:$AC$87,$G234)</f>
        <v>0</v>
      </c>
      <c r="AJ234" s="170">
        <f ca="1">SUMIFS(Покупка!AI$25:AI$87,Покупка!$F$25:$F$87,$F234,Покупка!$AC$25:$AC$87,$G234)</f>
        <v>1528.25</v>
      </c>
      <c r="AK234" s="170">
        <f ca="1">SUMIFS(Покупка!AJ$25:AJ$87,Покупка!$F$25:$F$87,$F234,Покупка!$AC$25:$AC$87,$G234)</f>
        <v>1595.5</v>
      </c>
      <c r="AL234" s="170">
        <f ca="1">SUMIFS(Покупка!AK$25:AK$87,Покупка!$F$25:$F$87,$F234,Покупка!$AC$25:$AC$87,$G234)</f>
        <v>1638.57</v>
      </c>
      <c r="AM234" s="170">
        <f ca="1">SUMIFS(Покупка!AL$25:AL$87,Покупка!$F$25:$F$87,$F234,Покупка!$AC$25:$AC$87,$G234)</f>
        <v>0</v>
      </c>
      <c r="AN234" s="170">
        <f ca="1">SUMIFS(Покупка!AM$25:AM$87,Покупка!$F$25:$F$87,$F234,Покупка!$AC$25:$AC$87,$G234)</f>
        <v>0</v>
      </c>
      <c r="AO234" s="170">
        <f ca="1">SUMIFS(Покупка!AN$25:AN$87,Покупка!$F$25:$F$87,$F234,Покупка!$AC$25:$AC$87,$G234)</f>
        <v>0</v>
      </c>
      <c r="AP234" s="170">
        <f ca="1">SUMIFS(Покупка!AO$25:AO$87,Покупка!$F$25:$F$87,$F234,Покупка!$AC$25:$AC$87,$G234)</f>
        <v>0</v>
      </c>
      <c r="AQ234" s="170">
        <f ca="1">SUMIFS(Покупка!AP$25:AP$87,Покупка!$F$25:$F$87,$F234,Покупка!$AC$25:$AC$87,$G234)</f>
        <v>0</v>
      </c>
      <c r="AR234" s="170">
        <f ca="1">SUMIFS(Покупка!AQ$25:AQ$87,Покупка!$F$25:$F$87,$F234,Покупка!$AC$25:$AC$87,$G234)</f>
        <v>0</v>
      </c>
      <c r="AS234" s="170">
        <f ca="1">SUMIFS(Покупка!AR$25:AR$87,Покупка!$F$25:$F$87,$F234,Покупка!$AC$25:$AC$87,$G234)</f>
        <v>0</v>
      </c>
      <c r="AT234" s="170">
        <f ca="1">SUMIFS(Покупка!AS$25:AS$87,Покупка!$F$25:$F$87,$F234,Покупка!$AC$25:$AC$87,$G234)</f>
        <v>1046.03</v>
      </c>
      <c r="AU234" s="170">
        <f ca="1">SUMIFS(Покупка!AT$25:AT$87,Покупка!$F$25:$F$87,$F234,Покупка!$AC$25:$AC$87,$G234)</f>
        <v>1141.22873</v>
      </c>
      <c r="AV234" s="170">
        <f ca="1">SUMIFS(Покупка!AU$25:AU$87,Покупка!$F$25:$F$87,$F234,Покупка!$AC$25:$AC$87,$G234)</f>
        <v>1197.14893777</v>
      </c>
      <c r="AW234" s="170">
        <f ca="1">SUMIFS(Покупка!AV$25:AV$87,Покупка!$F$25:$F$87,$F234,Покупка!$AC$25:$AC$87,$G234)</f>
        <v>0</v>
      </c>
      <c r="AX234" s="170">
        <f ca="1">SUMIFS(Покупка!AW$25:AW$87,Покупка!$F$25:$F$87,$F234,Покупка!$AC$25:$AC$87,$G234)</f>
        <v>0</v>
      </c>
      <c r="AY234" s="170">
        <f ca="1">SUMIFS(Покупка!AX$25:AX$87,Покупка!$F$25:$F$87,$F234,Покупка!$AC$25:$AC$87,$G234)</f>
        <v>0</v>
      </c>
      <c r="AZ234" s="170">
        <f ca="1">SUMIFS(Покупка!AY$25:AY$87,Покупка!$F$25:$F$87,$F234,Покупка!$AC$25:$AC$87,$G234)</f>
        <v>0</v>
      </c>
      <c r="BA234" s="170">
        <f ca="1">SUMIFS(Покупка!AZ$25:AZ$87,Покупка!$F$25:$F$87,$F234,Покупка!$AC$25:$AC$87,$G234)</f>
        <v>0</v>
      </c>
      <c r="BB234" s="170">
        <f ca="1">SUMIFS(Покупка!BA$25:BA$87,Покупка!$F$25:$F$87,$F234,Покупка!$AC$25:$AC$87,$G234)</f>
        <v>0</v>
      </c>
      <c r="BC234" s="170">
        <f ca="1">SUMIFS(Покупка!BB$25:BB$87,Покупка!$F$25:$F$87,$F234,Покупка!$AC$25:$AC$87,$G234)</f>
        <v>0</v>
      </c>
      <c r="BD234" s="170">
        <f t="shared" ca="1" si="57"/>
        <v>0</v>
      </c>
      <c r="BE234" s="170">
        <f t="shared" ca="1" si="58"/>
        <v>9.1009559955259469</v>
      </c>
      <c r="BF234" s="170">
        <f t="shared" ca="1" si="59"/>
        <v>4.8999999999999941</v>
      </c>
      <c r="BG234" s="170">
        <f t="shared" ca="1" si="60"/>
        <v>-100</v>
      </c>
      <c r="BH234" s="170">
        <f t="shared" ca="1" si="61"/>
        <v>0</v>
      </c>
      <c r="BI234" s="170">
        <f t="shared" ca="1" si="62"/>
        <v>0</v>
      </c>
      <c r="BJ234" s="170">
        <f t="shared" ca="1" si="63"/>
        <v>0</v>
      </c>
      <c r="BK234" s="170">
        <f t="shared" ca="1" si="64"/>
        <v>0</v>
      </c>
      <c r="BL234" s="170">
        <f t="shared" ca="1" si="65"/>
        <v>0</v>
      </c>
      <c r="BM234" s="170">
        <f t="shared" ca="1" si="66"/>
        <v>0</v>
      </c>
      <c r="BN234" s="195"/>
      <c r="BO234" s="599" t="s">
        <v>920</v>
      </c>
      <c r="BP234" s="195" t="s">
        <v>2250</v>
      </c>
      <c r="BS234" s="694" t="s">
        <v>1121</v>
      </c>
    </row>
    <row r="235" spans="1:75" ht="58.5" customHeight="1">
      <c r="C235" s="25"/>
      <c r="D235" s="25"/>
      <c r="E235" s="449">
        <v>15</v>
      </c>
      <c r="F235" s="3" t="str" cm="1">
        <f t="array" aca="1" ref="F235" ca="1">OFFSET(E235,-1,1)</f>
        <v>1</v>
      </c>
      <c r="G235" s="25"/>
      <c r="H235" s="25"/>
      <c r="I235" s="25" t="s">
        <v>528</v>
      </c>
      <c r="J235" s="25"/>
      <c r="K235" s="25" t="s">
        <v>528</v>
      </c>
      <c r="L235" s="25"/>
      <c r="M235" s="25"/>
      <c r="N235" s="25"/>
      <c r="O235" s="25"/>
      <c r="P235" s="25"/>
      <c r="Q235" s="25"/>
      <c r="R235" s="25"/>
      <c r="S235" s="25"/>
      <c r="T235" s="351" t="b" cm="1">
        <f t="array" aca="1" ref="T235" ca="1">T234</f>
        <v>1</v>
      </c>
      <c r="U235" s="25"/>
      <c r="V235" s="25"/>
      <c r="W235" s="25"/>
      <c r="X235" s="1046"/>
      <c r="Z235" s="1008"/>
      <c r="AB235" s="7" t="s">
        <v>592</v>
      </c>
      <c r="AC235" s="127" t="s">
        <v>2074</v>
      </c>
      <c r="AD235" s="99" t="s">
        <v>859</v>
      </c>
      <c r="AE235" s="170">
        <f ca="1">SUMIFS('Сырье и материалы'!AE$25:AE$36,'Сырье и материалы'!$F$25:$F$36,$F235,'Сырье и материалы'!$AC$25:$AC$36,"Всего по тарифу")</f>
        <v>40.98</v>
      </c>
      <c r="AF235" s="170">
        <f ca="1">SUMIFS('Сырье и материалы'!AF$25:AF$36,'Сырье и материалы'!$F$25:$F$36,$F235,'Сырье и материалы'!$AC$25:$AC$36,"Всего по тарифу")</f>
        <v>56.34</v>
      </c>
      <c r="AG235" s="170">
        <f ca="1">SUMIFS('Сырье и материалы'!AG$25:AG$36,'Сырье и материалы'!$F$25:$F$36,$F235,'Сырье и материалы'!$AC$25:$AC$36,"Всего по тарифу")</f>
        <v>56.34</v>
      </c>
      <c r="AH235" s="170">
        <f t="shared" ca="1" si="55"/>
        <v>0</v>
      </c>
      <c r="AI235" s="170">
        <f ca="1">SUMIFS('Сырье и материалы'!AH$25:AH$36,'Сырье и материалы'!$F$25:$F$36,$F235,'Сырье и материалы'!$AC$25:$AC$36,"Всего по тарифу")</f>
        <v>920.13</v>
      </c>
      <c r="AJ235" s="170">
        <f ca="1">SUMIFS('Сырье и материалы'!AI$25:AI$36,'Сырье и материалы'!$F$25:$F$36,$F235,'Сырье и материалы'!$AC$25:$AC$36,"Всего по тарифу")</f>
        <v>921.26</v>
      </c>
      <c r="AK235" s="170">
        <f ca="1">SUMIFS('Сырье и материалы'!AJ$25:AJ$36,'Сырье и материалы'!$F$25:$F$36,$F235,'Сырье и материалы'!$AC$25:$AC$36,"Всего по тарифу")</f>
        <v>957.19</v>
      </c>
      <c r="AL235" s="170">
        <f ca="1">SUMIFS('Сырье и материалы'!AK$25:AK$36,'Сырье и материалы'!$F$25:$F$36,$F235,'Сырье и материалы'!$AC$25:$AC$36,"Всего по тарифу")</f>
        <v>993.57</v>
      </c>
      <c r="AM235" s="170">
        <f ca="1">SUMIFS('Сырье и материалы'!AL$25:AL$36,'Сырье и материалы'!$F$25:$F$36,$F235,'Сырье и материалы'!$AC$25:$AC$36,"Всего по тарифу")</f>
        <v>0</v>
      </c>
      <c r="AN235" s="170">
        <f ca="1">SUMIFS('Сырье и материалы'!AM$25:AM$36,'Сырье и материалы'!$F$25:$F$36,$F235,'Сырье и материалы'!$AC$25:$AC$36,"Всего по тарифу")</f>
        <v>0</v>
      </c>
      <c r="AO235" s="170">
        <f ca="1">SUMIFS('Сырье и материалы'!AN$25:AN$36,'Сырье и материалы'!$F$25:$F$36,$F235,'Сырье и материалы'!$AC$25:$AC$36,"Всего по тарифу")</f>
        <v>0</v>
      </c>
      <c r="AP235" s="170">
        <f ca="1">SUMIFS('Сырье и материалы'!AO$25:AO$36,'Сырье и материалы'!$F$25:$F$36,$F235,'Сырье и материалы'!$AC$25:$AC$36,"Всего по тарифу")</f>
        <v>0</v>
      </c>
      <c r="AQ235" s="170">
        <f ca="1">SUMIFS('Сырье и материалы'!AP$25:AP$36,'Сырье и материалы'!$F$25:$F$36,$F235,'Сырье и материалы'!$AC$25:$AC$36,"Всего по тарифу")</f>
        <v>0</v>
      </c>
      <c r="AR235" s="170">
        <f ca="1">SUMIFS('Сырье и материалы'!AQ$25:AQ$36,'Сырье и материалы'!$F$25:$F$36,$F235,'Сырье и материалы'!$AC$25:$AC$36,"Всего по тарифу")</f>
        <v>0</v>
      </c>
      <c r="AS235" s="170">
        <f ca="1">SUMIFS('Сырье и материалы'!AR$25:AR$36,'Сырье и материалы'!$F$25:$F$36,$F235,'Сырье и материалы'!$AC$25:$AC$36,"Всего по тарифу")</f>
        <v>0</v>
      </c>
      <c r="AT235" s="170">
        <f ca="1">SUMIFS('Сырье и материалы'!AS$25:AS$36,'Сырье и материалы'!$F$25:$F$36,$F235,'Сырье и материалы'!$AC$25:$AC$36,"Всего по тарифу")</f>
        <v>699.89</v>
      </c>
      <c r="AU235" s="170">
        <f ca="1">SUMIFS('Сырье и материалы'!AT$25:AT$36,'Сырье и материалы'!$F$25:$F$36,$F235,'Сырье и материалы'!$AC$25:$AC$36,"Всего по тарифу")</f>
        <v>727.18</v>
      </c>
      <c r="AV235" s="170">
        <f ca="1">SUMIFS('Сырье и материалы'!AU$25:AU$36,'Сырье и материалы'!$F$25:$F$36,$F235,'Сырье и материалы'!$AC$25:$AC$36,"Всего по тарифу")</f>
        <v>754.81</v>
      </c>
      <c r="AW235" s="170">
        <f ca="1">SUMIFS('Сырье и материалы'!AV$25:AV$36,'Сырье и материалы'!$F$25:$F$36,$F235,'Сырье и материалы'!$AC$25:$AC$36,"Всего по тарифу")</f>
        <v>0</v>
      </c>
      <c r="AX235" s="170">
        <f ca="1">SUMIFS('Сырье и материалы'!AW$25:AW$36,'Сырье и материалы'!$F$25:$F$36,$F235,'Сырье и материалы'!$AC$25:$AC$36,"Всего по тарифу")</f>
        <v>0</v>
      </c>
      <c r="AY235" s="170">
        <f ca="1">SUMIFS('Сырье и материалы'!AX$25:AX$36,'Сырье и материалы'!$F$25:$F$36,$F235,'Сырье и материалы'!$AC$25:$AC$36,"Всего по тарифу")</f>
        <v>0</v>
      </c>
      <c r="AZ235" s="170">
        <f ca="1">SUMIFS('Сырье и материалы'!AY$25:AY$36,'Сырье и материалы'!$F$25:$F$36,$F235,'Сырье и материалы'!$AC$25:$AC$36,"Всего по тарифу")</f>
        <v>0</v>
      </c>
      <c r="BA235" s="170">
        <f ca="1">SUMIFS('Сырье и материалы'!AZ$25:AZ$36,'Сырье и материалы'!$F$25:$F$36,$F235,'Сырье и материалы'!$AC$25:$AC$36,"Всего по тарифу")</f>
        <v>0</v>
      </c>
      <c r="BB235" s="170">
        <f ca="1">SUMIFS('Сырье и материалы'!BA$25:BA$36,'Сырье и материалы'!$F$25:$F$36,$F235,'Сырье и материалы'!$AC$25:$AC$36,"Всего по тарифу")</f>
        <v>0</v>
      </c>
      <c r="BC235" s="170">
        <f ca="1">SUMIFS('Сырье и материалы'!BB$25:BB$36,'Сырье и материалы'!$F$25:$F$36,$F235,'Сырье и материалы'!$AC$25:$AC$36,"Всего по тарифу")</f>
        <v>0</v>
      </c>
      <c r="BD235" s="170">
        <f t="shared" ca="1" si="57"/>
        <v>-23.935748209492139</v>
      </c>
      <c r="BE235" s="170">
        <f t="shared" ca="1" si="58"/>
        <v>3.8991841575104611</v>
      </c>
      <c r="BF235" s="170">
        <f t="shared" ca="1" si="59"/>
        <v>3.7996094502049007</v>
      </c>
      <c r="BG235" s="170">
        <f t="shared" ca="1" si="60"/>
        <v>-100</v>
      </c>
      <c r="BH235" s="170">
        <f t="shared" ca="1" si="61"/>
        <v>0</v>
      </c>
      <c r="BI235" s="170">
        <f t="shared" ca="1" si="62"/>
        <v>0</v>
      </c>
      <c r="BJ235" s="170">
        <f t="shared" ca="1" si="63"/>
        <v>0</v>
      </c>
      <c r="BK235" s="170">
        <f t="shared" ca="1" si="64"/>
        <v>0</v>
      </c>
      <c r="BL235" s="170">
        <f t="shared" ca="1" si="65"/>
        <v>0</v>
      </c>
      <c r="BM235" s="170">
        <f t="shared" ca="1" si="66"/>
        <v>0</v>
      </c>
      <c r="BN235" s="195"/>
      <c r="BO235" s="599" t="str">
        <f ca="1">IF(IFERROR(INDEX('Сырье и материалы'!$K$26:$L$36,MATCH($F235&amp;"komm",'Сырье и материалы'!$K$26:$K$36,0),2),"")=0,"",IFERROR(INDEX('Сырье и материалы'!$K$26:$L$36,MATCH($F235&amp;"komm",'Сырье и материалы'!$K$26:$K$36,0),2),""))</f>
        <v>1) Пункты 22 - 23, 65 (л) Основ ценообразования  2)  П. 49 (10) , 16, 18(1), 19, 33 Методических указаний ФСТ России № 1746-э.</v>
      </c>
      <c r="BP235" s="195" t="s">
        <v>2251</v>
      </c>
      <c r="BS235" s="694" t="s">
        <v>1743</v>
      </c>
    </row>
    <row r="236" spans="1:75" s="903" customFormat="1" ht="77.25" customHeight="1">
      <c r="A236" s="76"/>
      <c r="B236" s="331"/>
      <c r="C236" s="27"/>
      <c r="D236" s="27"/>
      <c r="E236" s="557">
        <v>21</v>
      </c>
      <c r="F236" s="3" t="str" cm="1">
        <f t="array" aca="1" ref="F236" ca="1">OFFSET(E236,-1,1)</f>
        <v>1</v>
      </c>
      <c r="G236" s="27"/>
      <c r="H236" s="25"/>
      <c r="I236" s="25" t="s">
        <v>956</v>
      </c>
      <c r="J236" s="27"/>
      <c r="K236" s="25" t="s">
        <v>956</v>
      </c>
      <c r="L236" s="27" t="s">
        <v>560</v>
      </c>
      <c r="M236" s="27"/>
      <c r="N236" s="27"/>
      <c r="O236" s="27"/>
      <c r="P236" s="27"/>
      <c r="Q236" s="27"/>
      <c r="R236" s="27"/>
      <c r="S236" s="27"/>
      <c r="T236" s="351" t="b" cm="1">
        <f t="array" aca="1" ref="T236" ca="1">T235</f>
        <v>1</v>
      </c>
      <c r="U236" s="27"/>
      <c r="V236" s="27"/>
      <c r="W236" s="27"/>
      <c r="X236" s="1046"/>
      <c r="Y236" s="76"/>
      <c r="Z236" s="1008"/>
      <c r="AA236" s="76"/>
      <c r="AB236" s="124" t="s">
        <v>596</v>
      </c>
      <c r="AC236" s="262" t="s">
        <v>2075</v>
      </c>
      <c r="AD236" s="124" t="s">
        <v>859</v>
      </c>
      <c r="AE236" s="126">
        <f ca="1">SUM(AE237:AE246)</f>
        <v>532.67000000000007</v>
      </c>
      <c r="AF236" s="126">
        <f ca="1">SUM(AF237:AF246)</f>
        <v>841.61</v>
      </c>
      <c r="AG236" s="126">
        <f ca="1">SUM(AG237:AG246)</f>
        <v>841.61</v>
      </c>
      <c r="AH236" s="126">
        <f t="shared" ca="1" si="55"/>
        <v>0</v>
      </c>
      <c r="AI236" s="126">
        <f t="shared" ref="AI236:BC236" ca="1" si="68">SUM(AI237:AI246)</f>
        <v>11842.76</v>
      </c>
      <c r="AJ236" s="126">
        <f t="shared" ca="1" si="68"/>
        <v>15826</v>
      </c>
      <c r="AK236" s="126">
        <f t="shared" ca="1" si="68"/>
        <v>15316.32</v>
      </c>
      <c r="AL236" s="126">
        <f t="shared" ca="1" si="68"/>
        <v>14812.74</v>
      </c>
      <c r="AM236" s="126">
        <f t="shared" ca="1" si="68"/>
        <v>0</v>
      </c>
      <c r="AN236" s="126">
        <f t="shared" ca="1" si="68"/>
        <v>0</v>
      </c>
      <c r="AO236" s="126">
        <f t="shared" ca="1" si="68"/>
        <v>0</v>
      </c>
      <c r="AP236" s="126">
        <f t="shared" ca="1" si="68"/>
        <v>0</v>
      </c>
      <c r="AQ236" s="126">
        <f t="shared" ca="1" si="68"/>
        <v>0</v>
      </c>
      <c r="AR236" s="126">
        <f t="shared" ca="1" si="68"/>
        <v>0</v>
      </c>
      <c r="AS236" s="126">
        <f t="shared" ca="1" si="68"/>
        <v>0</v>
      </c>
      <c r="AT236" s="126">
        <f t="shared" ca="1" si="68"/>
        <v>14965.41</v>
      </c>
      <c r="AU236" s="126">
        <f t="shared" ca="1" si="68"/>
        <v>14443.34</v>
      </c>
      <c r="AV236" s="126">
        <f t="shared" ca="1" si="68"/>
        <v>13930.44</v>
      </c>
      <c r="AW236" s="126">
        <f t="shared" ca="1" si="68"/>
        <v>0</v>
      </c>
      <c r="AX236" s="126">
        <f t="shared" ca="1" si="68"/>
        <v>0</v>
      </c>
      <c r="AY236" s="126">
        <f t="shared" ca="1" si="68"/>
        <v>0</v>
      </c>
      <c r="AZ236" s="126">
        <f t="shared" ca="1" si="68"/>
        <v>0</v>
      </c>
      <c r="BA236" s="126">
        <f t="shared" ca="1" si="68"/>
        <v>0</v>
      </c>
      <c r="BB236" s="126">
        <f t="shared" ca="1" si="68"/>
        <v>0</v>
      </c>
      <c r="BC236" s="126">
        <f t="shared" ca="1" si="68"/>
        <v>0</v>
      </c>
      <c r="BD236" s="126">
        <f t="shared" ca="1" si="57"/>
        <v>26.367586609878096</v>
      </c>
      <c r="BE236" s="126">
        <f t="shared" ca="1" si="58"/>
        <v>-3.4885111734326006</v>
      </c>
      <c r="BF236" s="126">
        <f t="shared" ca="1" si="59"/>
        <v>-3.5511176777670519</v>
      </c>
      <c r="BG236" s="126">
        <f t="shared" ca="1" si="60"/>
        <v>-100</v>
      </c>
      <c r="BH236" s="126">
        <f t="shared" ca="1" si="61"/>
        <v>0</v>
      </c>
      <c r="BI236" s="126">
        <f t="shared" ca="1" si="62"/>
        <v>0</v>
      </c>
      <c r="BJ236" s="126">
        <f t="shared" ca="1" si="63"/>
        <v>0</v>
      </c>
      <c r="BK236" s="126">
        <f t="shared" ca="1" si="64"/>
        <v>0</v>
      </c>
      <c r="BL236" s="126">
        <f t="shared" ca="1" si="65"/>
        <v>0</v>
      </c>
      <c r="BM236" s="126">
        <f t="shared" ca="1" si="66"/>
        <v>0</v>
      </c>
      <c r="BN236" s="554"/>
      <c r="BO236" s="599" t="s">
        <v>2252</v>
      </c>
      <c r="BP236" s="554" t="s">
        <v>2253</v>
      </c>
      <c r="BQ236" s="76"/>
      <c r="BR236" s="76"/>
      <c r="BS236" s="700" t="s">
        <v>1294</v>
      </c>
      <c r="BT236" s="700"/>
      <c r="BU236" s="700"/>
      <c r="BV236" s="509"/>
      <c r="BW236" s="509"/>
    </row>
    <row r="237" spans="1:75" ht="14.25" customHeight="1">
      <c r="C237" s="25"/>
      <c r="D237" s="25"/>
      <c r="E237" s="449">
        <v>15</v>
      </c>
      <c r="F237" s="3" t="str" cm="1">
        <f t="array" aca="1" ref="F237" ca="1">OFFSET(E237,-1,1)</f>
        <v>1</v>
      </c>
      <c r="G237" s="609">
        <v>7</v>
      </c>
      <c r="H237" s="25"/>
      <c r="I237" s="25" t="s">
        <v>2076</v>
      </c>
      <c r="J237" s="25"/>
      <c r="K237" s="25" t="s">
        <v>2076</v>
      </c>
      <c r="L237" s="25"/>
      <c r="M237" s="25"/>
      <c r="N237" s="25"/>
      <c r="O237" s="25"/>
      <c r="P237" s="25"/>
      <c r="Q237" s="25"/>
      <c r="R237" s="25"/>
      <c r="S237" s="25"/>
      <c r="T237" s="351" t="b" cm="1">
        <f t="array" aca="1" ref="T237" ca="1">T236</f>
        <v>1</v>
      </c>
      <c r="U237" s="25"/>
      <c r="V237" s="25"/>
      <c r="W237" s="25"/>
      <c r="X237" s="1046"/>
      <c r="Z237" s="1008"/>
      <c r="AB237" s="7" t="s">
        <v>544</v>
      </c>
      <c r="AC237" s="134" t="s">
        <v>1308</v>
      </c>
      <c r="AD237" s="7" t="s">
        <v>859</v>
      </c>
      <c r="AE237" s="170">
        <f ca="1">SUMIFS(Налоги!AE$25:AE$55,Налоги!$F$25:$F$55,$F237,Налоги!$AB$25:$AB$55,$G237)</f>
        <v>0</v>
      </c>
      <c r="AF237" s="170">
        <f ca="1">SUMIFS(Налоги!AF$25:AF$55,Налоги!$F$25:$F$55,$F237,Налоги!$AB$25:$AB$55,$G237)</f>
        <v>0</v>
      </c>
      <c r="AG237" s="170">
        <f ca="1">SUMIFS(Налоги!AG$25:AG$55,Налоги!$F$25:$F$55,$F237,Налоги!$AB$25:$AB$55,$G237)</f>
        <v>0</v>
      </c>
      <c r="AH237" s="170">
        <f t="shared" ca="1" si="55"/>
        <v>0</v>
      </c>
      <c r="AI237" s="170">
        <f ca="1">SUMIFS(Налоги!AH$25:AH$55,Налоги!$F$25:$F$55,$F237,Налоги!$AB$25:$AB$55,$G237)</f>
        <v>0</v>
      </c>
      <c r="AJ237" s="170">
        <f ca="1">SUMIFS(Налоги!AI$25:AI$55,Налоги!$F$25:$F$55,$F237,Налоги!$AB$25:$AB$55,$G237)</f>
        <v>0</v>
      </c>
      <c r="AK237" s="170">
        <f ca="1">SUMIFS(Налоги!AJ$25:AJ$55,Налоги!$F$25:$F$55,$F237,Налоги!$AB$25:$AB$55,$G237)</f>
        <v>0</v>
      </c>
      <c r="AL237" s="170">
        <f ca="1">SUMIFS(Налоги!AK$25:AK$55,Налоги!$F$25:$F$55,$F237,Налоги!$AB$25:$AB$55,$G237)</f>
        <v>0</v>
      </c>
      <c r="AM237" s="170">
        <f ca="1">SUMIFS(Налоги!AL$25:AL$55,Налоги!$F$25:$F$55,$F237,Налоги!$AB$25:$AB$55,$G237)</f>
        <v>0</v>
      </c>
      <c r="AN237" s="170">
        <f ca="1">SUMIFS(Налоги!AM$25:AM$55,Налоги!$F$25:$F$55,$F237,Налоги!$AB$25:$AB$55,$G237)</f>
        <v>0</v>
      </c>
      <c r="AO237" s="170">
        <f ca="1">SUMIFS(Налоги!AN$25:AN$55,Налоги!$F$25:$F$55,$F237,Налоги!$AB$25:$AB$55,$G237)</f>
        <v>0</v>
      </c>
      <c r="AP237" s="170">
        <f ca="1">SUMIFS(Налоги!AO$25:AO$55,Налоги!$F$25:$F$55,$F237,Налоги!$AB$25:$AB$55,$G237)</f>
        <v>0</v>
      </c>
      <c r="AQ237" s="170">
        <f ca="1">SUMIFS(Налоги!AP$25:AP$55,Налоги!$F$25:$F$55,$F237,Налоги!$AB$25:$AB$55,$G237)</f>
        <v>0</v>
      </c>
      <c r="AR237" s="170">
        <f ca="1">SUMIFS(Налоги!AQ$25:AQ$55,Налоги!$F$25:$F$55,$F237,Налоги!$AB$25:$AB$55,$G237)</f>
        <v>0</v>
      </c>
      <c r="AS237" s="170">
        <f ca="1">SUMIFS(Налоги!AR$25:AR$55,Налоги!$F$25:$F$55,$F237,Налоги!$AB$25:$AB$55,$G237)</f>
        <v>0</v>
      </c>
      <c r="AT237" s="170">
        <f ca="1">SUMIFS(Налоги!AS$25:AS$55,Налоги!$F$25:$F$55,$F237,Налоги!$AB$25:$AB$55,$G237)</f>
        <v>0</v>
      </c>
      <c r="AU237" s="170">
        <f ca="1">SUMIFS(Налоги!AT$25:AT$55,Налоги!$F$25:$F$55,$F237,Налоги!$AB$25:$AB$55,$G237)</f>
        <v>0</v>
      </c>
      <c r="AV237" s="170">
        <f ca="1">SUMIFS(Налоги!AU$25:AU$55,Налоги!$F$25:$F$55,$F237,Налоги!$AB$25:$AB$55,$G237)</f>
        <v>0</v>
      </c>
      <c r="AW237" s="170">
        <f ca="1">SUMIFS(Налоги!AV$25:AV$55,Налоги!$F$25:$F$55,$F237,Налоги!$AB$25:$AB$55,$G237)</f>
        <v>0</v>
      </c>
      <c r="AX237" s="170">
        <f ca="1">SUMIFS(Налоги!AW$25:AW$55,Налоги!$F$25:$F$55,$F237,Налоги!$AB$25:$AB$55,$G237)</f>
        <v>0</v>
      </c>
      <c r="AY237" s="170">
        <f ca="1">SUMIFS(Налоги!AX$25:AX$55,Налоги!$F$25:$F$55,$F237,Налоги!$AB$25:$AB$55,$G237)</f>
        <v>0</v>
      </c>
      <c r="AZ237" s="170">
        <f ca="1">SUMIFS(Налоги!AY$25:AY$55,Налоги!$F$25:$F$55,$F237,Налоги!$AB$25:$AB$55,$G237)</f>
        <v>0</v>
      </c>
      <c r="BA237" s="170">
        <f ca="1">SUMIFS(Налоги!AZ$25:AZ$55,Налоги!$F$25:$F$55,$F237,Налоги!$AB$25:$AB$55,$G237)</f>
        <v>0</v>
      </c>
      <c r="BB237" s="170">
        <f ca="1">SUMIFS(Налоги!BA$25:BA$55,Налоги!$F$25:$F$55,$F237,Налоги!$AB$25:$AB$55,$G237)</f>
        <v>0</v>
      </c>
      <c r="BC237" s="170">
        <f ca="1">SUMIFS(Налоги!BB$25:BB$55,Налоги!$F$25:$F$55,$F237,Налоги!$AB$25:$AB$55,$G237)</f>
        <v>0</v>
      </c>
      <c r="BD237" s="170">
        <f t="shared" ca="1" si="57"/>
        <v>0</v>
      </c>
      <c r="BE237" s="170">
        <f t="shared" ca="1" si="58"/>
        <v>0</v>
      </c>
      <c r="BF237" s="170">
        <f t="shared" ca="1" si="59"/>
        <v>0</v>
      </c>
      <c r="BG237" s="170">
        <f t="shared" ca="1" si="60"/>
        <v>0</v>
      </c>
      <c r="BH237" s="170">
        <f t="shared" ca="1" si="61"/>
        <v>0</v>
      </c>
      <c r="BI237" s="170">
        <f t="shared" ca="1" si="62"/>
        <v>0</v>
      </c>
      <c r="BJ237" s="170">
        <f t="shared" ca="1" si="63"/>
        <v>0</v>
      </c>
      <c r="BK237" s="170">
        <f t="shared" ca="1" si="64"/>
        <v>0</v>
      </c>
      <c r="BL237" s="170">
        <f t="shared" ca="1" si="65"/>
        <v>0</v>
      </c>
      <c r="BM237" s="170">
        <f t="shared" ca="1" si="66"/>
        <v>0</v>
      </c>
      <c r="BN237" s="195"/>
      <c r="BO237" s="599" t="str">
        <f ca="1">IF(IFERROR(INDEX(Налоги!$K$26:$L$55,MATCH($F237&amp;"7komm",Налоги!$K$26:$K$55,0),2),"")=0,"",IFERROR(INDEX(Налоги!$K$26:$L$55,MATCH($F237&amp;"7komm",Налоги!$K$26:$K$55,0),2),""))</f>
        <v/>
      </c>
      <c r="BP237" s="195"/>
      <c r="BS237" s="694" t="s">
        <v>2077</v>
      </c>
    </row>
    <row r="238" spans="1:75" ht="83.25" customHeight="1">
      <c r="C238" s="25"/>
      <c r="D238" s="25"/>
      <c r="E238" s="449">
        <v>15</v>
      </c>
      <c r="F238" s="3" t="str" cm="1">
        <f t="array" aca="1" ref="F238" ca="1">OFFSET(E238,-1,1)</f>
        <v>1</v>
      </c>
      <c r="G238" s="609">
        <v>6</v>
      </c>
      <c r="H238" s="25"/>
      <c r="I238" s="25" t="s">
        <v>2078</v>
      </c>
      <c r="J238" s="25"/>
      <c r="K238" s="25" t="s">
        <v>2078</v>
      </c>
      <c r="L238" s="25"/>
      <c r="M238" s="25"/>
      <c r="N238" s="25"/>
      <c r="O238" s="25"/>
      <c r="P238" s="25"/>
      <c r="Q238" s="25"/>
      <c r="R238" s="25"/>
      <c r="S238" s="25"/>
      <c r="T238" s="351" t="b" cm="1">
        <f t="array" aca="1" ref="T238" ca="1">T237</f>
        <v>1</v>
      </c>
      <c r="U238" s="25"/>
      <c r="V238" s="25"/>
      <c r="W238" s="25"/>
      <c r="X238" s="1046"/>
      <c r="Z238" s="1008"/>
      <c r="AB238" s="7" t="s">
        <v>1534</v>
      </c>
      <c r="AC238" s="134" t="s">
        <v>2079</v>
      </c>
      <c r="AD238" s="7" t="s">
        <v>859</v>
      </c>
      <c r="AE238" s="170">
        <f ca="1">SUMIFS(Налоги!AE$25:AE$55,Налоги!$F$25:$F$55,$F238,Налоги!$AB$25:$AB$55,$G238)</f>
        <v>0</v>
      </c>
      <c r="AF238" s="170">
        <f ca="1">SUMIFS(Налоги!AF$25:AF$55,Налоги!$F$25:$F$55,$F238,Налоги!$AB$25:$AB$55,$G238)</f>
        <v>0</v>
      </c>
      <c r="AG238" s="170">
        <f ca="1">SUMIFS(Налоги!AG$25:AG$55,Налоги!$F$25:$F$55,$F238,Налоги!$AB$25:$AB$55,$G238)</f>
        <v>0</v>
      </c>
      <c r="AH238" s="170">
        <f t="shared" ca="1" si="55"/>
        <v>0</v>
      </c>
      <c r="AI238" s="170">
        <f ca="1">SUMIFS(Налоги!AH$25:AH$55,Налоги!$F$25:$F$55,$F238,Налоги!$AB$25:$AB$55,$G238)</f>
        <v>7560.01</v>
      </c>
      <c r="AJ238" s="170">
        <f ca="1">SUMIFS(Налоги!AI$25:AI$55,Налоги!$F$25:$F$55,$F238,Налоги!$AB$25:$AB$55,$G238)</f>
        <v>12010.99</v>
      </c>
      <c r="AK238" s="170">
        <f ca="1">SUMIFS(Налоги!AJ$25:AJ$55,Налоги!$F$25:$F$55,$F238,Налоги!$AB$25:$AB$55,$G238)</f>
        <v>11349.73</v>
      </c>
      <c r="AL238" s="170">
        <f ca="1">SUMIFS(Налоги!AK$25:AK$55,Налоги!$F$25:$F$55,$F238,Налоги!$AB$25:$AB$55,$G238)</f>
        <v>10688.47</v>
      </c>
      <c r="AM238" s="170">
        <f ca="1">SUMIFS(Налоги!AL$25:AL$55,Налоги!$F$25:$F$55,$F238,Налоги!$AB$25:$AB$55,$G238)</f>
        <v>0</v>
      </c>
      <c r="AN238" s="170">
        <f ca="1">SUMIFS(Налоги!AM$25:AM$55,Налоги!$F$25:$F$55,$F238,Налоги!$AB$25:$AB$55,$G238)</f>
        <v>0</v>
      </c>
      <c r="AO238" s="170">
        <f ca="1">SUMIFS(Налоги!AN$25:AN$55,Налоги!$F$25:$F$55,$F238,Налоги!$AB$25:$AB$55,$G238)</f>
        <v>0</v>
      </c>
      <c r="AP238" s="170">
        <f ca="1">SUMIFS(Налоги!AO$25:AO$55,Налоги!$F$25:$F$55,$F238,Налоги!$AB$25:$AB$55,$G238)</f>
        <v>0</v>
      </c>
      <c r="AQ238" s="170">
        <f ca="1">SUMIFS(Налоги!AP$25:AP$55,Налоги!$F$25:$F$55,$F238,Налоги!$AB$25:$AB$55,$G238)</f>
        <v>0</v>
      </c>
      <c r="AR238" s="170">
        <f ca="1">SUMIFS(Налоги!AQ$25:AQ$55,Налоги!$F$25:$F$55,$F238,Налоги!$AB$25:$AB$55,$G238)</f>
        <v>0</v>
      </c>
      <c r="AS238" s="170">
        <f ca="1">SUMIFS(Налоги!AR$25:AR$55,Налоги!$F$25:$F$55,$F238,Налоги!$AB$25:$AB$55,$G238)</f>
        <v>0</v>
      </c>
      <c r="AT238" s="170">
        <f ca="1">SUMIFS(Налоги!AS$25:AS$55,Налоги!$F$25:$F$55,$F238,Налоги!$AB$25:$AB$55,$G238)</f>
        <v>11150.4</v>
      </c>
      <c r="AU238" s="170">
        <f ca="1">SUMIFS(Налоги!AT$25:AT$55,Налоги!$F$25:$F$55,$F238,Налоги!$AB$25:$AB$55,$G238)</f>
        <v>10476.719999999999</v>
      </c>
      <c r="AV238" s="170">
        <f ca="1">SUMIFS(Налоги!AU$25:AU$55,Налоги!$F$25:$F$55,$F238,Налоги!$AB$25:$AB$55,$G238)</f>
        <v>9806.15</v>
      </c>
      <c r="AW238" s="170">
        <f ca="1">SUMIFS(Налоги!AV$25:AV$55,Налоги!$F$25:$F$55,$F238,Налоги!$AB$25:$AB$55,$G238)</f>
        <v>0</v>
      </c>
      <c r="AX238" s="170">
        <f ca="1">SUMIFS(Налоги!AW$25:AW$55,Налоги!$F$25:$F$55,$F238,Налоги!$AB$25:$AB$55,$G238)</f>
        <v>0</v>
      </c>
      <c r="AY238" s="170">
        <f ca="1">SUMIFS(Налоги!AX$25:AX$55,Налоги!$F$25:$F$55,$F238,Налоги!$AB$25:$AB$55,$G238)</f>
        <v>0</v>
      </c>
      <c r="AZ238" s="170">
        <f ca="1">SUMIFS(Налоги!AY$25:AY$55,Налоги!$F$25:$F$55,$F238,Налоги!$AB$25:$AB$55,$G238)</f>
        <v>0</v>
      </c>
      <c r="BA238" s="170">
        <f ca="1">SUMIFS(Налоги!AZ$25:AZ$55,Налоги!$F$25:$F$55,$F238,Налоги!$AB$25:$AB$55,$G238)</f>
        <v>0</v>
      </c>
      <c r="BB238" s="170">
        <f ca="1">SUMIFS(Налоги!BA$25:BA$55,Налоги!$F$25:$F$55,$F238,Налоги!$AB$25:$AB$55,$G238)</f>
        <v>0</v>
      </c>
      <c r="BC238" s="170">
        <f ca="1">SUMIFS(Налоги!BB$25:BB$55,Налоги!$F$25:$F$55,$F238,Налоги!$AB$25:$AB$55,$G238)</f>
        <v>0</v>
      </c>
      <c r="BD238" s="170">
        <f t="shared" ca="1" si="57"/>
        <v>47.491868396999465</v>
      </c>
      <c r="BE238" s="170">
        <f t="shared" ca="1" si="58"/>
        <v>-6.0417563495480016</v>
      </c>
      <c r="BF238" s="170">
        <f t="shared" ca="1" si="59"/>
        <v>-6.40057193472766</v>
      </c>
      <c r="BG238" s="170">
        <f t="shared" ca="1" si="60"/>
        <v>-100</v>
      </c>
      <c r="BH238" s="170">
        <f t="shared" ca="1" si="61"/>
        <v>0</v>
      </c>
      <c r="BI238" s="170">
        <f t="shared" ca="1" si="62"/>
        <v>0</v>
      </c>
      <c r="BJ238" s="170">
        <f t="shared" ca="1" si="63"/>
        <v>0</v>
      </c>
      <c r="BK238" s="170">
        <f t="shared" ca="1" si="64"/>
        <v>0</v>
      </c>
      <c r="BL238" s="170">
        <f t="shared" ca="1" si="65"/>
        <v>0</v>
      </c>
      <c r="BM238" s="170">
        <f t="shared" ca="1" si="66"/>
        <v>0</v>
      </c>
      <c r="BN238" s="195"/>
      <c r="BO238" s="599" t="str">
        <f ca="1">IF(IFERROR(INDEX(Налоги!$K$26:$L$55,MATCH($F238&amp;"6komm",Налоги!$K$26:$K$55,0),2),"")=0,"",IFERROR(INDEX(Налоги!$K$26:$L$55,MATCH($F238&amp;"6komm",Налоги!$K$26:$K$55,0),2),""))</f>
        <v>Глава 30 "НАЛОГ НА ИМУЩЕСТВО ОРГАНИЗАЦИЙ" Налогового кодекса РФ (Часть вторая);  Закон Кемеровской области - Кузбасса от 26.11.2003 N 60-ОЗ (ред. от 30.06.2025 N 79-ОЗ) "О налоге на имущество организаций".</v>
      </c>
      <c r="BP238" s="195" t="s">
        <v>2253</v>
      </c>
      <c r="BS238" s="694" t="s">
        <v>2080</v>
      </c>
    </row>
    <row r="239" spans="1:75" ht="14.25" customHeight="1">
      <c r="C239" s="25"/>
      <c r="D239" s="25"/>
      <c r="E239" s="449">
        <v>15</v>
      </c>
      <c r="F239" s="3" t="str" cm="1">
        <f t="array" aca="1" ref="F239" ca="1">OFFSET(E239,-1,1)</f>
        <v>1</v>
      </c>
      <c r="G239" s="609">
        <v>2</v>
      </c>
      <c r="H239" s="25"/>
      <c r="I239" s="25" t="s">
        <v>2081</v>
      </c>
      <c r="J239" s="25"/>
      <c r="K239" s="25" t="s">
        <v>2081</v>
      </c>
      <c r="L239" s="25"/>
      <c r="M239" s="25"/>
      <c r="N239" s="25"/>
      <c r="O239" s="25"/>
      <c r="P239" s="25"/>
      <c r="Q239" s="25"/>
      <c r="R239" s="25"/>
      <c r="S239" s="25"/>
      <c r="T239" s="351" t="b" cm="1">
        <f t="array" aca="1" ref="T239" ca="1">T238</f>
        <v>1</v>
      </c>
      <c r="U239" s="25"/>
      <c r="V239" s="25"/>
      <c r="W239" s="25"/>
      <c r="X239" s="1046"/>
      <c r="Z239" s="1008"/>
      <c r="AB239" s="7" t="s">
        <v>1539</v>
      </c>
      <c r="AC239" s="134" t="s">
        <v>2082</v>
      </c>
      <c r="AD239" s="7" t="s">
        <v>859</v>
      </c>
      <c r="AE239" s="170">
        <f ca="1">SUMIFS(Налоги!AE$25:AE$55,Налоги!$F$25:$F$55,$F239,Налоги!$AB$25:$AB$55,$G239)</f>
        <v>0</v>
      </c>
      <c r="AF239" s="170">
        <f ca="1">SUMIFS(Налоги!AF$25:AF$55,Налоги!$F$25:$F$55,$F239,Налоги!$AB$25:$AB$55,$G239)</f>
        <v>0</v>
      </c>
      <c r="AG239" s="170">
        <f ca="1">SUMIFS(Налоги!AG$25:AG$55,Налоги!$F$25:$F$55,$F239,Налоги!$AB$25:$AB$55,$G239)</f>
        <v>0</v>
      </c>
      <c r="AH239" s="170">
        <f t="shared" ca="1" si="55"/>
        <v>0</v>
      </c>
      <c r="AI239" s="170">
        <f ca="1">SUMIFS(Налоги!AH$25:AH$55,Налоги!$F$25:$F$55,$F239,Налоги!$AB$25:$AB$55,$G239)</f>
        <v>0</v>
      </c>
      <c r="AJ239" s="170">
        <f ca="1">SUMIFS(Налоги!AI$25:AI$55,Налоги!$F$25:$F$55,$F239,Налоги!$AB$25:$AB$55,$G239)</f>
        <v>0</v>
      </c>
      <c r="AK239" s="170">
        <f ca="1">SUMIFS(Налоги!AJ$25:AJ$55,Налоги!$F$25:$F$55,$F239,Налоги!$AB$25:$AB$55,$G239)</f>
        <v>0</v>
      </c>
      <c r="AL239" s="170">
        <f ca="1">SUMIFS(Налоги!AK$25:AK$55,Налоги!$F$25:$F$55,$F239,Налоги!$AB$25:$AB$55,$G239)</f>
        <v>0</v>
      </c>
      <c r="AM239" s="170">
        <f ca="1">SUMIFS(Налоги!AL$25:AL$55,Налоги!$F$25:$F$55,$F239,Налоги!$AB$25:$AB$55,$G239)</f>
        <v>0</v>
      </c>
      <c r="AN239" s="170">
        <f ca="1">SUMIFS(Налоги!AM$25:AM$55,Налоги!$F$25:$F$55,$F239,Налоги!$AB$25:$AB$55,$G239)</f>
        <v>0</v>
      </c>
      <c r="AO239" s="170">
        <f ca="1">SUMIFS(Налоги!AN$25:AN$55,Налоги!$F$25:$F$55,$F239,Налоги!$AB$25:$AB$55,$G239)</f>
        <v>0</v>
      </c>
      <c r="AP239" s="170">
        <f ca="1">SUMIFS(Налоги!AO$25:AO$55,Налоги!$F$25:$F$55,$F239,Налоги!$AB$25:$AB$55,$G239)</f>
        <v>0</v>
      </c>
      <c r="AQ239" s="170">
        <f ca="1">SUMIFS(Налоги!AP$25:AP$55,Налоги!$F$25:$F$55,$F239,Налоги!$AB$25:$AB$55,$G239)</f>
        <v>0</v>
      </c>
      <c r="AR239" s="170">
        <f ca="1">SUMIFS(Налоги!AQ$25:AQ$55,Налоги!$F$25:$F$55,$F239,Налоги!$AB$25:$AB$55,$G239)</f>
        <v>0</v>
      </c>
      <c r="AS239" s="170">
        <f ca="1">SUMIFS(Налоги!AR$25:AR$55,Налоги!$F$25:$F$55,$F239,Налоги!$AB$25:$AB$55,$G239)</f>
        <v>0</v>
      </c>
      <c r="AT239" s="170">
        <f ca="1">SUMIFS(Налоги!AS$25:AS$55,Налоги!$F$25:$F$55,$F239,Налоги!$AB$25:$AB$55,$G239)</f>
        <v>0</v>
      </c>
      <c r="AU239" s="170">
        <f ca="1">SUMIFS(Налоги!AT$25:AT$55,Налоги!$F$25:$F$55,$F239,Налоги!$AB$25:$AB$55,$G239)</f>
        <v>0</v>
      </c>
      <c r="AV239" s="170">
        <f ca="1">SUMIFS(Налоги!AU$25:AU$55,Налоги!$F$25:$F$55,$F239,Налоги!$AB$25:$AB$55,$G239)</f>
        <v>0</v>
      </c>
      <c r="AW239" s="170">
        <f ca="1">SUMIFS(Налоги!AV$25:AV$55,Налоги!$F$25:$F$55,$F239,Налоги!$AB$25:$AB$55,$G239)</f>
        <v>0</v>
      </c>
      <c r="AX239" s="170">
        <f ca="1">SUMIFS(Налоги!AW$25:AW$55,Налоги!$F$25:$F$55,$F239,Налоги!$AB$25:$AB$55,$G239)</f>
        <v>0</v>
      </c>
      <c r="AY239" s="170">
        <f ca="1">SUMIFS(Налоги!AX$25:AX$55,Налоги!$F$25:$F$55,$F239,Налоги!$AB$25:$AB$55,$G239)</f>
        <v>0</v>
      </c>
      <c r="AZ239" s="170">
        <f ca="1">SUMIFS(Налоги!AY$25:AY$55,Налоги!$F$25:$F$55,$F239,Налоги!$AB$25:$AB$55,$G239)</f>
        <v>0</v>
      </c>
      <c r="BA239" s="170">
        <f ca="1">SUMIFS(Налоги!AZ$25:AZ$55,Налоги!$F$25:$F$55,$F239,Налоги!$AB$25:$AB$55,$G239)</f>
        <v>0</v>
      </c>
      <c r="BB239" s="170">
        <f ca="1">SUMIFS(Налоги!BA$25:BA$55,Налоги!$F$25:$F$55,$F239,Налоги!$AB$25:$AB$55,$G239)</f>
        <v>0</v>
      </c>
      <c r="BC239" s="170">
        <f ca="1">SUMIFS(Налоги!BB$25:BB$55,Налоги!$F$25:$F$55,$F239,Налоги!$AB$25:$AB$55,$G239)</f>
        <v>0</v>
      </c>
      <c r="BD239" s="170">
        <f t="shared" ca="1" si="57"/>
        <v>0</v>
      </c>
      <c r="BE239" s="170">
        <f t="shared" ca="1" si="58"/>
        <v>0</v>
      </c>
      <c r="BF239" s="170">
        <f t="shared" ca="1" si="59"/>
        <v>0</v>
      </c>
      <c r="BG239" s="170">
        <f t="shared" ca="1" si="60"/>
        <v>0</v>
      </c>
      <c r="BH239" s="170">
        <f t="shared" ca="1" si="61"/>
        <v>0</v>
      </c>
      <c r="BI239" s="170">
        <f t="shared" ca="1" si="62"/>
        <v>0</v>
      </c>
      <c r="BJ239" s="170">
        <f t="shared" ca="1" si="63"/>
        <v>0</v>
      </c>
      <c r="BK239" s="170">
        <f t="shared" ca="1" si="64"/>
        <v>0</v>
      </c>
      <c r="BL239" s="170">
        <f t="shared" ca="1" si="65"/>
        <v>0</v>
      </c>
      <c r="BM239" s="170">
        <f t="shared" ca="1" si="66"/>
        <v>0</v>
      </c>
      <c r="BN239" s="195"/>
      <c r="BO239" s="599" t="str">
        <f ca="1">IF(IFERROR(INDEX(Налоги!$K$26:$L$55,MATCH($F239&amp;"2komm",Налоги!$K$26:$K$55,0),2),"")=0,"",IFERROR(INDEX(Налоги!$K$26:$L$55,MATCH($F239&amp;"2komm",Налоги!$K$26:$K$55,0),2),""))</f>
        <v/>
      </c>
      <c r="BP239" s="195"/>
      <c r="BS239" s="694" t="s">
        <v>2083</v>
      </c>
    </row>
    <row r="240" spans="1:75" ht="57.75" customHeight="1">
      <c r="C240" s="25"/>
      <c r="D240" s="25"/>
      <c r="E240" s="449">
        <v>15</v>
      </c>
      <c r="F240" s="3" t="str" cm="1">
        <f t="array" aca="1" ref="F240" ca="1">OFFSET(E240,-1,1)</f>
        <v>1</v>
      </c>
      <c r="G240" s="609">
        <v>4</v>
      </c>
      <c r="H240" s="25"/>
      <c r="I240" s="25" t="s">
        <v>2084</v>
      </c>
      <c r="J240" s="25"/>
      <c r="K240" s="25" t="s">
        <v>2084</v>
      </c>
      <c r="L240" s="25"/>
      <c r="M240" s="25"/>
      <c r="N240" s="25"/>
      <c r="O240" s="25"/>
      <c r="P240" s="25"/>
      <c r="Q240" s="25"/>
      <c r="R240" s="25"/>
      <c r="S240" s="25"/>
      <c r="T240" s="351" t="b" cm="1">
        <f t="array" aca="1" ref="T240" ca="1">T239</f>
        <v>1</v>
      </c>
      <c r="U240" s="25"/>
      <c r="V240" s="25"/>
      <c r="W240" s="25"/>
      <c r="X240" s="1046"/>
      <c r="Z240" s="1008"/>
      <c r="AB240" s="7" t="s">
        <v>2085</v>
      </c>
      <c r="AC240" s="134" t="s">
        <v>2086</v>
      </c>
      <c r="AD240" s="7" t="s">
        <v>859</v>
      </c>
      <c r="AE240" s="170">
        <f ca="1">SUMIFS(Налоги!AE$25:AE$55,Налоги!$F$25:$F$55,$F240,Налоги!$AB$25:$AB$55,$G240)</f>
        <v>161.63999999999999</v>
      </c>
      <c r="AF240" s="170">
        <f ca="1">SUMIFS(Налоги!AF$25:AF$55,Налоги!$F$25:$F$55,$F240,Налоги!$AB$25:$AB$55,$G240)</f>
        <v>432.11</v>
      </c>
      <c r="AG240" s="170">
        <f ca="1">SUMIFS(Налоги!AG$25:AG$55,Налоги!$F$25:$F$55,$F240,Налоги!$AB$25:$AB$55,$G240)</f>
        <v>432.11</v>
      </c>
      <c r="AH240" s="170">
        <f t="shared" ca="1" si="55"/>
        <v>0</v>
      </c>
      <c r="AI240" s="170">
        <f ca="1">SUMIFS(Налоги!AH$25:AH$55,Налоги!$F$25:$F$55,$F240,Налоги!$AB$25:$AB$55,$G240)</f>
        <v>4274.8999999999996</v>
      </c>
      <c r="AJ240" s="170">
        <f ca="1">SUMIFS(Налоги!AI$25:AI$55,Налоги!$F$25:$F$55,$F240,Налоги!$AB$25:$AB$55,$G240)</f>
        <v>3790.47</v>
      </c>
      <c r="AK240" s="170">
        <f ca="1">SUMIFS(Налоги!AJ$25:AJ$55,Налоги!$F$25:$F$55,$F240,Налоги!$AB$25:$AB$55,$G240)</f>
        <v>3942.05</v>
      </c>
      <c r="AL240" s="170">
        <f ca="1">SUMIFS(Налоги!AK$25:AK$55,Налоги!$F$25:$F$55,$F240,Налоги!$AB$25:$AB$55,$G240)</f>
        <v>4099.7299999999996</v>
      </c>
      <c r="AM240" s="170">
        <f ca="1">SUMIFS(Налоги!AL$25:AL$55,Налоги!$F$25:$F$55,$F240,Налоги!$AB$25:$AB$55,$G240)</f>
        <v>0</v>
      </c>
      <c r="AN240" s="170">
        <f ca="1">SUMIFS(Налоги!AM$25:AM$55,Налоги!$F$25:$F$55,$F240,Налоги!$AB$25:$AB$55,$G240)</f>
        <v>0</v>
      </c>
      <c r="AO240" s="170">
        <f ca="1">SUMIFS(Налоги!AN$25:AN$55,Налоги!$F$25:$F$55,$F240,Налоги!$AB$25:$AB$55,$G240)</f>
        <v>0</v>
      </c>
      <c r="AP240" s="170">
        <f ca="1">SUMIFS(Налоги!AO$25:AO$55,Налоги!$F$25:$F$55,$F240,Налоги!$AB$25:$AB$55,$G240)</f>
        <v>0</v>
      </c>
      <c r="AQ240" s="170">
        <f ca="1">SUMIFS(Налоги!AP$25:AP$55,Налоги!$F$25:$F$55,$F240,Налоги!$AB$25:$AB$55,$G240)</f>
        <v>0</v>
      </c>
      <c r="AR240" s="170">
        <f ca="1">SUMIFS(Налоги!AQ$25:AQ$55,Налоги!$F$25:$F$55,$F240,Налоги!$AB$25:$AB$55,$G240)</f>
        <v>0</v>
      </c>
      <c r="AS240" s="170">
        <f ca="1">SUMIFS(Налоги!AR$25:AR$55,Налоги!$F$25:$F$55,$F240,Налоги!$AB$25:$AB$55,$G240)</f>
        <v>0</v>
      </c>
      <c r="AT240" s="170">
        <f ca="1">SUMIFS(Налоги!AS$25:AS$55,Налоги!$F$25:$F$55,$F240,Налоги!$AB$25:$AB$55,$G240)</f>
        <v>3790.47</v>
      </c>
      <c r="AU240" s="170">
        <f ca="1">SUMIFS(Налоги!AT$25:AT$55,Налоги!$F$25:$F$55,$F240,Налоги!$AB$25:$AB$55,$G240)</f>
        <v>3942.08</v>
      </c>
      <c r="AV240" s="170">
        <f ca="1">SUMIFS(Налоги!AU$25:AU$55,Налоги!$F$25:$F$55,$F240,Налоги!$AB$25:$AB$55,$G240)</f>
        <v>4099.75</v>
      </c>
      <c r="AW240" s="170">
        <f ca="1">SUMIFS(Налоги!AV$25:AV$55,Налоги!$F$25:$F$55,$F240,Налоги!$AB$25:$AB$55,$G240)</f>
        <v>0</v>
      </c>
      <c r="AX240" s="170">
        <f ca="1">SUMIFS(Налоги!AW$25:AW$55,Налоги!$F$25:$F$55,$F240,Налоги!$AB$25:$AB$55,$G240)</f>
        <v>0</v>
      </c>
      <c r="AY240" s="170">
        <f ca="1">SUMIFS(Налоги!AX$25:AX$55,Налоги!$F$25:$F$55,$F240,Налоги!$AB$25:$AB$55,$G240)</f>
        <v>0</v>
      </c>
      <c r="AZ240" s="170">
        <f ca="1">SUMIFS(Налоги!AY$25:AY$55,Налоги!$F$25:$F$55,$F240,Налоги!$AB$25:$AB$55,$G240)</f>
        <v>0</v>
      </c>
      <c r="BA240" s="170">
        <f ca="1">SUMIFS(Налоги!AZ$25:AZ$55,Налоги!$F$25:$F$55,$F240,Налоги!$AB$25:$AB$55,$G240)</f>
        <v>0</v>
      </c>
      <c r="BB240" s="170">
        <f ca="1">SUMIFS(Налоги!BA$25:BA$55,Налоги!$F$25:$F$55,$F240,Налоги!$AB$25:$AB$55,$G240)</f>
        <v>0</v>
      </c>
      <c r="BC240" s="170">
        <f ca="1">SUMIFS(Налоги!BB$25:BB$55,Налоги!$F$25:$F$55,$F240,Налоги!$AB$25:$AB$55,$G240)</f>
        <v>0</v>
      </c>
      <c r="BD240" s="170">
        <f t="shared" ca="1" si="57"/>
        <v>-11.331960981543425</v>
      </c>
      <c r="BE240" s="170">
        <f t="shared" ca="1" si="58"/>
        <v>3.9997678388168256</v>
      </c>
      <c r="BF240" s="170">
        <f t="shared" ca="1" si="59"/>
        <v>3.9996651513921599</v>
      </c>
      <c r="BG240" s="170">
        <f t="shared" ca="1" si="60"/>
        <v>-100</v>
      </c>
      <c r="BH240" s="170">
        <f t="shared" ca="1" si="61"/>
        <v>0</v>
      </c>
      <c r="BI240" s="170">
        <f t="shared" ca="1" si="62"/>
        <v>0</v>
      </c>
      <c r="BJ240" s="170">
        <f t="shared" ca="1" si="63"/>
        <v>0</v>
      </c>
      <c r="BK240" s="170">
        <f t="shared" ca="1" si="64"/>
        <v>0</v>
      </c>
      <c r="BL240" s="170">
        <f t="shared" ca="1" si="65"/>
        <v>0</v>
      </c>
      <c r="BM240" s="170">
        <f t="shared" ca="1" si="66"/>
        <v>0</v>
      </c>
      <c r="BN240" s="195"/>
      <c r="BO240" s="599" t="str">
        <f ca="1">IF(IFERROR(INDEX(Налоги!$K$26:$L$55,MATCH($F240&amp;"4komm",Налоги!$K$26:$K$55,0),2),"")=0,"",IFERROR(INDEX(Налоги!$K$26:$L$55,MATCH($F240&amp;"4komm",Налоги!$K$26:$K$55,0),2),""))</f>
        <v xml:space="preserve">Статья 333.12 Главы 25.2 "ВОДНЫЙ НАЛОГ" Налогового кодекса РФ. </v>
      </c>
      <c r="BP240" s="195" t="s">
        <v>2253</v>
      </c>
      <c r="BS240" s="694" t="s">
        <v>2087</v>
      </c>
    </row>
    <row r="241" spans="2:75" ht="14.25" customHeight="1">
      <c r="C241" s="25"/>
      <c r="D241" s="25"/>
      <c r="E241" s="449">
        <v>15</v>
      </c>
      <c r="F241" s="3" t="str" cm="1">
        <f t="array" aca="1" ref="F241" ca="1">OFFSET(E241,-1,1)</f>
        <v>1</v>
      </c>
      <c r="G241" s="609">
        <v>5</v>
      </c>
      <c r="H241" s="25"/>
      <c r="I241" s="25" t="s">
        <v>2088</v>
      </c>
      <c r="J241" s="25"/>
      <c r="K241" s="25" t="s">
        <v>2088</v>
      </c>
      <c r="L241" s="25"/>
      <c r="M241" s="25"/>
      <c r="N241" s="25"/>
      <c r="O241" s="25"/>
      <c r="P241" s="25"/>
      <c r="Q241" s="25"/>
      <c r="R241" s="25"/>
      <c r="S241" s="25"/>
      <c r="T241" s="351" t="b" cm="1">
        <f t="array" aca="1" ref="T241" ca="1">T240</f>
        <v>1</v>
      </c>
      <c r="U241" s="25"/>
      <c r="V241" s="25"/>
      <c r="W241" s="25"/>
      <c r="X241" s="1046"/>
      <c r="Z241" s="1008"/>
      <c r="AB241" s="7" t="s">
        <v>2089</v>
      </c>
      <c r="AC241" s="134" t="s">
        <v>2090</v>
      </c>
      <c r="AD241" s="7" t="s">
        <v>859</v>
      </c>
      <c r="AE241" s="170">
        <f ca="1">SUMIFS(Налоги!AE$25:AE$55,Налоги!$F$25:$F$55,$F241,Налоги!$AB$25:$AB$55,$G241)</f>
        <v>0</v>
      </c>
      <c r="AF241" s="170">
        <f ca="1">SUMIFS(Налоги!AF$25:AF$55,Налоги!$F$25:$F$55,$F241,Налоги!$AB$25:$AB$55,$G241)</f>
        <v>0</v>
      </c>
      <c r="AG241" s="170">
        <f ca="1">SUMIFS(Налоги!AG$25:AG$55,Налоги!$F$25:$F$55,$F241,Налоги!$AB$25:$AB$55,$G241)</f>
        <v>0</v>
      </c>
      <c r="AH241" s="170">
        <f t="shared" ca="1" si="55"/>
        <v>0</v>
      </c>
      <c r="AI241" s="170">
        <f ca="1">SUMIFS(Налоги!AH$25:AH$55,Налоги!$F$25:$F$55,$F241,Налоги!$AB$25:$AB$55,$G241)</f>
        <v>0</v>
      </c>
      <c r="AJ241" s="170">
        <f ca="1">SUMIFS(Налоги!AI$25:AI$55,Налоги!$F$25:$F$55,$F241,Налоги!$AB$25:$AB$55,$G241)</f>
        <v>0</v>
      </c>
      <c r="AK241" s="170">
        <f ca="1">SUMIFS(Налоги!AJ$25:AJ$55,Налоги!$F$25:$F$55,$F241,Налоги!$AB$25:$AB$55,$G241)</f>
        <v>0</v>
      </c>
      <c r="AL241" s="170">
        <f ca="1">SUMIFS(Налоги!AK$25:AK$55,Налоги!$F$25:$F$55,$F241,Налоги!$AB$25:$AB$55,$G241)</f>
        <v>0</v>
      </c>
      <c r="AM241" s="170">
        <f ca="1">SUMIFS(Налоги!AL$25:AL$55,Налоги!$F$25:$F$55,$F241,Налоги!$AB$25:$AB$55,$G241)</f>
        <v>0</v>
      </c>
      <c r="AN241" s="170">
        <f ca="1">SUMIFS(Налоги!AM$25:AM$55,Налоги!$F$25:$F$55,$F241,Налоги!$AB$25:$AB$55,$G241)</f>
        <v>0</v>
      </c>
      <c r="AO241" s="170">
        <f ca="1">SUMIFS(Налоги!AN$25:AN$55,Налоги!$F$25:$F$55,$F241,Налоги!$AB$25:$AB$55,$G241)</f>
        <v>0</v>
      </c>
      <c r="AP241" s="170">
        <f ca="1">SUMIFS(Налоги!AO$25:AO$55,Налоги!$F$25:$F$55,$F241,Налоги!$AB$25:$AB$55,$G241)</f>
        <v>0</v>
      </c>
      <c r="AQ241" s="170">
        <f ca="1">SUMIFS(Налоги!AP$25:AP$55,Налоги!$F$25:$F$55,$F241,Налоги!$AB$25:$AB$55,$G241)</f>
        <v>0</v>
      </c>
      <c r="AR241" s="170">
        <f ca="1">SUMIFS(Налоги!AQ$25:AQ$55,Налоги!$F$25:$F$55,$F241,Налоги!$AB$25:$AB$55,$G241)</f>
        <v>0</v>
      </c>
      <c r="AS241" s="170">
        <f ca="1">SUMIFS(Налоги!AR$25:AR$55,Налоги!$F$25:$F$55,$F241,Налоги!$AB$25:$AB$55,$G241)</f>
        <v>0</v>
      </c>
      <c r="AT241" s="170">
        <f ca="1">SUMIFS(Налоги!AS$25:AS$55,Налоги!$F$25:$F$55,$F241,Налоги!$AB$25:$AB$55,$G241)</f>
        <v>0</v>
      </c>
      <c r="AU241" s="170">
        <f ca="1">SUMIFS(Налоги!AT$25:AT$55,Налоги!$F$25:$F$55,$F241,Налоги!$AB$25:$AB$55,$G241)</f>
        <v>0</v>
      </c>
      <c r="AV241" s="170">
        <f ca="1">SUMIFS(Налоги!AU$25:AU$55,Налоги!$F$25:$F$55,$F241,Налоги!$AB$25:$AB$55,$G241)</f>
        <v>0</v>
      </c>
      <c r="AW241" s="170">
        <f ca="1">SUMIFS(Налоги!AV$25:AV$55,Налоги!$F$25:$F$55,$F241,Налоги!$AB$25:$AB$55,$G241)</f>
        <v>0</v>
      </c>
      <c r="AX241" s="170">
        <f ca="1">SUMIFS(Налоги!AW$25:AW$55,Налоги!$F$25:$F$55,$F241,Налоги!$AB$25:$AB$55,$G241)</f>
        <v>0</v>
      </c>
      <c r="AY241" s="170">
        <f ca="1">SUMIFS(Налоги!AX$25:AX$55,Налоги!$F$25:$F$55,$F241,Налоги!$AB$25:$AB$55,$G241)</f>
        <v>0</v>
      </c>
      <c r="AZ241" s="170">
        <f ca="1">SUMIFS(Налоги!AY$25:AY$55,Налоги!$F$25:$F$55,$F241,Налоги!$AB$25:$AB$55,$G241)</f>
        <v>0</v>
      </c>
      <c r="BA241" s="170">
        <f ca="1">SUMIFS(Налоги!AZ$25:AZ$55,Налоги!$F$25:$F$55,$F241,Налоги!$AB$25:$AB$55,$G241)</f>
        <v>0</v>
      </c>
      <c r="BB241" s="170">
        <f ca="1">SUMIFS(Налоги!BA$25:BA$55,Налоги!$F$25:$F$55,$F241,Налоги!$AB$25:$AB$55,$G241)</f>
        <v>0</v>
      </c>
      <c r="BC241" s="170">
        <f ca="1">SUMIFS(Налоги!BB$25:BB$55,Налоги!$F$25:$F$55,$F241,Налоги!$AB$25:$AB$55,$G241)</f>
        <v>0</v>
      </c>
      <c r="BD241" s="170">
        <f t="shared" ca="1" si="57"/>
        <v>0</v>
      </c>
      <c r="BE241" s="170">
        <f t="shared" ca="1" si="58"/>
        <v>0</v>
      </c>
      <c r="BF241" s="170">
        <f t="shared" ca="1" si="59"/>
        <v>0</v>
      </c>
      <c r="BG241" s="170">
        <f t="shared" ca="1" si="60"/>
        <v>0</v>
      </c>
      <c r="BH241" s="170">
        <f t="shared" ca="1" si="61"/>
        <v>0</v>
      </c>
      <c r="BI241" s="170">
        <f t="shared" ca="1" si="62"/>
        <v>0</v>
      </c>
      <c r="BJ241" s="170">
        <f t="shared" ca="1" si="63"/>
        <v>0</v>
      </c>
      <c r="BK241" s="170">
        <f t="shared" ca="1" si="64"/>
        <v>0</v>
      </c>
      <c r="BL241" s="170">
        <f t="shared" ca="1" si="65"/>
        <v>0</v>
      </c>
      <c r="BM241" s="170">
        <f t="shared" ca="1" si="66"/>
        <v>0</v>
      </c>
      <c r="BN241" s="195"/>
      <c r="BO241" s="599" t="str">
        <f ca="1">IF(IFERROR(INDEX(Налоги!$K$26:$L$55,MATCH($F241&amp;"5komm",Налоги!$K$26:$K$55,0),2),"")=0,"",IFERROR(INDEX(Налоги!$K$26:$L$55,MATCH($F241&amp;"5komm",Налоги!$K$26:$K$55,0),2),""))</f>
        <v/>
      </c>
      <c r="BP241" s="195"/>
      <c r="BS241" s="694" t="s">
        <v>2091</v>
      </c>
    </row>
    <row r="242" spans="2:75" ht="87.75" customHeight="1">
      <c r="C242" s="25"/>
      <c r="D242" s="25"/>
      <c r="E242" s="449">
        <v>15</v>
      </c>
      <c r="F242" s="3" t="str" cm="1">
        <f t="array" aca="1" ref="F242" ca="1">OFFSET(E242,-1,1)</f>
        <v>1</v>
      </c>
      <c r="G242" s="609">
        <v>1</v>
      </c>
      <c r="H242" s="25"/>
      <c r="I242" s="25" t="s">
        <v>2092</v>
      </c>
      <c r="J242" s="25"/>
      <c r="K242" s="25" t="s">
        <v>2092</v>
      </c>
      <c r="L242" s="25"/>
      <c r="M242" s="25"/>
      <c r="N242" s="25"/>
      <c r="O242" s="25"/>
      <c r="P242" s="25"/>
      <c r="Q242" s="25"/>
      <c r="R242" s="25"/>
      <c r="S242" s="25"/>
      <c r="T242" s="351" t="b" cm="1">
        <f t="array" aca="1" ref="T242" ca="1">T241</f>
        <v>1</v>
      </c>
      <c r="U242" s="25"/>
      <c r="V242" s="25"/>
      <c r="W242" s="25"/>
      <c r="X242" s="1046"/>
      <c r="Z242" s="1008"/>
      <c r="AB242" s="7" t="s">
        <v>2093</v>
      </c>
      <c r="AC242" s="134" t="s">
        <v>2094</v>
      </c>
      <c r="AD242" s="7" t="s">
        <v>859</v>
      </c>
      <c r="AE242" s="170">
        <f ca="1">SUMIFS(Налоги!AE$25:AE$55,Налоги!$F$25:$F$55,$F242,Налоги!$AB$25:$AB$55,$G242)</f>
        <v>0</v>
      </c>
      <c r="AF242" s="170">
        <f ca="1">SUMIFS(Налоги!AF$25:AF$55,Налоги!$F$25:$F$55,$F242,Налоги!$AB$25:$AB$55,$G242)</f>
        <v>0</v>
      </c>
      <c r="AG242" s="170">
        <f ca="1">SUMIFS(Налоги!AG$25:AG$55,Налоги!$F$25:$F$55,$F242,Налоги!$AB$25:$AB$55,$G242)</f>
        <v>0</v>
      </c>
      <c r="AH242" s="170">
        <f t="shared" ca="1" si="55"/>
        <v>0</v>
      </c>
      <c r="AI242" s="170">
        <f ca="1">SUMIFS(Налоги!AH$25:AH$55,Налоги!$F$25:$F$55,$F242,Налоги!$AB$25:$AB$55,$G242)</f>
        <v>0</v>
      </c>
      <c r="AJ242" s="170">
        <f ca="1">SUMIFS(Налоги!AI$25:AI$55,Налоги!$F$25:$F$55,$F242,Налоги!$AB$25:$AB$55,$G242)</f>
        <v>24.54</v>
      </c>
      <c r="AK242" s="170">
        <f ca="1">SUMIFS(Налоги!AJ$25:AJ$55,Налоги!$F$25:$F$55,$F242,Налоги!$AB$25:$AB$55,$G242)</f>
        <v>24.54</v>
      </c>
      <c r="AL242" s="170">
        <f ca="1">SUMIFS(Налоги!AK$25:AK$55,Налоги!$F$25:$F$55,$F242,Налоги!$AB$25:$AB$55,$G242)</f>
        <v>24.54</v>
      </c>
      <c r="AM242" s="170">
        <f ca="1">SUMIFS(Налоги!AL$25:AL$55,Налоги!$F$25:$F$55,$F242,Налоги!$AB$25:$AB$55,$G242)</f>
        <v>0</v>
      </c>
      <c r="AN242" s="170">
        <f ca="1">SUMIFS(Налоги!AM$25:AM$55,Налоги!$F$25:$F$55,$F242,Налоги!$AB$25:$AB$55,$G242)</f>
        <v>0</v>
      </c>
      <c r="AO242" s="170">
        <f ca="1">SUMIFS(Налоги!AN$25:AN$55,Налоги!$F$25:$F$55,$F242,Налоги!$AB$25:$AB$55,$G242)</f>
        <v>0</v>
      </c>
      <c r="AP242" s="170">
        <f ca="1">SUMIFS(Налоги!AO$25:AO$55,Налоги!$F$25:$F$55,$F242,Налоги!$AB$25:$AB$55,$G242)</f>
        <v>0</v>
      </c>
      <c r="AQ242" s="170">
        <f ca="1">SUMIFS(Налоги!AP$25:AP$55,Налоги!$F$25:$F$55,$F242,Налоги!$AB$25:$AB$55,$G242)</f>
        <v>0</v>
      </c>
      <c r="AR242" s="170">
        <f ca="1">SUMIFS(Налоги!AQ$25:AQ$55,Налоги!$F$25:$F$55,$F242,Налоги!$AB$25:$AB$55,$G242)</f>
        <v>0</v>
      </c>
      <c r="AS242" s="170">
        <f ca="1">SUMIFS(Налоги!AR$25:AR$55,Налоги!$F$25:$F$55,$F242,Налоги!$AB$25:$AB$55,$G242)</f>
        <v>0</v>
      </c>
      <c r="AT242" s="170">
        <f ca="1">SUMIFS(Налоги!AS$25:AS$55,Налоги!$F$25:$F$55,$F242,Налоги!$AB$25:$AB$55,$G242)</f>
        <v>24.54</v>
      </c>
      <c r="AU242" s="170">
        <f ca="1">SUMIFS(Налоги!AT$25:AT$55,Налоги!$F$25:$F$55,$F242,Налоги!$AB$25:$AB$55,$G242)</f>
        <v>24.54</v>
      </c>
      <c r="AV242" s="170">
        <f ca="1">SUMIFS(Налоги!AU$25:AU$55,Налоги!$F$25:$F$55,$F242,Налоги!$AB$25:$AB$55,$G242)</f>
        <v>24.54</v>
      </c>
      <c r="AW242" s="170">
        <f ca="1">SUMIFS(Налоги!AV$25:AV$55,Налоги!$F$25:$F$55,$F242,Налоги!$AB$25:$AB$55,$G242)</f>
        <v>0</v>
      </c>
      <c r="AX242" s="170">
        <f ca="1">SUMIFS(Налоги!AW$25:AW$55,Налоги!$F$25:$F$55,$F242,Налоги!$AB$25:$AB$55,$G242)</f>
        <v>0</v>
      </c>
      <c r="AY242" s="170">
        <f ca="1">SUMIFS(Налоги!AX$25:AX$55,Налоги!$F$25:$F$55,$F242,Налоги!$AB$25:$AB$55,$G242)</f>
        <v>0</v>
      </c>
      <c r="AZ242" s="170">
        <f ca="1">SUMIFS(Налоги!AY$25:AY$55,Налоги!$F$25:$F$55,$F242,Налоги!$AB$25:$AB$55,$G242)</f>
        <v>0</v>
      </c>
      <c r="BA242" s="170">
        <f ca="1">SUMIFS(Налоги!AZ$25:AZ$55,Налоги!$F$25:$F$55,$F242,Налоги!$AB$25:$AB$55,$G242)</f>
        <v>0</v>
      </c>
      <c r="BB242" s="170">
        <f ca="1">SUMIFS(Налоги!BA$25:BA$55,Налоги!$F$25:$F$55,$F242,Налоги!$AB$25:$AB$55,$G242)</f>
        <v>0</v>
      </c>
      <c r="BC242" s="170">
        <f ca="1">SUMIFS(Налоги!BB$25:BB$55,Налоги!$F$25:$F$55,$F242,Налоги!$AB$25:$AB$55,$G242)</f>
        <v>0</v>
      </c>
      <c r="BD242" s="170">
        <f t="shared" ca="1" si="57"/>
        <v>0</v>
      </c>
      <c r="BE242" s="170">
        <f t="shared" ca="1" si="58"/>
        <v>0</v>
      </c>
      <c r="BF242" s="170">
        <f t="shared" ca="1" si="59"/>
        <v>0</v>
      </c>
      <c r="BG242" s="170">
        <f t="shared" ca="1" si="60"/>
        <v>-100</v>
      </c>
      <c r="BH242" s="170">
        <f t="shared" ca="1" si="61"/>
        <v>0</v>
      </c>
      <c r="BI242" s="170">
        <f t="shared" ca="1" si="62"/>
        <v>0</v>
      </c>
      <c r="BJ242" s="170">
        <f t="shared" ca="1" si="63"/>
        <v>0</v>
      </c>
      <c r="BK242" s="170">
        <f t="shared" ca="1" si="64"/>
        <v>0</v>
      </c>
      <c r="BL242" s="170">
        <f t="shared" ca="1" si="65"/>
        <v>0</v>
      </c>
      <c r="BM242" s="170">
        <f t="shared" ca="1" si="66"/>
        <v>0</v>
      </c>
      <c r="BN242" s="195"/>
      <c r="BO242" s="599" t="str">
        <f ca="1">IF(IFERROR(INDEX(Налоги!$K$26:$L$55,MATCH($F242&amp;"1komm",Налоги!$K$26:$K$55,0),2),"")=0,"",IFERROR(INDEX(Налоги!$K$26:$L$55,MATCH($F242&amp;"1komm",Налоги!$K$26:$K$55,0),2),""))</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242" s="195" t="s">
        <v>2253</v>
      </c>
      <c r="BS242" s="694" t="s">
        <v>2095</v>
      </c>
    </row>
    <row r="243" spans="2:75" ht="24.2" customHeight="1">
      <c r="C243" s="25"/>
      <c r="D243" s="25"/>
      <c r="E243" s="449">
        <v>15</v>
      </c>
      <c r="F243" s="3" t="str" cm="1">
        <f t="array" aca="1" ref="F243" ca="1">OFFSET(E243,-1,1)</f>
        <v>1</v>
      </c>
      <c r="G243" s="609">
        <v>3</v>
      </c>
      <c r="H243" s="25"/>
      <c r="I243" s="25" t="s">
        <v>2096</v>
      </c>
      <c r="J243" s="25"/>
      <c r="K243" s="25" t="s">
        <v>2096</v>
      </c>
      <c r="L243" s="25"/>
      <c r="M243" s="25"/>
      <c r="N243" s="25"/>
      <c r="O243" s="25"/>
      <c r="P243" s="25"/>
      <c r="Q243" s="25"/>
      <c r="R243" s="25"/>
      <c r="S243" s="25"/>
      <c r="T243" s="351" t="b" cm="1">
        <f t="array" aca="1" ref="T243" ca="1">T242</f>
        <v>1</v>
      </c>
      <c r="U243" s="25"/>
      <c r="V243" s="25"/>
      <c r="W243" s="25"/>
      <c r="X243" s="1046"/>
      <c r="Z243" s="1008"/>
      <c r="AB243" s="7" t="s">
        <v>2097</v>
      </c>
      <c r="AC243" s="134" t="s">
        <v>2098</v>
      </c>
      <c r="AD243" s="7" t="s">
        <v>859</v>
      </c>
      <c r="AE243" s="170">
        <f ca="1">SUMIFS(Налоги!AE$25:AE$55,Налоги!$F$25:$F$55,$F243,Налоги!$AB$25:$AB$55,$G243)</f>
        <v>0.3</v>
      </c>
      <c r="AF243" s="170">
        <f ca="1">SUMIFS(Налоги!AF$25:AF$55,Налоги!$F$25:$F$55,$F243,Налоги!$AB$25:$AB$55,$G243)</f>
        <v>0</v>
      </c>
      <c r="AG243" s="170">
        <f ca="1">SUMIFS(Налоги!AG$25:AG$55,Налоги!$F$25:$F$55,$F243,Налоги!$AB$25:$AB$55,$G243)</f>
        <v>0</v>
      </c>
      <c r="AH243" s="170">
        <f t="shared" ca="1" si="55"/>
        <v>0</v>
      </c>
      <c r="AI243" s="170">
        <f ca="1">SUMIFS(Налоги!AH$25:AH$55,Налоги!$F$25:$F$55,$F243,Налоги!$AB$25:$AB$55,$G243)</f>
        <v>7.85</v>
      </c>
      <c r="AJ243" s="170">
        <f ca="1">SUMIFS(Налоги!AI$25:AI$55,Налоги!$F$25:$F$55,$F243,Налоги!$AB$25:$AB$55,$G243)</f>
        <v>0</v>
      </c>
      <c r="AK243" s="170">
        <f ca="1">SUMIFS(Налоги!AJ$25:AJ$55,Налоги!$F$25:$F$55,$F243,Налоги!$AB$25:$AB$55,$G243)</f>
        <v>0</v>
      </c>
      <c r="AL243" s="170">
        <f ca="1">SUMIFS(Налоги!AK$25:AK$55,Налоги!$F$25:$F$55,$F243,Налоги!$AB$25:$AB$55,$G243)</f>
        <v>0</v>
      </c>
      <c r="AM243" s="170">
        <f ca="1">SUMIFS(Налоги!AL$25:AL$55,Налоги!$F$25:$F$55,$F243,Налоги!$AB$25:$AB$55,$G243)</f>
        <v>0</v>
      </c>
      <c r="AN243" s="170">
        <f ca="1">SUMIFS(Налоги!AM$25:AM$55,Налоги!$F$25:$F$55,$F243,Налоги!$AB$25:$AB$55,$G243)</f>
        <v>0</v>
      </c>
      <c r="AO243" s="170">
        <f ca="1">SUMIFS(Налоги!AN$25:AN$55,Налоги!$F$25:$F$55,$F243,Налоги!$AB$25:$AB$55,$G243)</f>
        <v>0</v>
      </c>
      <c r="AP243" s="170">
        <f ca="1">SUMIFS(Налоги!AO$25:AO$55,Налоги!$F$25:$F$55,$F243,Налоги!$AB$25:$AB$55,$G243)</f>
        <v>0</v>
      </c>
      <c r="AQ243" s="170">
        <f ca="1">SUMIFS(Налоги!AP$25:AP$55,Налоги!$F$25:$F$55,$F243,Налоги!$AB$25:$AB$55,$G243)</f>
        <v>0</v>
      </c>
      <c r="AR243" s="170">
        <f ca="1">SUMIFS(Налоги!AQ$25:AQ$55,Налоги!$F$25:$F$55,$F243,Налоги!$AB$25:$AB$55,$G243)</f>
        <v>0</v>
      </c>
      <c r="AS243" s="170">
        <f ca="1">SUMIFS(Налоги!AR$25:AR$55,Налоги!$F$25:$F$55,$F243,Налоги!$AB$25:$AB$55,$G243)</f>
        <v>0</v>
      </c>
      <c r="AT243" s="170">
        <f ca="1">SUMIFS(Налоги!AS$25:AS$55,Налоги!$F$25:$F$55,$F243,Налоги!$AB$25:$AB$55,$G243)</f>
        <v>0</v>
      </c>
      <c r="AU243" s="170">
        <f ca="1">SUMIFS(Налоги!AT$25:AT$55,Налоги!$F$25:$F$55,$F243,Налоги!$AB$25:$AB$55,$G243)</f>
        <v>0</v>
      </c>
      <c r="AV243" s="170">
        <f ca="1">SUMIFS(Налоги!AU$25:AU$55,Налоги!$F$25:$F$55,$F243,Налоги!$AB$25:$AB$55,$G243)</f>
        <v>0</v>
      </c>
      <c r="AW243" s="170">
        <f ca="1">SUMIFS(Налоги!AV$25:AV$55,Налоги!$F$25:$F$55,$F243,Налоги!$AB$25:$AB$55,$G243)</f>
        <v>0</v>
      </c>
      <c r="AX243" s="170">
        <f ca="1">SUMIFS(Налоги!AW$25:AW$55,Налоги!$F$25:$F$55,$F243,Налоги!$AB$25:$AB$55,$G243)</f>
        <v>0</v>
      </c>
      <c r="AY243" s="170">
        <f ca="1">SUMIFS(Налоги!AX$25:AX$55,Налоги!$F$25:$F$55,$F243,Налоги!$AB$25:$AB$55,$G243)</f>
        <v>0</v>
      </c>
      <c r="AZ243" s="170">
        <f ca="1">SUMIFS(Налоги!AY$25:AY$55,Налоги!$F$25:$F$55,$F243,Налоги!$AB$25:$AB$55,$G243)</f>
        <v>0</v>
      </c>
      <c r="BA243" s="170">
        <f ca="1">SUMIFS(Налоги!AZ$25:AZ$55,Налоги!$F$25:$F$55,$F243,Налоги!$AB$25:$AB$55,$G243)</f>
        <v>0</v>
      </c>
      <c r="BB243" s="170">
        <f ca="1">SUMIFS(Налоги!BA$25:BA$55,Налоги!$F$25:$F$55,$F243,Налоги!$AB$25:$AB$55,$G243)</f>
        <v>0</v>
      </c>
      <c r="BC243" s="170">
        <f ca="1">SUMIFS(Налоги!BB$25:BB$55,Налоги!$F$25:$F$55,$F243,Налоги!$AB$25:$AB$55,$G243)</f>
        <v>0</v>
      </c>
      <c r="BD243" s="170">
        <f t="shared" ca="1" si="57"/>
        <v>-100</v>
      </c>
      <c r="BE243" s="170">
        <f t="shared" ca="1" si="58"/>
        <v>0</v>
      </c>
      <c r="BF243" s="170">
        <f t="shared" ca="1" si="59"/>
        <v>0</v>
      </c>
      <c r="BG243" s="170">
        <f t="shared" ca="1" si="60"/>
        <v>0</v>
      </c>
      <c r="BH243" s="170">
        <f t="shared" ca="1" si="61"/>
        <v>0</v>
      </c>
      <c r="BI243" s="170">
        <f t="shared" ca="1" si="62"/>
        <v>0</v>
      </c>
      <c r="BJ243" s="170">
        <f t="shared" ca="1" si="63"/>
        <v>0</v>
      </c>
      <c r="BK243" s="170">
        <f t="shared" ca="1" si="64"/>
        <v>0</v>
      </c>
      <c r="BL243" s="170">
        <f t="shared" ca="1" si="65"/>
        <v>0</v>
      </c>
      <c r="BM243" s="170">
        <f t="shared" ca="1" si="66"/>
        <v>0</v>
      </c>
      <c r="BN243" s="195"/>
      <c r="BO243" s="599" t="str">
        <f ca="1">IF(IFERROR(INDEX(Налоги!$K$26:$L$55,MATCH($F243&amp;"5komm",Налоги!$K$26:$K$55,0),2),"")=0,"",IFERROR(INDEX(Налоги!$K$26:$L$55,MATCH($F243&amp;"5komm",Налоги!$K$26:$K$55,0),2),""))</f>
        <v/>
      </c>
      <c r="BP243" s="195"/>
      <c r="BS243" s="694" t="s">
        <v>2099</v>
      </c>
    </row>
    <row r="244" spans="2:75" ht="29.45" customHeight="1">
      <c r="C244" s="25"/>
      <c r="D244" s="25"/>
      <c r="E244" s="449">
        <v>15</v>
      </c>
      <c r="F244" s="3" t="str" cm="1">
        <f t="array" aca="1" ref="F244" ca="1">OFFSET(E244,-1,1)</f>
        <v>1</v>
      </c>
      <c r="G244" s="609">
        <v>8</v>
      </c>
      <c r="H244" s="25"/>
      <c r="I244" s="25" t="s">
        <v>2100</v>
      </c>
      <c r="J244" s="25"/>
      <c r="K244" s="25" t="s">
        <v>2100</v>
      </c>
      <c r="L244" s="25"/>
      <c r="M244" s="25"/>
      <c r="N244" s="25"/>
      <c r="O244" s="25"/>
      <c r="P244" s="25"/>
      <c r="Q244" s="25"/>
      <c r="R244" s="25"/>
      <c r="S244" s="25"/>
      <c r="T244" s="351" t="b" cm="1">
        <f t="array" aca="1" ref="T244" ca="1">T243</f>
        <v>1</v>
      </c>
      <c r="U244" s="25"/>
      <c r="V244" s="25"/>
      <c r="W244" s="25"/>
      <c r="X244" s="1046"/>
      <c r="Z244" s="1008"/>
      <c r="AB244" s="7" t="s">
        <v>2101</v>
      </c>
      <c r="AC244" s="134" t="s">
        <v>2102</v>
      </c>
      <c r="AD244" s="7" t="s">
        <v>859</v>
      </c>
      <c r="AE244" s="170">
        <f ca="1">SUMIFS(Налоги!AE$25:AE$55,Налоги!$F$25:$F$55,$F244,Налоги!$AB$25:$AB$55,$G244)</f>
        <v>370.73</v>
      </c>
      <c r="AF244" s="170">
        <f ca="1">SUMIFS(Налоги!AF$25:AF$55,Налоги!$F$25:$F$55,$F244,Налоги!$AB$25:$AB$55,$G244)</f>
        <v>409.5</v>
      </c>
      <c r="AG244" s="170">
        <f ca="1">SUMIFS(Налоги!AG$25:AG$55,Налоги!$F$25:$F$55,$F244,Налоги!$AB$25:$AB$55,$G244)</f>
        <v>409.5</v>
      </c>
      <c r="AH244" s="170">
        <f t="shared" ca="1" si="55"/>
        <v>0</v>
      </c>
      <c r="AI244" s="170">
        <f ca="1">SUMIFS(Налоги!AH$25:AH$55,Налоги!$F$25:$F$55,$F244,Налоги!$AB$25:$AB$55,$G244)</f>
        <v>0</v>
      </c>
      <c r="AJ244" s="170">
        <f ca="1">SUMIFS(Налоги!AI$25:AI$55,Налоги!$F$25:$F$55,$F244,Налоги!$AB$25:$AB$55,$G244)</f>
        <v>0</v>
      </c>
      <c r="AK244" s="170">
        <f ca="1">SUMIFS(Налоги!AJ$25:AJ$55,Налоги!$F$25:$F$55,$F244,Налоги!$AB$25:$AB$55,$G244)</f>
        <v>0</v>
      </c>
      <c r="AL244" s="170">
        <f ca="1">SUMIFS(Налоги!AK$25:AK$55,Налоги!$F$25:$F$55,$F244,Налоги!$AB$25:$AB$55,$G244)</f>
        <v>0</v>
      </c>
      <c r="AM244" s="170">
        <f ca="1">SUMIFS(Налоги!AL$25:AL$55,Налоги!$F$25:$F$55,$F244,Налоги!$AB$25:$AB$55,$G244)</f>
        <v>0</v>
      </c>
      <c r="AN244" s="170">
        <f ca="1">SUMIFS(Налоги!AM$25:AM$55,Налоги!$F$25:$F$55,$F244,Налоги!$AB$25:$AB$55,$G244)</f>
        <v>0</v>
      </c>
      <c r="AO244" s="170">
        <f ca="1">SUMIFS(Налоги!AN$25:AN$55,Налоги!$F$25:$F$55,$F244,Налоги!$AB$25:$AB$55,$G244)</f>
        <v>0</v>
      </c>
      <c r="AP244" s="170">
        <f ca="1">SUMIFS(Налоги!AO$25:AO$55,Налоги!$F$25:$F$55,$F244,Налоги!$AB$25:$AB$55,$G244)</f>
        <v>0</v>
      </c>
      <c r="AQ244" s="170">
        <f ca="1">SUMIFS(Налоги!AP$25:AP$55,Налоги!$F$25:$F$55,$F244,Налоги!$AB$25:$AB$55,$G244)</f>
        <v>0</v>
      </c>
      <c r="AR244" s="170">
        <f ca="1">SUMIFS(Налоги!AQ$25:AQ$55,Налоги!$F$25:$F$55,$F244,Налоги!$AB$25:$AB$55,$G244)</f>
        <v>0</v>
      </c>
      <c r="AS244" s="170">
        <f ca="1">SUMIFS(Налоги!AR$25:AR$55,Налоги!$F$25:$F$55,$F244,Налоги!$AB$25:$AB$55,$G244)</f>
        <v>0</v>
      </c>
      <c r="AT244" s="170">
        <f ca="1">SUMIFS(Налоги!AS$25:AS$55,Налоги!$F$25:$F$55,$F244,Налоги!$AB$25:$AB$55,$G244)</f>
        <v>0</v>
      </c>
      <c r="AU244" s="170">
        <f ca="1">SUMIFS(Налоги!AT$25:AT$55,Налоги!$F$25:$F$55,$F244,Налоги!$AB$25:$AB$55,$G244)</f>
        <v>0</v>
      </c>
      <c r="AV244" s="170">
        <f ca="1">SUMIFS(Налоги!AU$25:AU$55,Налоги!$F$25:$F$55,$F244,Налоги!$AB$25:$AB$55,$G244)</f>
        <v>0</v>
      </c>
      <c r="AW244" s="170">
        <f ca="1">SUMIFS(Налоги!AV$25:AV$55,Налоги!$F$25:$F$55,$F244,Налоги!$AB$25:$AB$55,$G244)</f>
        <v>0</v>
      </c>
      <c r="AX244" s="170">
        <f ca="1">SUMIFS(Налоги!AW$25:AW$55,Налоги!$F$25:$F$55,$F244,Налоги!$AB$25:$AB$55,$G244)</f>
        <v>0</v>
      </c>
      <c r="AY244" s="170">
        <f ca="1">SUMIFS(Налоги!AX$25:AX$55,Налоги!$F$25:$F$55,$F244,Налоги!$AB$25:$AB$55,$G244)</f>
        <v>0</v>
      </c>
      <c r="AZ244" s="170">
        <f ca="1">SUMIFS(Налоги!AY$25:AY$55,Налоги!$F$25:$F$55,$F244,Налоги!$AB$25:$AB$55,$G244)</f>
        <v>0</v>
      </c>
      <c r="BA244" s="170">
        <f ca="1">SUMIFS(Налоги!AZ$25:AZ$55,Налоги!$F$25:$F$55,$F244,Налоги!$AB$25:$AB$55,$G244)</f>
        <v>0</v>
      </c>
      <c r="BB244" s="170">
        <f ca="1">SUMIFS(Налоги!BA$25:BA$55,Налоги!$F$25:$F$55,$F244,Налоги!$AB$25:$AB$55,$G244)</f>
        <v>0</v>
      </c>
      <c r="BC244" s="170">
        <f ca="1">SUMIFS(Налоги!BB$25:BB$55,Налоги!$F$25:$F$55,$F244,Налоги!$AB$25:$AB$55,$G244)</f>
        <v>0</v>
      </c>
      <c r="BD244" s="170">
        <f t="shared" ca="1" si="57"/>
        <v>0</v>
      </c>
      <c r="BE244" s="170">
        <f t="shared" ca="1" si="58"/>
        <v>0</v>
      </c>
      <c r="BF244" s="170">
        <f t="shared" ca="1" si="59"/>
        <v>0</v>
      </c>
      <c r="BG244" s="170">
        <f t="shared" ca="1" si="60"/>
        <v>0</v>
      </c>
      <c r="BH244" s="170">
        <f t="shared" ca="1" si="61"/>
        <v>0</v>
      </c>
      <c r="BI244" s="170">
        <f t="shared" ca="1" si="62"/>
        <v>0</v>
      </c>
      <c r="BJ244" s="170">
        <f t="shared" ca="1" si="63"/>
        <v>0</v>
      </c>
      <c r="BK244" s="170">
        <f t="shared" ca="1" si="64"/>
        <v>0</v>
      </c>
      <c r="BL244" s="170">
        <f t="shared" ca="1" si="65"/>
        <v>0</v>
      </c>
      <c r="BM244" s="170">
        <f t="shared" ca="1" si="66"/>
        <v>0</v>
      </c>
      <c r="BN244" s="904"/>
      <c r="BO244" s="599" t="str">
        <f ca="1">IF(IFERROR(INDEX(Налоги!$K$26:$L$55,MATCH($F244&amp;"8komm",Налоги!$K$26:$K$55,0),2),"")=0,"",IFERROR(INDEX(Налоги!$K$26:$L$55,MATCH($F244&amp;"8komm",Налоги!$K$26:$K$55,0),2),""))</f>
        <v/>
      </c>
      <c r="BP244" s="195"/>
      <c r="BS244" s="694" t="s">
        <v>1312</v>
      </c>
    </row>
    <row r="245" spans="2:75" s="374" customFormat="1" ht="14.25" customHeight="1">
      <c r="B245" s="535"/>
      <c r="C245" s="25"/>
      <c r="D245" s="25"/>
      <c r="E245" s="449">
        <v>15</v>
      </c>
      <c r="F245" s="3" t="str" cm="1">
        <f t="array" aca="1" ref="F245" ca="1">OFFSET(E245,-1,1)</f>
        <v>1</v>
      </c>
      <c r="G245" s="609">
        <v>9</v>
      </c>
      <c r="H245" s="25"/>
      <c r="I245" s="25"/>
      <c r="J245" s="25"/>
      <c r="K245" s="25"/>
      <c r="L245" s="25"/>
      <c r="M245" s="25"/>
      <c r="N245" s="25"/>
      <c r="O245" s="25"/>
      <c r="P245" s="25"/>
      <c r="Q245" s="25"/>
      <c r="R245" s="25"/>
      <c r="S245" s="25"/>
      <c r="T245" s="351" t="b" cm="1">
        <f t="array" aca="1" ref="T245" ca="1">T244</f>
        <v>1</v>
      </c>
      <c r="U245" s="25"/>
      <c r="V245" s="25"/>
      <c r="W245" s="25"/>
      <c r="X245" s="1046"/>
      <c r="Z245" s="1008"/>
      <c r="AB245" s="7" t="s">
        <v>2103</v>
      </c>
      <c r="AC245" s="547" t="s">
        <v>2104</v>
      </c>
      <c r="AD245" s="7" t="s">
        <v>859</v>
      </c>
      <c r="AE245" s="170">
        <f ca="1">SUMIFS(Налоги!AE$25:AE$55,Налоги!$F$25:$F$55,$F245,Налоги!$AB$25:$AB$55,$G245)</f>
        <v>0</v>
      </c>
      <c r="AF245" s="170">
        <f ca="1">SUMIFS(Налоги!AF$25:AF$55,Налоги!$F$25:$F$55,$F245,Налоги!$AB$25:$AB$55,$G245)</f>
        <v>0</v>
      </c>
      <c r="AG245" s="170">
        <f ca="1">SUMIFS(Налоги!AG$25:AG$55,Налоги!$F$25:$F$55,$F245,Налоги!$AB$25:$AB$55,$G245)</f>
        <v>0</v>
      </c>
      <c r="AH245" s="170">
        <f t="shared" ca="1" si="55"/>
        <v>0</v>
      </c>
      <c r="AI245" s="170">
        <f ca="1">SUMIFS(Налоги!AH$25:AH$55,Налоги!$F$25:$F$55,$F245,Налоги!$AB$25:$AB$55,$G245)</f>
        <v>0</v>
      </c>
      <c r="AJ245" s="170">
        <f ca="1">SUMIFS(Налоги!AI$25:AI$55,Налоги!$F$25:$F$55,$F245,Налоги!$AB$25:$AB$55,$G245)</f>
        <v>0</v>
      </c>
      <c r="AK245" s="170">
        <f ca="1">SUMIFS(Налоги!AJ$25:AJ$55,Налоги!$F$25:$F$55,$F245,Налоги!$AB$25:$AB$55,$G245)</f>
        <v>0</v>
      </c>
      <c r="AL245" s="170">
        <f ca="1">SUMIFS(Налоги!AK$25:AK$55,Налоги!$F$25:$F$55,$F245,Налоги!$AB$25:$AB$55,$G245)</f>
        <v>0</v>
      </c>
      <c r="AM245" s="170">
        <f ca="1">SUMIFS(Налоги!AL$25:AL$55,Налоги!$F$25:$F$55,$F245,Налоги!$AB$25:$AB$55,$G245)</f>
        <v>0</v>
      </c>
      <c r="AN245" s="170">
        <f ca="1">SUMIFS(Налоги!AM$25:AM$55,Налоги!$F$25:$F$55,$F245,Налоги!$AB$25:$AB$55,$G245)</f>
        <v>0</v>
      </c>
      <c r="AO245" s="170">
        <f ca="1">SUMIFS(Налоги!AN$25:AN$55,Налоги!$F$25:$F$55,$F245,Налоги!$AB$25:$AB$55,$G245)</f>
        <v>0</v>
      </c>
      <c r="AP245" s="170">
        <f ca="1">SUMIFS(Налоги!AO$25:AO$55,Налоги!$F$25:$F$55,$F245,Налоги!$AB$25:$AB$55,$G245)</f>
        <v>0</v>
      </c>
      <c r="AQ245" s="170">
        <f ca="1">SUMIFS(Налоги!AP$25:AP$55,Налоги!$F$25:$F$55,$F245,Налоги!$AB$25:$AB$55,$G245)</f>
        <v>0</v>
      </c>
      <c r="AR245" s="170">
        <f ca="1">SUMIFS(Налоги!AQ$25:AQ$55,Налоги!$F$25:$F$55,$F245,Налоги!$AB$25:$AB$55,$G245)</f>
        <v>0</v>
      </c>
      <c r="AS245" s="170">
        <f ca="1">SUMIFS(Налоги!AR$25:AR$55,Налоги!$F$25:$F$55,$F245,Налоги!$AB$25:$AB$55,$G245)</f>
        <v>0</v>
      </c>
      <c r="AT245" s="170">
        <f ca="1">SUMIFS(Налоги!AS$25:AS$55,Налоги!$F$25:$F$55,$F245,Налоги!$AB$25:$AB$55,$G245)</f>
        <v>0</v>
      </c>
      <c r="AU245" s="170">
        <f ca="1">SUMIFS(Налоги!AT$25:AT$55,Налоги!$F$25:$F$55,$F245,Налоги!$AB$25:$AB$55,$G245)</f>
        <v>0</v>
      </c>
      <c r="AV245" s="170">
        <f ca="1">SUMIFS(Налоги!AU$25:AU$55,Налоги!$F$25:$F$55,$F245,Налоги!$AB$25:$AB$55,$G245)</f>
        <v>0</v>
      </c>
      <c r="AW245" s="170">
        <f ca="1">SUMIFS(Налоги!AV$25:AV$55,Налоги!$F$25:$F$55,$F245,Налоги!$AB$25:$AB$55,$G245)</f>
        <v>0</v>
      </c>
      <c r="AX245" s="170">
        <f ca="1">SUMIFS(Налоги!AW$25:AW$55,Налоги!$F$25:$F$55,$F245,Налоги!$AB$25:$AB$55,$G245)</f>
        <v>0</v>
      </c>
      <c r="AY245" s="170">
        <f ca="1">SUMIFS(Налоги!AX$25:AX$55,Налоги!$F$25:$F$55,$F245,Налоги!$AB$25:$AB$55,$G245)</f>
        <v>0</v>
      </c>
      <c r="AZ245" s="170">
        <f ca="1">SUMIFS(Налоги!AY$25:AY$55,Налоги!$F$25:$F$55,$F245,Налоги!$AB$25:$AB$55,$G245)</f>
        <v>0</v>
      </c>
      <c r="BA245" s="170">
        <f ca="1">SUMIFS(Налоги!AZ$25:AZ$55,Налоги!$F$25:$F$55,$F245,Налоги!$AB$25:$AB$55,$G245)</f>
        <v>0</v>
      </c>
      <c r="BB245" s="170">
        <f ca="1">SUMIFS(Налоги!BA$25:BA$55,Налоги!$F$25:$F$55,$F245,Налоги!$AB$25:$AB$55,$G245)</f>
        <v>0</v>
      </c>
      <c r="BC245" s="170">
        <f ca="1">SUMIFS(Налоги!BB$25:BB$55,Налоги!$F$25:$F$55,$F245,Налоги!$AB$25:$AB$55,$G245)</f>
        <v>0</v>
      </c>
      <c r="BD245" s="170">
        <f t="shared" ca="1" si="57"/>
        <v>0</v>
      </c>
      <c r="BE245" s="170">
        <f t="shared" ca="1" si="58"/>
        <v>0</v>
      </c>
      <c r="BF245" s="170">
        <f t="shared" ca="1" si="59"/>
        <v>0</v>
      </c>
      <c r="BG245" s="170">
        <f t="shared" ca="1" si="60"/>
        <v>0</v>
      </c>
      <c r="BH245" s="170">
        <f t="shared" ca="1" si="61"/>
        <v>0</v>
      </c>
      <c r="BI245" s="170">
        <f t="shared" ca="1" si="62"/>
        <v>0</v>
      </c>
      <c r="BJ245" s="170">
        <f t="shared" ca="1" si="63"/>
        <v>0</v>
      </c>
      <c r="BK245" s="170">
        <f t="shared" ca="1" si="64"/>
        <v>0</v>
      </c>
      <c r="BL245" s="170">
        <f t="shared" ca="1" si="65"/>
        <v>0</v>
      </c>
      <c r="BM245" s="170">
        <f t="shared" ca="1" si="66"/>
        <v>0</v>
      </c>
      <c r="BN245" s="195"/>
      <c r="BO245" s="599" t="str">
        <f ca="1">IF(IFERROR(INDEX(Налоги!$K$26:$L$55,MATCH($F245&amp;"9komm",Налоги!$K$26:$K$55,0),2),"")=0,"",IFERROR(INDEX(Налоги!$K$26:$L$55,MATCH($F245&amp;"9komm",Налоги!$K$26:$K$55,0),2),""))</f>
        <v/>
      </c>
      <c r="BP245" s="195"/>
      <c r="BS245" s="701" t="s">
        <v>2105</v>
      </c>
      <c r="BT245" s="701"/>
      <c r="BU245" s="701"/>
      <c r="BV245" s="702"/>
      <c r="BW245" s="702"/>
    </row>
    <row r="246" spans="2:75" ht="14.25" customHeight="1">
      <c r="C246" s="25"/>
      <c r="D246" s="25"/>
      <c r="E246" s="449">
        <v>15</v>
      </c>
      <c r="F246" s="3" t="str" cm="1">
        <f t="array" aca="1" ref="F246" ca="1">OFFSET(E246,-1,1)</f>
        <v>1</v>
      </c>
      <c r="G246" s="609">
        <v>10</v>
      </c>
      <c r="H246" s="25"/>
      <c r="I246" s="25" t="s">
        <v>2106</v>
      </c>
      <c r="J246" s="25"/>
      <c r="K246" s="25" t="s">
        <v>2106</v>
      </c>
      <c r="L246" s="25"/>
      <c r="M246" s="25"/>
      <c r="N246" s="25"/>
      <c r="O246" s="25"/>
      <c r="P246" s="25"/>
      <c r="Q246" s="25"/>
      <c r="R246" s="25"/>
      <c r="S246" s="25"/>
      <c r="T246" s="351" t="b" cm="1">
        <f t="array" aca="1" ref="T246" ca="1">T245</f>
        <v>1</v>
      </c>
      <c r="U246" s="25"/>
      <c r="V246" s="25"/>
      <c r="W246" s="25"/>
      <c r="X246" s="1046"/>
      <c r="Z246" s="1008"/>
      <c r="AB246" s="7" t="s">
        <v>2107</v>
      </c>
      <c r="AC246" s="547" t="s">
        <v>2108</v>
      </c>
      <c r="AD246" s="7" t="s">
        <v>859</v>
      </c>
      <c r="AE246" s="170">
        <f ca="1">SUMIFS(Налоги!AE$25:AE$55,Налоги!$F$25:$F$55,$F246,Налоги!$AB$25:$AB$55,$G246)</f>
        <v>0</v>
      </c>
      <c r="AF246" s="170">
        <f ca="1">SUMIFS(Налоги!AF$25:AF$55,Налоги!$F$25:$F$55,$F246,Налоги!$AB$25:$AB$55,$G246)</f>
        <v>0</v>
      </c>
      <c r="AG246" s="170">
        <f ca="1">SUMIFS(Налоги!AG$25:AG$55,Налоги!$F$25:$F$55,$F246,Налоги!$AB$25:$AB$55,$G246)</f>
        <v>0</v>
      </c>
      <c r="AH246" s="170">
        <f t="shared" ca="1" si="55"/>
        <v>0</v>
      </c>
      <c r="AI246" s="170">
        <f ca="1">SUMIFS(Налоги!AH$25:AH$55,Налоги!$F$25:$F$55,$F246,Налоги!$AB$25:$AB$55,$G246)</f>
        <v>0</v>
      </c>
      <c r="AJ246" s="170">
        <f ca="1">SUMIFS(Налоги!AI$25:AI$55,Налоги!$F$25:$F$55,$F246,Налоги!$AB$25:$AB$55,$G246)</f>
        <v>0</v>
      </c>
      <c r="AK246" s="170">
        <f ca="1">SUMIFS(Налоги!AJ$25:AJ$55,Налоги!$F$25:$F$55,$F246,Налоги!$AB$25:$AB$55,$G246)</f>
        <v>0</v>
      </c>
      <c r="AL246" s="170">
        <f ca="1">SUMIFS(Налоги!AK$25:AK$55,Налоги!$F$25:$F$55,$F246,Налоги!$AB$25:$AB$55,$G246)</f>
        <v>0</v>
      </c>
      <c r="AM246" s="170">
        <f ca="1">SUMIFS(Налоги!AL$25:AL$55,Налоги!$F$25:$F$55,$F246,Налоги!$AB$25:$AB$55,$G246)</f>
        <v>0</v>
      </c>
      <c r="AN246" s="170">
        <f ca="1">SUMIFS(Налоги!AM$25:AM$55,Налоги!$F$25:$F$55,$F246,Налоги!$AB$25:$AB$55,$G246)</f>
        <v>0</v>
      </c>
      <c r="AO246" s="170">
        <f ca="1">SUMIFS(Налоги!AN$25:AN$55,Налоги!$F$25:$F$55,$F246,Налоги!$AB$25:$AB$55,$G246)</f>
        <v>0</v>
      </c>
      <c r="AP246" s="170">
        <f ca="1">SUMIFS(Налоги!AO$25:AO$55,Налоги!$F$25:$F$55,$F246,Налоги!$AB$25:$AB$55,$G246)</f>
        <v>0</v>
      </c>
      <c r="AQ246" s="170">
        <f ca="1">SUMIFS(Налоги!AP$25:AP$55,Налоги!$F$25:$F$55,$F246,Налоги!$AB$25:$AB$55,$G246)</f>
        <v>0</v>
      </c>
      <c r="AR246" s="170">
        <f ca="1">SUMIFS(Налоги!AQ$25:AQ$55,Налоги!$F$25:$F$55,$F246,Налоги!$AB$25:$AB$55,$G246)</f>
        <v>0</v>
      </c>
      <c r="AS246" s="170">
        <f ca="1">SUMIFS(Налоги!AR$25:AR$55,Налоги!$F$25:$F$55,$F246,Налоги!$AB$25:$AB$55,$G246)</f>
        <v>0</v>
      </c>
      <c r="AT246" s="170">
        <f ca="1">SUMIFS(Налоги!AS$25:AS$55,Налоги!$F$25:$F$55,$F246,Налоги!$AB$25:$AB$55,$G246)</f>
        <v>0</v>
      </c>
      <c r="AU246" s="170">
        <f ca="1">SUMIFS(Налоги!AT$25:AT$55,Налоги!$F$25:$F$55,$F246,Налоги!$AB$25:$AB$55,$G246)</f>
        <v>0</v>
      </c>
      <c r="AV246" s="170">
        <f ca="1">SUMIFS(Налоги!AU$25:AU$55,Налоги!$F$25:$F$55,$F246,Налоги!$AB$25:$AB$55,$G246)</f>
        <v>0</v>
      </c>
      <c r="AW246" s="170">
        <f ca="1">SUMIFS(Налоги!AV$25:AV$55,Налоги!$F$25:$F$55,$F246,Налоги!$AB$25:$AB$55,$G246)</f>
        <v>0</v>
      </c>
      <c r="AX246" s="170">
        <f ca="1">SUMIFS(Налоги!AW$25:AW$55,Налоги!$F$25:$F$55,$F246,Налоги!$AB$25:$AB$55,$G246)</f>
        <v>0</v>
      </c>
      <c r="AY246" s="170">
        <f ca="1">SUMIFS(Налоги!AX$25:AX$55,Налоги!$F$25:$F$55,$F246,Налоги!$AB$25:$AB$55,$G246)</f>
        <v>0</v>
      </c>
      <c r="AZ246" s="170">
        <f ca="1">SUMIFS(Налоги!AY$25:AY$55,Налоги!$F$25:$F$55,$F246,Налоги!$AB$25:$AB$55,$G246)</f>
        <v>0</v>
      </c>
      <c r="BA246" s="170">
        <f ca="1">SUMIFS(Налоги!AZ$25:AZ$55,Налоги!$F$25:$F$55,$F246,Налоги!$AB$25:$AB$55,$G246)</f>
        <v>0</v>
      </c>
      <c r="BB246" s="170">
        <f ca="1">SUMIFS(Налоги!BA$25:BA$55,Налоги!$F$25:$F$55,$F246,Налоги!$AB$25:$AB$55,$G246)</f>
        <v>0</v>
      </c>
      <c r="BC246" s="170">
        <f ca="1">SUMIFS(Налоги!BB$25:BB$55,Налоги!$F$25:$F$55,$F246,Налоги!$AB$25:$AB$55,$G246)</f>
        <v>0</v>
      </c>
      <c r="BD246" s="170">
        <f t="shared" ca="1" si="57"/>
        <v>0</v>
      </c>
      <c r="BE246" s="170">
        <f t="shared" ca="1" si="58"/>
        <v>0</v>
      </c>
      <c r="BF246" s="170">
        <f t="shared" ca="1" si="59"/>
        <v>0</v>
      </c>
      <c r="BG246" s="170">
        <f t="shared" ca="1" si="60"/>
        <v>0</v>
      </c>
      <c r="BH246" s="170">
        <f t="shared" ca="1" si="61"/>
        <v>0</v>
      </c>
      <c r="BI246" s="170">
        <f t="shared" ca="1" si="62"/>
        <v>0</v>
      </c>
      <c r="BJ246" s="170">
        <f t="shared" ca="1" si="63"/>
        <v>0</v>
      </c>
      <c r="BK246" s="170">
        <f t="shared" ca="1" si="64"/>
        <v>0</v>
      </c>
      <c r="BL246" s="170">
        <f t="shared" ca="1" si="65"/>
        <v>0</v>
      </c>
      <c r="BM246" s="170">
        <f t="shared" ca="1" si="66"/>
        <v>0</v>
      </c>
      <c r="BN246" s="195"/>
      <c r="BO246" s="599" t="str">
        <f ca="1">IF(IFERROR(INDEX(Налоги!$K$26:$L$55,MATCH($F246&amp;"10komm",Налоги!$K$26:$K$55,0),2),"")=0,"",IFERROR(INDEX(Налоги!$K$26:$L$55,MATCH($F246&amp;"10komm",Налоги!$K$26:$K$55,0),2),""))</f>
        <v/>
      </c>
      <c r="BP246" s="195"/>
      <c r="BS246" s="694" t="s">
        <v>2109</v>
      </c>
    </row>
    <row r="247" spans="2:75" ht="0" hidden="1" customHeight="1">
      <c r="C247" s="25"/>
      <c r="D247" s="25"/>
      <c r="E247" s="449">
        <v>67.5</v>
      </c>
      <c r="F247" s="3" t="str" cm="1">
        <f t="array" aca="1" ref="F247" ca="1">OFFSET(E247,-1,1)</f>
        <v>1</v>
      </c>
      <c r="G247" s="25" t="s">
        <v>1487</v>
      </c>
      <c r="H247" s="25"/>
      <c r="I247" s="25" t="s">
        <v>958</v>
      </c>
      <c r="J247" s="25"/>
      <c r="K247" s="72" t="s">
        <v>958</v>
      </c>
      <c r="L247" s="25"/>
      <c r="M247" s="25"/>
      <c r="N247" s="25"/>
      <c r="O247" s="25"/>
      <c r="P247" s="25"/>
      <c r="Q247" s="25"/>
      <c r="R247" s="25"/>
      <c r="S247" s="25"/>
      <c r="T247" s="351" t="b" cm="1">
        <f t="array" aca="1" ref="T247" ca="1">T246</f>
        <v>1</v>
      </c>
      <c r="U247" s="25"/>
      <c r="V247" s="25"/>
      <c r="W247" s="25"/>
      <c r="X247" s="1046"/>
      <c r="Z247" s="1008"/>
      <c r="AB247" s="7" t="s">
        <v>959</v>
      </c>
      <c r="AC247" s="548" t="s">
        <v>1490</v>
      </c>
      <c r="AD247" s="7" t="s">
        <v>859</v>
      </c>
      <c r="AE247" s="141"/>
      <c r="AF247" s="141"/>
      <c r="AG247" s="141"/>
      <c r="AH247" s="170">
        <f t="shared" si="55"/>
        <v>0</v>
      </c>
      <c r="AI247" s="141"/>
      <c r="AJ247" s="141"/>
      <c r="AK247" s="141"/>
      <c r="AL247" s="141"/>
      <c r="AM247" s="141"/>
      <c r="AN247" s="141"/>
      <c r="AO247" s="141"/>
      <c r="AP247" s="141"/>
      <c r="AQ247" s="141"/>
      <c r="AR247" s="141"/>
      <c r="AS247" s="141"/>
      <c r="AT247" s="141"/>
      <c r="AU247" s="141"/>
      <c r="AV247" s="141"/>
      <c r="AW247" s="141"/>
      <c r="AX247" s="141"/>
      <c r="AY247" s="141"/>
      <c r="AZ247" s="141"/>
      <c r="BA247" s="141"/>
      <c r="BB247" s="141"/>
      <c r="BC247" s="141"/>
      <c r="BD247" s="170">
        <f t="shared" si="57"/>
        <v>0</v>
      </c>
      <c r="BE247" s="170">
        <f t="shared" si="58"/>
        <v>0</v>
      </c>
      <c r="BF247" s="170">
        <f t="shared" si="59"/>
        <v>0</v>
      </c>
      <c r="BG247" s="170">
        <f t="shared" si="60"/>
        <v>0</v>
      </c>
      <c r="BH247" s="170">
        <f t="shared" si="61"/>
        <v>0</v>
      </c>
      <c r="BI247" s="170">
        <f t="shared" si="62"/>
        <v>0</v>
      </c>
      <c r="BJ247" s="170">
        <f t="shared" si="63"/>
        <v>0</v>
      </c>
      <c r="BK247" s="170">
        <f t="shared" si="64"/>
        <v>0</v>
      </c>
      <c r="BL247" s="170">
        <f t="shared" si="65"/>
        <v>0</v>
      </c>
      <c r="BM247" s="170">
        <f t="shared" si="66"/>
        <v>0</v>
      </c>
      <c r="BN247" s="195"/>
      <c r="BO247" s="195"/>
      <c r="BP247" s="195"/>
      <c r="BS247" s="694" t="s">
        <v>2110</v>
      </c>
    </row>
    <row r="248" spans="2:75" ht="0" hidden="1" customHeight="1">
      <c r="C248" s="25"/>
      <c r="D248" s="25"/>
      <c r="E248" s="449">
        <v>15</v>
      </c>
      <c r="F248" s="3" t="str" cm="1">
        <f t="array" aca="1" ref="F248" ca="1">OFFSET(E248,-1,1)</f>
        <v>1</v>
      </c>
      <c r="G248" s="25" t="s">
        <v>1035</v>
      </c>
      <c r="H248" s="25"/>
      <c r="I248" s="25" t="s">
        <v>961</v>
      </c>
      <c r="J248" s="25"/>
      <c r="K248" s="72" t="s">
        <v>961</v>
      </c>
      <c r="L248" s="25" t="s">
        <v>557</v>
      </c>
      <c r="M248" s="25"/>
      <c r="N248" s="25"/>
      <c r="O248" s="25"/>
      <c r="P248" s="25"/>
      <c r="Q248" s="25"/>
      <c r="R248" s="25"/>
      <c r="S248" s="25"/>
      <c r="T248" s="351" t="b" cm="1">
        <f t="array" aca="1" ref="T248" ca="1">T247</f>
        <v>1</v>
      </c>
      <c r="U248" s="25"/>
      <c r="V248" s="25"/>
      <c r="W248" s="25"/>
      <c r="X248" s="1046"/>
      <c r="Z248" s="1008"/>
      <c r="AB248" s="7" t="s">
        <v>962</v>
      </c>
      <c r="AC248" s="127" t="s">
        <v>1035</v>
      </c>
      <c r="AD248" s="7" t="s">
        <v>859</v>
      </c>
      <c r="AE248" s="170">
        <f ca="1">SUMIFS(Аренда!AE$25:AE$47,Аренда!$F$25:$F$47,$F248,Аренда!$G$25:$G$47,"Арендная и концессионная плата, лизинговые платежи")</f>
        <v>0</v>
      </c>
      <c r="AF248" s="170">
        <f ca="1">SUMIFS(Аренда!AF$25:AF$47,Аренда!$F$25:$F$47,$F248,Аренда!$G$25:$G$47,"Арендная и концессионная плата, лизинговые платежи")</f>
        <v>0</v>
      </c>
      <c r="AG248" s="170">
        <f ca="1">SUMIFS(Аренда!AG$25:AG$47,Аренда!$F$25:$F$47,$F248,Аренда!$G$25:$G$47,"Арендная и концессионная плата, лизинговые платежи")</f>
        <v>0</v>
      </c>
      <c r="AH248" s="170">
        <f t="shared" ca="1" si="55"/>
        <v>0</v>
      </c>
      <c r="AI248" s="170">
        <f ca="1">SUMIFS(Аренда!AH$25:AH$47,Аренда!$F$25:$F$47,$F248,Аренда!$G$25:$G$47,"Арендная и концессионная плата, лизинговые платежи")</f>
        <v>0</v>
      </c>
      <c r="AJ248" s="170">
        <f ca="1">SUMIFS(Аренда!AI$25:AI$47,Аренда!$F$25:$F$47,$F248,Аренда!$G$25:$G$47,"Арендная и концессионная плата, лизинговые платежи")</f>
        <v>0</v>
      </c>
      <c r="AK248" s="170">
        <f ca="1">SUMIFS(Аренда!AJ$25:AJ$47,Аренда!$F$25:$F$47,$F248,Аренда!$G$25:$G$47,"Арендная и концессионная плата, лизинговые платежи")</f>
        <v>0</v>
      </c>
      <c r="AL248" s="170">
        <f ca="1">SUMIFS(Аренда!AK$25:AK$47,Аренда!$F$25:$F$47,$F248,Аренда!$G$25:$G$47,"Арендная и концессионная плата, лизинговые платежи")</f>
        <v>0</v>
      </c>
      <c r="AM248" s="170">
        <f ca="1">SUMIFS(Аренда!AL$25:AL$47,Аренда!$F$25:$F$47,$F248,Аренда!$G$25:$G$47,"Арендная и концессионная плата, лизинговые платежи")</f>
        <v>0</v>
      </c>
      <c r="AN248" s="170">
        <f ca="1">SUMIFS(Аренда!AM$25:AM$47,Аренда!$F$25:$F$47,$F248,Аренда!$G$25:$G$47,"Арендная и концессионная плата, лизинговые платежи")</f>
        <v>0</v>
      </c>
      <c r="AO248" s="170">
        <f ca="1">SUMIFS(Аренда!AN$25:AN$47,Аренда!$F$25:$F$47,$F248,Аренда!$G$25:$G$47,"Арендная и концессионная плата, лизинговые платежи")</f>
        <v>0</v>
      </c>
      <c r="AP248" s="170">
        <f ca="1">SUMIFS(Аренда!AO$25:AO$47,Аренда!$F$25:$F$47,$F248,Аренда!$G$25:$G$47,"Арендная и концессионная плата, лизинговые платежи")</f>
        <v>0</v>
      </c>
      <c r="AQ248" s="170">
        <f ca="1">SUMIFS(Аренда!AP$25:AP$47,Аренда!$F$25:$F$47,$F248,Аренда!$G$25:$G$47,"Арендная и концессионная плата, лизинговые платежи")</f>
        <v>0</v>
      </c>
      <c r="AR248" s="170">
        <f ca="1">SUMIFS(Аренда!AQ$25:AQ$47,Аренда!$F$25:$F$47,$F248,Аренда!$G$25:$G$47,"Арендная и концессионная плата, лизинговые платежи")</f>
        <v>0</v>
      </c>
      <c r="AS248" s="170">
        <f ca="1">SUMIFS(Аренда!AR$25:AR$47,Аренда!$F$25:$F$47,$F248,Аренда!$G$25:$G$47,"Арендная и концессионная плата, лизинговые платежи")</f>
        <v>0</v>
      </c>
      <c r="AT248" s="170">
        <f ca="1">SUMIFS(Аренда!AS$25:AS$47,Аренда!$F$25:$F$47,$F248,Аренда!$G$25:$G$47,"Арендная и концессионная плата, лизинговые платежи")</f>
        <v>0</v>
      </c>
      <c r="AU248" s="170">
        <f ca="1">SUMIFS(Аренда!AT$25:AT$47,Аренда!$F$25:$F$47,$F248,Аренда!$G$25:$G$47,"Арендная и концессионная плата, лизинговые платежи")</f>
        <v>0</v>
      </c>
      <c r="AV248" s="170">
        <f ca="1">SUMIFS(Аренда!AU$25:AU$47,Аренда!$F$25:$F$47,$F248,Аренда!$G$25:$G$47,"Арендная и концессионная плата, лизинговые платежи")</f>
        <v>0</v>
      </c>
      <c r="AW248" s="170">
        <f ca="1">SUMIFS(Аренда!AV$25:AV$47,Аренда!$F$25:$F$47,$F248,Аренда!$G$25:$G$47,"Арендная и концессионная плата, лизинговые платежи")</f>
        <v>0</v>
      </c>
      <c r="AX248" s="170">
        <f ca="1">SUMIFS(Аренда!AW$25:AW$47,Аренда!$F$25:$F$47,$F248,Аренда!$G$25:$G$47,"Арендная и концессионная плата, лизинговые платежи")</f>
        <v>0</v>
      </c>
      <c r="AY248" s="170">
        <f ca="1">SUMIFS(Аренда!AX$25:AX$47,Аренда!$F$25:$F$47,$F248,Аренда!$G$25:$G$47,"Арендная и концессионная плата, лизинговые платежи")</f>
        <v>0</v>
      </c>
      <c r="AZ248" s="170">
        <f ca="1">SUMIFS(Аренда!AY$25:AY$47,Аренда!$F$25:$F$47,$F248,Аренда!$G$25:$G$47,"Арендная и концессионная плата, лизинговые платежи")</f>
        <v>0</v>
      </c>
      <c r="BA248" s="170">
        <f ca="1">SUMIFS(Аренда!AZ$25:AZ$47,Аренда!$F$25:$F$47,$F248,Аренда!$G$25:$G$47,"Арендная и концессионная плата, лизинговые платежи")</f>
        <v>0</v>
      </c>
      <c r="BB248" s="170">
        <f ca="1">SUMIFS(Аренда!BA$25:BA$47,Аренда!$F$25:$F$47,$F248,Аренда!$G$25:$G$47,"Арендная и концессионная плата, лизинговые платежи")</f>
        <v>0</v>
      </c>
      <c r="BC248" s="170">
        <f ca="1">SUMIFS(Аренда!BB$25:BB$47,Аренда!$F$25:$F$47,$F248,Аренда!$G$25:$G$47,"Арендная и концессионная плата, лизинговые платежи")</f>
        <v>0</v>
      </c>
      <c r="BD248" s="170">
        <f t="shared" ca="1" si="57"/>
        <v>0</v>
      </c>
      <c r="BE248" s="170">
        <f t="shared" ca="1" si="58"/>
        <v>0</v>
      </c>
      <c r="BF248" s="170">
        <f t="shared" ca="1" si="59"/>
        <v>0</v>
      </c>
      <c r="BG248" s="170">
        <f t="shared" ca="1" si="60"/>
        <v>0</v>
      </c>
      <c r="BH248" s="170">
        <f t="shared" ca="1" si="61"/>
        <v>0</v>
      </c>
      <c r="BI248" s="170">
        <f t="shared" ca="1" si="62"/>
        <v>0</v>
      </c>
      <c r="BJ248" s="170">
        <f t="shared" ca="1" si="63"/>
        <v>0</v>
      </c>
      <c r="BK248" s="170">
        <f t="shared" ca="1" si="64"/>
        <v>0</v>
      </c>
      <c r="BL248" s="170">
        <f t="shared" ca="1" si="65"/>
        <v>0</v>
      </c>
      <c r="BM248" s="170">
        <f t="shared" ca="1" si="66"/>
        <v>0</v>
      </c>
      <c r="BN248" s="195"/>
      <c r="BO248" s="599" t="str">
        <f ca="1">IF(IFERROR(INDEX(Аренда!$K$26:$L$47,MATCH($F248&amp;"komm",Аренда!$K$26:$K$47,0),2),"")=0,"",IFERROR(INDEX(Аренда!$K$26:$L$47,MATCH($F248&amp;"komm",Аренда!$K$26:$K$47,0),2),""))</f>
        <v/>
      </c>
      <c r="BP248" s="195"/>
      <c r="BS248" s="694" t="s">
        <v>2111</v>
      </c>
    </row>
    <row r="249" spans="2:75" ht="0" hidden="1" customHeight="1">
      <c r="B249" s="328" t="b">
        <f>STATUS_GO="да"</f>
        <v>1</v>
      </c>
      <c r="C249" s="25"/>
      <c r="D249" s="25"/>
      <c r="E249" s="449">
        <v>15</v>
      </c>
      <c r="F249" s="3" t="str" cm="1">
        <f t="array" aca="1" ref="F249" ca="1">OFFSET(E249,-1,1)</f>
        <v>1</v>
      </c>
      <c r="G249" s="25"/>
      <c r="H249" s="25"/>
      <c r="I249" s="25" t="s">
        <v>2112</v>
      </c>
      <c r="J249" s="25"/>
      <c r="K249" s="72" t="s">
        <v>2112</v>
      </c>
      <c r="L249" s="25"/>
      <c r="M249" s="25"/>
      <c r="N249" s="25"/>
      <c r="O249" s="25"/>
      <c r="P249" s="25"/>
      <c r="Q249" s="25"/>
      <c r="R249" s="25"/>
      <c r="S249" s="25"/>
      <c r="T249" s="351" t="b" cm="1">
        <f t="array" aca="1" ref="T249" ca="1">T248</f>
        <v>1</v>
      </c>
      <c r="U249" s="25"/>
      <c r="V249" s="25"/>
      <c r="W249" s="25"/>
      <c r="X249" s="1046"/>
      <c r="Z249" s="1008"/>
      <c r="AB249" s="7" t="s">
        <v>1554</v>
      </c>
      <c r="AC249" s="127" t="s">
        <v>2113</v>
      </c>
      <c r="AD249" s="7" t="s">
        <v>859</v>
      </c>
      <c r="AE249" s="128" cm="1">
        <f t="array" aca="1" ref="AE249" ca="1">AE250</f>
        <v>0</v>
      </c>
      <c r="AF249" s="128" cm="1">
        <f t="array" aca="1" ref="AF249" ca="1">AF250</f>
        <v>0</v>
      </c>
      <c r="AG249" s="128" cm="1">
        <f t="array" aca="1" ref="AG249" ca="1">AG250</f>
        <v>0</v>
      </c>
      <c r="AH249" s="170">
        <f t="shared" ca="1" si="55"/>
        <v>0</v>
      </c>
      <c r="AI249" s="128" cm="1">
        <f t="array" aca="1" ref="AI249" ca="1">AI250</f>
        <v>0</v>
      </c>
      <c r="AJ249" s="128" cm="1">
        <f t="array" aca="1" ref="AJ249" ca="1">AJ250</f>
        <v>0</v>
      </c>
      <c r="AK249" s="128" cm="1">
        <f t="array" ref="AK249">AK250</f>
        <v>0</v>
      </c>
      <c r="AL249" s="128" cm="1">
        <f t="array" ref="AL249">AL250</f>
        <v>0</v>
      </c>
      <c r="AM249" s="128" cm="1">
        <f t="array" ref="AM249">AM250</f>
        <v>0</v>
      </c>
      <c r="AN249" s="128" cm="1">
        <f t="array" ref="AN249">AN250</f>
        <v>0</v>
      </c>
      <c r="AO249" s="128" cm="1">
        <f t="array" ref="AO249">AO250</f>
        <v>0</v>
      </c>
      <c r="AP249" s="128" cm="1">
        <f t="array" ref="AP249">AP250</f>
        <v>0</v>
      </c>
      <c r="AQ249" s="128" cm="1">
        <f t="array" ref="AQ249">AQ250</f>
        <v>0</v>
      </c>
      <c r="AR249" s="128" cm="1">
        <f t="array" ref="AR249">AR250</f>
        <v>0</v>
      </c>
      <c r="AS249" s="128" cm="1">
        <f t="array" ref="AS249">AS250</f>
        <v>0</v>
      </c>
      <c r="AT249" s="128" cm="1">
        <f t="array" aca="1" ref="AT249" ca="1">AT250</f>
        <v>0</v>
      </c>
      <c r="AU249" s="128" cm="1">
        <f t="array" ref="AU249">AU250</f>
        <v>0</v>
      </c>
      <c r="AV249" s="128" cm="1">
        <f t="array" ref="AV249">AV250</f>
        <v>0</v>
      </c>
      <c r="AW249" s="128" cm="1">
        <f t="array" ref="AW249">AW250</f>
        <v>0</v>
      </c>
      <c r="AX249" s="128" cm="1">
        <f t="array" ref="AX249">AX250</f>
        <v>0</v>
      </c>
      <c r="AY249" s="128" cm="1">
        <f t="array" ref="AY249">AY250</f>
        <v>0</v>
      </c>
      <c r="AZ249" s="128" cm="1">
        <f t="array" ref="AZ249">AZ250</f>
        <v>0</v>
      </c>
      <c r="BA249" s="128" cm="1">
        <f t="array" ref="BA249">BA250</f>
        <v>0</v>
      </c>
      <c r="BB249" s="128" cm="1">
        <f t="array" ref="BB249">BB250</f>
        <v>0</v>
      </c>
      <c r="BC249" s="128" cm="1">
        <f t="array" ref="BC249">BC250</f>
        <v>0</v>
      </c>
      <c r="BD249" s="170">
        <f t="shared" ca="1" si="57"/>
        <v>0</v>
      </c>
      <c r="BE249" s="170">
        <f t="shared" ca="1" si="58"/>
        <v>0</v>
      </c>
      <c r="BF249" s="170">
        <f t="shared" si="59"/>
        <v>0</v>
      </c>
      <c r="BG249" s="170">
        <f t="shared" si="60"/>
        <v>0</v>
      </c>
      <c r="BH249" s="170">
        <f t="shared" si="61"/>
        <v>0</v>
      </c>
      <c r="BI249" s="170">
        <f t="shared" si="62"/>
        <v>0</v>
      </c>
      <c r="BJ249" s="170">
        <f t="shared" si="63"/>
        <v>0</v>
      </c>
      <c r="BK249" s="170">
        <f t="shared" si="64"/>
        <v>0</v>
      </c>
      <c r="BL249" s="170">
        <f t="shared" si="65"/>
        <v>0</v>
      </c>
      <c r="BM249" s="170">
        <f t="shared" si="66"/>
        <v>0</v>
      </c>
      <c r="BN249" s="195"/>
      <c r="BO249" s="195"/>
      <c r="BP249" s="195"/>
      <c r="BS249" s="694" t="s">
        <v>2114</v>
      </c>
    </row>
    <row r="250" spans="2:75" ht="0" hidden="1" customHeight="1">
      <c r="B250" s="328" t="b">
        <f>STATUS_GO="да"</f>
        <v>1</v>
      </c>
      <c r="C250" s="25"/>
      <c r="D250" s="25"/>
      <c r="E250" s="449">
        <v>15</v>
      </c>
      <c r="F250" s="3" t="str" cm="1">
        <f t="array" aca="1" ref="F250" ca="1">OFFSET(E250,-1,1)</f>
        <v>1</v>
      </c>
      <c r="G250" s="25" t="s">
        <v>1496</v>
      </c>
      <c r="H250" s="25"/>
      <c r="I250" s="25" t="s">
        <v>2115</v>
      </c>
      <c r="J250" s="25"/>
      <c r="K250" s="72" t="s">
        <v>2115</v>
      </c>
      <c r="L250" s="25"/>
      <c r="M250" s="25"/>
      <c r="N250" s="25"/>
      <c r="O250" s="25"/>
      <c r="P250" s="25"/>
      <c r="Q250" s="25"/>
      <c r="R250" s="25"/>
      <c r="S250" s="25"/>
      <c r="T250" s="351" t="b" cm="1">
        <f t="array" aca="1" ref="T250" ca="1">T249</f>
        <v>1</v>
      </c>
      <c r="U250" s="25"/>
      <c r="V250" s="25"/>
      <c r="W250" s="25"/>
      <c r="X250" s="1046"/>
      <c r="Z250" s="1008"/>
      <c r="AB250" s="7" t="s">
        <v>2116</v>
      </c>
      <c r="AC250" s="134" t="s">
        <v>1496</v>
      </c>
      <c r="AD250" s="7" t="s">
        <v>859</v>
      </c>
      <c r="AE250" s="170">
        <f ca="1">SUMIFS('Сбытовые расходы ГО'!AE$25:AE$51,'Сбытовые расходы ГО'!$F$25:$F$51,$F250,'Сбытовые расходы ГО'!$G$25:$G$51,"l1")</f>
        <v>0</v>
      </c>
      <c r="AF250" s="170">
        <f ca="1">SUMIFS('Сбытовые расходы ГО'!AF$25:AF$51,'Сбытовые расходы ГО'!$F$25:$F$51,$F250,'Сбытовые расходы ГО'!$G$25:$G$51,"l1")</f>
        <v>0</v>
      </c>
      <c r="AG250" s="170">
        <f ca="1">SUMIFS('Сбытовые расходы ГО'!AG$25:AG$51,'Сбытовые расходы ГО'!$F$25:$F$51,$F250,'Сбытовые расходы ГО'!$G$25:$G$51,"l1")</f>
        <v>0</v>
      </c>
      <c r="AH250" s="170">
        <f t="shared" ca="1" si="55"/>
        <v>0</v>
      </c>
      <c r="AI250" s="170">
        <f ca="1">SUMIFS('Сбытовые расходы ГО'!AH$25:AH$51,'Сбытовые расходы ГО'!$F$25:$F$51,$F250,'Сбытовые расходы ГО'!$G$25:$G$51,"l1")</f>
        <v>0</v>
      </c>
      <c r="AJ250" s="170">
        <f ca="1">SUMIFS('Сбытовые расходы ГО'!AI$25:AI$51,'Сбытовые расходы ГО'!$F$25:$F$51,$F250,'Сбытовые расходы ГО'!$G$25:$G$51,"l1")</f>
        <v>0</v>
      </c>
      <c r="AK250" s="128"/>
      <c r="AL250" s="128"/>
      <c r="AM250" s="128"/>
      <c r="AN250" s="128"/>
      <c r="AO250" s="128"/>
      <c r="AP250" s="128"/>
      <c r="AQ250" s="128"/>
      <c r="AR250" s="128"/>
      <c r="AS250" s="128"/>
      <c r="AT250" s="170">
        <f ca="1">SUMIFS('Сбытовые расходы ГО'!AJ$25:AJ$51,'Сбытовые расходы ГО'!$F$25:$F$51,$F250,'Сбытовые расходы ГО'!$G$25:$G$51,"l1")</f>
        <v>0</v>
      </c>
      <c r="AU250" s="128"/>
      <c r="AV250" s="128"/>
      <c r="AW250" s="128"/>
      <c r="AX250" s="128"/>
      <c r="AY250" s="128"/>
      <c r="AZ250" s="128"/>
      <c r="BA250" s="128"/>
      <c r="BB250" s="128"/>
      <c r="BC250" s="128"/>
      <c r="BD250" s="170">
        <f t="shared" ca="1" si="57"/>
        <v>0</v>
      </c>
      <c r="BE250" s="170">
        <f t="shared" ca="1" si="58"/>
        <v>0</v>
      </c>
      <c r="BF250" s="170">
        <f t="shared" si="59"/>
        <v>0</v>
      </c>
      <c r="BG250" s="170">
        <f t="shared" si="60"/>
        <v>0</v>
      </c>
      <c r="BH250" s="170">
        <f t="shared" si="61"/>
        <v>0</v>
      </c>
      <c r="BI250" s="170">
        <f t="shared" si="62"/>
        <v>0</v>
      </c>
      <c r="BJ250" s="170">
        <f t="shared" si="63"/>
        <v>0</v>
      </c>
      <c r="BK250" s="170">
        <f t="shared" si="64"/>
        <v>0</v>
      </c>
      <c r="BL250" s="170">
        <f t="shared" si="65"/>
        <v>0</v>
      </c>
      <c r="BM250" s="170">
        <f t="shared" si="66"/>
        <v>0</v>
      </c>
      <c r="BN250" s="195"/>
      <c r="BO250" s="599" t="str">
        <f ca="1">IF(IFERROR(INDEX('Сбытовые расходы ГО'!$K$26:$M$51,MATCH($F250&amp;"komm",'Сбытовые расходы ГО'!$K$26:$K$51,0),2),"")=0,"",IFERROR(INDEX('Сбытовые расходы ГО'!$K$26:$M$51,MATCH($F250&amp;"komm",'Сбытовые расходы ГО'!$K$26:$K$51,0),2),""))</f>
        <v/>
      </c>
      <c r="BP250" s="195"/>
      <c r="BS250" s="694" t="s">
        <v>2117</v>
      </c>
    </row>
    <row r="251" spans="2:75" ht="0" hidden="1" customHeight="1">
      <c r="C251" s="25"/>
      <c r="D251" s="25"/>
      <c r="E251" s="449">
        <v>15</v>
      </c>
      <c r="F251" s="3" t="str" cm="1">
        <f t="array" aca="1" ref="F251" ca="1">OFFSET(E251,-1,1)</f>
        <v>1</v>
      </c>
      <c r="G251" s="25" t="s">
        <v>1501</v>
      </c>
      <c r="H251" s="25"/>
      <c r="I251" s="25" t="s">
        <v>2118</v>
      </c>
      <c r="J251" s="25"/>
      <c r="K251" s="72" t="s">
        <v>2118</v>
      </c>
      <c r="L251" s="25"/>
      <c r="M251" s="25"/>
      <c r="N251" s="25"/>
      <c r="O251" s="25"/>
      <c r="P251" s="25"/>
      <c r="Q251" s="25"/>
      <c r="R251" s="25"/>
      <c r="S251" s="25"/>
      <c r="T251" s="351" t="b" cm="1">
        <f t="array" aca="1" ref="T251" ca="1">T250</f>
        <v>1</v>
      </c>
      <c r="U251" s="25"/>
      <c r="V251" s="25"/>
      <c r="W251" s="25"/>
      <c r="X251" s="1046"/>
      <c r="Z251" s="1008"/>
      <c r="AB251" s="7" t="s">
        <v>1559</v>
      </c>
      <c r="AC251" s="127" t="s">
        <v>1501</v>
      </c>
      <c r="AD251" s="7" t="s">
        <v>859</v>
      </c>
      <c r="AE251" s="128"/>
      <c r="AF251" s="128"/>
      <c r="AG251" s="128"/>
      <c r="AH251" s="170">
        <f t="shared" si="55"/>
        <v>0</v>
      </c>
      <c r="AI251" s="128"/>
      <c r="AJ251" s="128">
        <f ca="1">SUMIFS(Экономия_корр!AE$25:AE$43,Экономия_корр!$F$25:$F$43,$F251,Экономия_корр!$AC$25:$AC$43,"Экономия расходов с учетом ИПЦ")</f>
        <v>0</v>
      </c>
      <c r="AK251" s="128">
        <f ca="1">SUMIFS(Экономия_корр!AF$25:AF$43,Экономия_корр!$F$25:$F$43,$F251,Экономия_корр!$AC$25:$AC$43,"Экономия расходов с учетом ИПЦ")</f>
        <v>0</v>
      </c>
      <c r="AL251" s="128">
        <f ca="1">SUMIFS(Экономия_корр!AG$25:AG$43,Экономия_корр!$F$25:$F$43,$F251,Экономия_корр!$AC$25:$AC$43,"Экономия расходов с учетом ИПЦ")</f>
        <v>0</v>
      </c>
      <c r="AM251" s="128">
        <f ca="1">SUMIFS(Экономия_корр!AH$25:AH$43,Экономия_корр!$F$25:$F$43,$F251,Экономия_корр!$AC$25:$AC$43,"Экономия расходов с учетом ИПЦ")</f>
        <v>0</v>
      </c>
      <c r="AN251" s="128">
        <f ca="1">SUMIFS(Экономия_корр!AI$25:AI$43,Экономия_корр!$F$25:$F$43,$F251,Экономия_корр!$AC$25:$AC$43,"Экономия расходов с учетом ИПЦ")</f>
        <v>0</v>
      </c>
      <c r="AO251" s="128">
        <f ca="1">SUMIFS(Экономия_корр!AJ$25:AJ$43,Экономия_корр!$F$25:$F$43,$F251,Экономия_корр!$AC$25:$AC$43,"Экономия расходов с учетом ИПЦ")</f>
        <v>0</v>
      </c>
      <c r="AP251" s="128">
        <f ca="1">SUMIFS(Экономия_корр!AK$25:AK$43,Экономия_корр!$F$25:$F$43,$F251,Экономия_корр!$AC$25:$AC$43,"Экономия расходов с учетом ИПЦ")</f>
        <v>0</v>
      </c>
      <c r="AQ251" s="128">
        <f ca="1">SUMIFS(Экономия_корр!AL$25:AL$43,Экономия_корр!$F$25:$F$43,$F251,Экономия_корр!$AC$25:$AC$43,"Экономия расходов с учетом ИПЦ")</f>
        <v>0</v>
      </c>
      <c r="AR251" s="128">
        <f ca="1">SUMIFS(Экономия_корр!AM$25:AM$43,Экономия_корр!$F$25:$F$43,$F251,Экономия_корр!$AC$25:$AC$43,"Экономия расходов с учетом ИПЦ")</f>
        <v>0</v>
      </c>
      <c r="AS251" s="128">
        <f ca="1">SUMIFS(Экономия_корр!AN$25:AN$43,Экономия_корр!$F$25:$F$43,$F251,Экономия_корр!$AC$25:$AC$43,"Экономия расходов с учетом ИПЦ")</f>
        <v>0</v>
      </c>
      <c r="AT251" s="128">
        <f ca="1">SUMIFS(Экономия_корр!AO$25:AO$43,Экономия_корр!$F$25:$F$43,$F251,Экономия_корр!$AC$25:$AC$43,"Экономия расходов с учетом ИПЦ")</f>
        <v>0</v>
      </c>
      <c r="AU251" s="128">
        <f ca="1">SUMIFS(Экономия_корр!AP$25:AP$43,Экономия_корр!$F$25:$F$43,$F251,Экономия_корр!$AC$25:$AC$43,"Экономия расходов с учетом ИПЦ")</f>
        <v>0</v>
      </c>
      <c r="AV251" s="128">
        <f ca="1">SUMIFS(Экономия_корр!AQ$25:AQ$43,Экономия_корр!$F$25:$F$43,$F251,Экономия_корр!$AC$25:$AC$43,"Экономия расходов с учетом ИПЦ")</f>
        <v>0</v>
      </c>
      <c r="AW251" s="128">
        <f ca="1">SUMIFS(Экономия_корр!AR$25:AR$43,Экономия_корр!$F$25:$F$43,$F251,Экономия_корр!$AC$25:$AC$43,"Экономия расходов с учетом ИПЦ")</f>
        <v>0</v>
      </c>
      <c r="AX251" s="128">
        <f ca="1">SUMIFS(Экономия_корр!AS$25:AS$43,Экономия_корр!$F$25:$F$43,$F251,Экономия_корр!$AC$25:$AC$43,"Экономия расходов с учетом ИПЦ")</f>
        <v>0</v>
      </c>
      <c r="AY251" s="128">
        <f ca="1">SUMIFS(Экономия_корр!AT$25:AT$43,Экономия_корр!$F$25:$F$43,$F251,Экономия_корр!$AC$25:$AC$43,"Экономия расходов с учетом ИПЦ")</f>
        <v>0</v>
      </c>
      <c r="AZ251" s="128">
        <f ca="1">SUMIFS(Экономия_корр!AU$25:AU$43,Экономия_корр!$F$25:$F$43,$F251,Экономия_корр!$AC$25:$AC$43,"Экономия расходов с учетом ИПЦ")</f>
        <v>0</v>
      </c>
      <c r="BA251" s="128">
        <f ca="1">SUMIFS(Экономия_корр!AV$25:AV$43,Экономия_корр!$F$25:$F$43,$F251,Экономия_корр!$AC$25:$AC$43,"Экономия расходов с учетом ИПЦ")</f>
        <v>0</v>
      </c>
      <c r="BB251" s="128">
        <f ca="1">SUMIFS(Экономия_корр!AW$25:AW$43,Экономия_корр!$F$25:$F$43,$F251,Экономия_корр!$AC$25:$AC$43,"Экономия расходов с учетом ИПЦ")</f>
        <v>0</v>
      </c>
      <c r="BC251" s="128">
        <f ca="1">SUMIFS(Экономия_корр!AX$25:AX$43,Экономия_корр!$F$25:$F$43,$F251,Экономия_корр!$AC$25:$AC$43,"Экономия расходов с учетом ИПЦ")</f>
        <v>0</v>
      </c>
      <c r="BD251" s="170">
        <f t="shared" si="57"/>
        <v>0</v>
      </c>
      <c r="BE251" s="170">
        <f t="shared" ca="1" si="58"/>
        <v>0</v>
      </c>
      <c r="BF251" s="170">
        <f t="shared" ca="1" si="59"/>
        <v>0</v>
      </c>
      <c r="BG251" s="170">
        <f t="shared" ca="1" si="60"/>
        <v>0</v>
      </c>
      <c r="BH251" s="170">
        <f t="shared" ca="1" si="61"/>
        <v>0</v>
      </c>
      <c r="BI251" s="170">
        <f t="shared" ca="1" si="62"/>
        <v>0</v>
      </c>
      <c r="BJ251" s="170">
        <f t="shared" ca="1" si="63"/>
        <v>0</v>
      </c>
      <c r="BK251" s="170">
        <f t="shared" ca="1" si="64"/>
        <v>0</v>
      </c>
      <c r="BL251" s="170">
        <f t="shared" ca="1" si="65"/>
        <v>0</v>
      </c>
      <c r="BM251" s="170">
        <f t="shared" ca="1" si="66"/>
        <v>0</v>
      </c>
      <c r="BN251" s="195"/>
      <c r="BO251" s="195"/>
      <c r="BP251" s="195"/>
      <c r="BS251" s="694" t="s">
        <v>2119</v>
      </c>
    </row>
    <row r="252" spans="2:75" ht="0" hidden="1" customHeight="1">
      <c r="C252" s="25"/>
      <c r="D252" s="25"/>
      <c r="E252" s="449">
        <v>15</v>
      </c>
      <c r="F252" s="3" t="str" cm="1">
        <f t="array" aca="1" ref="F252" ca="1">OFFSET(E252,-1,1)</f>
        <v>1</v>
      </c>
      <c r="G252" s="25" t="s">
        <v>1506</v>
      </c>
      <c r="H252" s="25"/>
      <c r="I252" s="25" t="s">
        <v>2120</v>
      </c>
      <c r="J252" s="25"/>
      <c r="K252" s="72" t="s">
        <v>2120</v>
      </c>
      <c r="L252" s="25"/>
      <c r="M252" s="25"/>
      <c r="N252" s="25"/>
      <c r="O252" s="25"/>
      <c r="P252" s="25"/>
      <c r="Q252" s="25"/>
      <c r="R252" s="25"/>
      <c r="S252" s="25"/>
      <c r="T252" s="351" t="b" cm="1">
        <f t="array" aca="1" ref="T252" ca="1">T251</f>
        <v>1</v>
      </c>
      <c r="U252" s="25"/>
      <c r="V252" s="25"/>
      <c r="W252" s="25"/>
      <c r="X252" s="1046"/>
      <c r="Z252" s="1008"/>
      <c r="AB252" s="7" t="s">
        <v>2121</v>
      </c>
      <c r="AC252" s="127" t="s">
        <v>1506</v>
      </c>
      <c r="AD252" s="7" t="s">
        <v>859</v>
      </c>
      <c r="AE252" s="128"/>
      <c r="AF252" s="128"/>
      <c r="AG252" s="128"/>
      <c r="AH252" s="170">
        <f t="shared" si="55"/>
        <v>0</v>
      </c>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70">
        <f t="shared" si="57"/>
        <v>0</v>
      </c>
      <c r="BE252" s="170">
        <f t="shared" si="58"/>
        <v>0</v>
      </c>
      <c r="BF252" s="170">
        <f t="shared" si="59"/>
        <v>0</v>
      </c>
      <c r="BG252" s="170">
        <f t="shared" si="60"/>
        <v>0</v>
      </c>
      <c r="BH252" s="170">
        <f t="shared" si="61"/>
        <v>0</v>
      </c>
      <c r="BI252" s="170">
        <f t="shared" si="62"/>
        <v>0</v>
      </c>
      <c r="BJ252" s="170">
        <f t="shared" si="63"/>
        <v>0</v>
      </c>
      <c r="BK252" s="170">
        <f t="shared" si="64"/>
        <v>0</v>
      </c>
      <c r="BL252" s="170">
        <f t="shared" si="65"/>
        <v>0</v>
      </c>
      <c r="BM252" s="170">
        <f t="shared" si="66"/>
        <v>0</v>
      </c>
      <c r="BN252" s="195"/>
      <c r="BO252" s="195"/>
      <c r="BP252" s="195"/>
      <c r="BS252" s="694" t="s">
        <v>1857</v>
      </c>
    </row>
    <row r="253" spans="2:75" ht="0" hidden="1" customHeight="1">
      <c r="C253" s="25"/>
      <c r="D253" s="25"/>
      <c r="E253" s="449">
        <v>15</v>
      </c>
      <c r="F253" s="3" t="str" cm="1">
        <f t="array" aca="1" ref="F253" ca="1">OFFSET(E253,-1,1)</f>
        <v>1</v>
      </c>
      <c r="G253" s="25" t="s">
        <v>1511</v>
      </c>
      <c r="H253" s="25"/>
      <c r="I253" s="25" t="s">
        <v>2122</v>
      </c>
      <c r="J253" s="25"/>
      <c r="K253" s="72" t="s">
        <v>2122</v>
      </c>
      <c r="L253" s="25"/>
      <c r="M253" s="25"/>
      <c r="N253" s="25"/>
      <c r="O253" s="25"/>
      <c r="P253" s="25"/>
      <c r="Q253" s="25"/>
      <c r="R253" s="25"/>
      <c r="S253" s="25"/>
      <c r="T253" s="351" t="b" cm="1">
        <f t="array" aca="1" ref="T253" ca="1">T252</f>
        <v>1</v>
      </c>
      <c r="U253" s="25"/>
      <c r="V253" s="25"/>
      <c r="W253" s="25"/>
      <c r="X253" s="1046"/>
      <c r="Z253" s="1008"/>
      <c r="AB253" s="7" t="s">
        <v>1578</v>
      </c>
      <c r="AC253" s="127" t="s">
        <v>1511</v>
      </c>
      <c r="AD253" s="7" t="s">
        <v>859</v>
      </c>
      <c r="AE253" s="128"/>
      <c r="AF253" s="128"/>
      <c r="AG253" s="128"/>
      <c r="AH253" s="170">
        <f t="shared" si="55"/>
        <v>0</v>
      </c>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70">
        <f t="shared" si="57"/>
        <v>0</v>
      </c>
      <c r="BE253" s="170">
        <f t="shared" si="58"/>
        <v>0</v>
      </c>
      <c r="BF253" s="170">
        <f t="shared" si="59"/>
        <v>0</v>
      </c>
      <c r="BG253" s="170">
        <f t="shared" si="60"/>
        <v>0</v>
      </c>
      <c r="BH253" s="170">
        <f t="shared" si="61"/>
        <v>0</v>
      </c>
      <c r="BI253" s="170">
        <f t="shared" si="62"/>
        <v>0</v>
      </c>
      <c r="BJ253" s="170">
        <f t="shared" si="63"/>
        <v>0</v>
      </c>
      <c r="BK253" s="170">
        <f t="shared" si="64"/>
        <v>0</v>
      </c>
      <c r="BL253" s="170">
        <f t="shared" si="65"/>
        <v>0</v>
      </c>
      <c r="BM253" s="170">
        <f t="shared" si="66"/>
        <v>0</v>
      </c>
      <c r="BN253" s="195"/>
      <c r="BO253" s="195"/>
      <c r="BP253" s="195"/>
      <c r="BS253" s="694" t="s">
        <v>2123</v>
      </c>
    </row>
    <row r="254" spans="2:75" ht="0" hidden="1" customHeight="1">
      <c r="C254" s="25"/>
      <c r="D254" s="25"/>
      <c r="E254" s="449">
        <v>15</v>
      </c>
      <c r="F254" s="3" t="str" cm="1">
        <f t="array" aca="1" ref="F254" ca="1">OFFSET(E254,-1,1)</f>
        <v>1</v>
      </c>
      <c r="G254" s="25" t="s">
        <v>1516</v>
      </c>
      <c r="H254" s="25"/>
      <c r="I254" s="25" t="s">
        <v>2124</v>
      </c>
      <c r="J254" s="25"/>
      <c r="K254" s="72" t="s">
        <v>2124</v>
      </c>
      <c r="L254" s="25"/>
      <c r="M254" s="25"/>
      <c r="N254" s="25"/>
      <c r="O254" s="25"/>
      <c r="P254" s="25"/>
      <c r="Q254" s="25"/>
      <c r="R254" s="25"/>
      <c r="S254" s="25"/>
      <c r="T254" s="351" t="b" cm="1">
        <f t="array" aca="1" ref="T254" ca="1">T253</f>
        <v>1</v>
      </c>
      <c r="U254" s="25"/>
      <c r="V254" s="25"/>
      <c r="W254" s="25"/>
      <c r="X254" s="1046"/>
      <c r="Z254" s="1008"/>
      <c r="AB254" s="7" t="s">
        <v>1582</v>
      </c>
      <c r="AC254" s="127" t="s">
        <v>1516</v>
      </c>
      <c r="AD254" s="7" t="s">
        <v>859</v>
      </c>
      <c r="AE254" s="170">
        <f>SUM(AE255,AE256)</f>
        <v>0</v>
      </c>
      <c r="AF254" s="170">
        <f>SUM(AF255,AF256)</f>
        <v>0</v>
      </c>
      <c r="AG254" s="170">
        <f>SUM(AG255,AG256)</f>
        <v>0</v>
      </c>
      <c r="AH254" s="170">
        <f t="shared" si="55"/>
        <v>0</v>
      </c>
      <c r="AI254" s="170">
        <f t="shared" ref="AI254:BC254" si="69">SUM(AI255,AI256)</f>
        <v>0</v>
      </c>
      <c r="AJ254" s="170">
        <f t="shared" si="69"/>
        <v>0</v>
      </c>
      <c r="AK254" s="170">
        <f t="shared" si="69"/>
        <v>0</v>
      </c>
      <c r="AL254" s="170">
        <f t="shared" si="69"/>
        <v>0</v>
      </c>
      <c r="AM254" s="170">
        <f t="shared" si="69"/>
        <v>0</v>
      </c>
      <c r="AN254" s="170">
        <f t="shared" si="69"/>
        <v>0</v>
      </c>
      <c r="AO254" s="170">
        <f t="shared" si="69"/>
        <v>0</v>
      </c>
      <c r="AP254" s="170">
        <f t="shared" si="69"/>
        <v>0</v>
      </c>
      <c r="AQ254" s="170">
        <f t="shared" si="69"/>
        <v>0</v>
      </c>
      <c r="AR254" s="170">
        <f t="shared" si="69"/>
        <v>0</v>
      </c>
      <c r="AS254" s="170">
        <f t="shared" si="69"/>
        <v>0</v>
      </c>
      <c r="AT254" s="170">
        <f t="shared" si="69"/>
        <v>0</v>
      </c>
      <c r="AU254" s="170">
        <f t="shared" si="69"/>
        <v>0</v>
      </c>
      <c r="AV254" s="170">
        <f t="shared" si="69"/>
        <v>0</v>
      </c>
      <c r="AW254" s="170">
        <f t="shared" si="69"/>
        <v>0</v>
      </c>
      <c r="AX254" s="170">
        <f t="shared" si="69"/>
        <v>0</v>
      </c>
      <c r="AY254" s="170">
        <f t="shared" si="69"/>
        <v>0</v>
      </c>
      <c r="AZ254" s="170">
        <f t="shared" si="69"/>
        <v>0</v>
      </c>
      <c r="BA254" s="170">
        <f t="shared" si="69"/>
        <v>0</v>
      </c>
      <c r="BB254" s="170">
        <f t="shared" si="69"/>
        <v>0</v>
      </c>
      <c r="BC254" s="170">
        <f t="shared" si="69"/>
        <v>0</v>
      </c>
      <c r="BD254" s="170">
        <f t="shared" si="57"/>
        <v>0</v>
      </c>
      <c r="BE254" s="170">
        <f t="shared" si="58"/>
        <v>0</v>
      </c>
      <c r="BF254" s="170">
        <f t="shared" si="59"/>
        <v>0</v>
      </c>
      <c r="BG254" s="170">
        <f t="shared" si="60"/>
        <v>0</v>
      </c>
      <c r="BH254" s="170">
        <f t="shared" si="61"/>
        <v>0</v>
      </c>
      <c r="BI254" s="170">
        <f t="shared" si="62"/>
        <v>0</v>
      </c>
      <c r="BJ254" s="170">
        <f t="shared" si="63"/>
        <v>0</v>
      </c>
      <c r="BK254" s="170">
        <f t="shared" si="64"/>
        <v>0</v>
      </c>
      <c r="BL254" s="170">
        <f t="shared" si="65"/>
        <v>0</v>
      </c>
      <c r="BM254" s="170">
        <f t="shared" si="66"/>
        <v>0</v>
      </c>
      <c r="BN254" s="195"/>
      <c r="BO254" s="195"/>
      <c r="BP254" s="195"/>
      <c r="BS254" s="694" t="s">
        <v>2125</v>
      </c>
    </row>
    <row r="255" spans="2:75" ht="0" hidden="1" customHeight="1">
      <c r="C255" s="25"/>
      <c r="D255" s="25"/>
      <c r="E255" s="449">
        <v>15</v>
      </c>
      <c r="F255" s="3" t="str" cm="1">
        <f t="array" aca="1" ref="F255" ca="1">OFFSET(E255,-1,1)</f>
        <v>1</v>
      </c>
      <c r="G255" s="25"/>
      <c r="H255" s="25"/>
      <c r="I255" s="25" t="s">
        <v>2126</v>
      </c>
      <c r="J255" s="25"/>
      <c r="K255" s="72" t="s">
        <v>2126</v>
      </c>
      <c r="L255" s="25"/>
      <c r="M255" s="25"/>
      <c r="N255" s="25"/>
      <c r="O255" s="25"/>
      <c r="P255" s="25"/>
      <c r="Q255" s="25"/>
      <c r="R255" s="25"/>
      <c r="S255" s="25"/>
      <c r="T255" s="351" t="b" cm="1">
        <f t="array" aca="1" ref="T255" ca="1">T254</f>
        <v>1</v>
      </c>
      <c r="U255" s="25"/>
      <c r="V255" s="25"/>
      <c r="W255" s="25"/>
      <c r="X255" s="1046"/>
      <c r="Z255" s="1008"/>
      <c r="AB255" s="7" t="s">
        <v>2127</v>
      </c>
      <c r="AC255" s="134" t="s">
        <v>2128</v>
      </c>
      <c r="AD255" s="7" t="s">
        <v>859</v>
      </c>
      <c r="AE255" s="128"/>
      <c r="AF255" s="128"/>
      <c r="AG255" s="128"/>
      <c r="AH255" s="170">
        <f t="shared" si="55"/>
        <v>0</v>
      </c>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c r="BC255" s="128"/>
      <c r="BD255" s="170">
        <f t="shared" si="57"/>
        <v>0</v>
      </c>
      <c r="BE255" s="170">
        <f t="shared" si="58"/>
        <v>0</v>
      </c>
      <c r="BF255" s="170">
        <f t="shared" si="59"/>
        <v>0</v>
      </c>
      <c r="BG255" s="170">
        <f t="shared" si="60"/>
        <v>0</v>
      </c>
      <c r="BH255" s="170">
        <f t="shared" si="61"/>
        <v>0</v>
      </c>
      <c r="BI255" s="170">
        <f t="shared" si="62"/>
        <v>0</v>
      </c>
      <c r="BJ255" s="170">
        <f t="shared" si="63"/>
        <v>0</v>
      </c>
      <c r="BK255" s="170">
        <f t="shared" si="64"/>
        <v>0</v>
      </c>
      <c r="BL255" s="170">
        <f t="shared" si="65"/>
        <v>0</v>
      </c>
      <c r="BM255" s="170">
        <f t="shared" si="66"/>
        <v>0</v>
      </c>
      <c r="BN255" s="195"/>
      <c r="BO255" s="195"/>
      <c r="BP255" s="195"/>
      <c r="BS255" s="694" t="s">
        <v>1282</v>
      </c>
    </row>
    <row r="256" spans="2:75" ht="0" hidden="1" customHeight="1">
      <c r="C256" s="25"/>
      <c r="D256" s="25"/>
      <c r="E256" s="449">
        <v>15</v>
      </c>
      <c r="F256" s="3" t="str" cm="1">
        <f t="array" aca="1" ref="F256" ca="1">OFFSET(E256,-1,1)</f>
        <v>1</v>
      </c>
      <c r="G256" s="25"/>
      <c r="H256" s="25"/>
      <c r="I256" s="25" t="s">
        <v>2129</v>
      </c>
      <c r="J256" s="25"/>
      <c r="K256" s="72" t="s">
        <v>2129</v>
      </c>
      <c r="L256" s="25" t="s">
        <v>948</v>
      </c>
      <c r="M256" s="25"/>
      <c r="N256" s="25"/>
      <c r="O256" s="25"/>
      <c r="P256" s="25"/>
      <c r="Q256" s="25"/>
      <c r="R256" s="25"/>
      <c r="S256" s="25"/>
      <c r="T256" s="351" t="b" cm="1">
        <f t="array" aca="1" ref="T256" ca="1">T255</f>
        <v>1</v>
      </c>
      <c r="U256" s="25"/>
      <c r="V256" s="25"/>
      <c r="W256" s="25"/>
      <c r="X256" s="1046"/>
      <c r="Z256" s="1008"/>
      <c r="AB256" s="7" t="s">
        <v>2130</v>
      </c>
      <c r="AC256" s="134" t="s">
        <v>2131</v>
      </c>
      <c r="AD256" s="7" t="s">
        <v>859</v>
      </c>
      <c r="AE256" s="128"/>
      <c r="AF256" s="128"/>
      <c r="AG256" s="128"/>
      <c r="AH256" s="170">
        <f t="shared" si="55"/>
        <v>0</v>
      </c>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70">
        <f t="shared" si="57"/>
        <v>0</v>
      </c>
      <c r="BE256" s="170">
        <f t="shared" si="58"/>
        <v>0</v>
      </c>
      <c r="BF256" s="170">
        <f t="shared" si="59"/>
        <v>0</v>
      </c>
      <c r="BG256" s="170">
        <f t="shared" si="60"/>
        <v>0</v>
      </c>
      <c r="BH256" s="170">
        <f t="shared" si="61"/>
        <v>0</v>
      </c>
      <c r="BI256" s="170">
        <f t="shared" si="62"/>
        <v>0</v>
      </c>
      <c r="BJ256" s="170">
        <f t="shared" si="63"/>
        <v>0</v>
      </c>
      <c r="BK256" s="170">
        <f t="shared" si="64"/>
        <v>0</v>
      </c>
      <c r="BL256" s="170">
        <f t="shared" si="65"/>
        <v>0</v>
      </c>
      <c r="BM256" s="170">
        <f t="shared" si="66"/>
        <v>0</v>
      </c>
      <c r="BN256" s="195"/>
      <c r="BO256" s="195"/>
      <c r="BP256" s="195"/>
      <c r="BS256" s="694" t="s">
        <v>2132</v>
      </c>
    </row>
    <row r="257" spans="1:75" ht="0" hidden="1" customHeight="1">
      <c r="C257" s="25"/>
      <c r="D257" s="25"/>
      <c r="E257" s="449">
        <v>22.5</v>
      </c>
      <c r="F257" s="3" t="str" cm="1">
        <f t="array" aca="1" ref="F257" ca="1">OFFSET(E257,-1,1)</f>
        <v>1</v>
      </c>
      <c r="G257" s="25" t="s">
        <v>1521</v>
      </c>
      <c r="H257" s="25"/>
      <c r="I257" s="25" t="s">
        <v>2133</v>
      </c>
      <c r="J257" s="25"/>
      <c r="K257" s="72" t="s">
        <v>2133</v>
      </c>
      <c r="L257" s="25"/>
      <c r="M257" s="25"/>
      <c r="N257" s="25"/>
      <c r="O257" s="25"/>
      <c r="P257" s="25"/>
      <c r="Q257" s="25"/>
      <c r="R257" s="25"/>
      <c r="S257" s="25"/>
      <c r="T257" s="351" t="b" cm="1">
        <f t="array" aca="1" ref="T257" ca="1">T256</f>
        <v>1</v>
      </c>
      <c r="U257" s="25"/>
      <c r="V257" s="25"/>
      <c r="W257" s="25"/>
      <c r="X257" s="1046"/>
      <c r="Z257" s="1008"/>
      <c r="AB257" s="7" t="s">
        <v>1585</v>
      </c>
      <c r="AC257" s="127" t="s">
        <v>2134</v>
      </c>
      <c r="AD257" s="7" t="s">
        <v>859</v>
      </c>
      <c r="AE257" s="128"/>
      <c r="AF257" s="128"/>
      <c r="AG257" s="128"/>
      <c r="AH257" s="170">
        <f t="shared" si="55"/>
        <v>0</v>
      </c>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c r="BC257" s="128"/>
      <c r="BD257" s="170">
        <f t="shared" si="57"/>
        <v>0</v>
      </c>
      <c r="BE257" s="170">
        <f t="shared" si="58"/>
        <v>0</v>
      </c>
      <c r="BF257" s="170">
        <f t="shared" si="59"/>
        <v>0</v>
      </c>
      <c r="BG257" s="170">
        <f t="shared" si="60"/>
        <v>0</v>
      </c>
      <c r="BH257" s="170">
        <f t="shared" si="61"/>
        <v>0</v>
      </c>
      <c r="BI257" s="170">
        <f t="shared" si="62"/>
        <v>0</v>
      </c>
      <c r="BJ257" s="170">
        <f t="shared" si="63"/>
        <v>0</v>
      </c>
      <c r="BK257" s="170">
        <f t="shared" si="64"/>
        <v>0</v>
      </c>
      <c r="BL257" s="170">
        <f t="shared" si="65"/>
        <v>0</v>
      </c>
      <c r="BM257" s="170">
        <f t="shared" si="66"/>
        <v>0</v>
      </c>
      <c r="BN257" s="195"/>
      <c r="BO257" s="195"/>
      <c r="BP257" s="195"/>
      <c r="BS257" s="694" t="s">
        <v>2135</v>
      </c>
    </row>
    <row r="258" spans="1:75" s="903" customFormat="1" ht="62.25" customHeight="1">
      <c r="A258" s="76"/>
      <c r="B258" s="331"/>
      <c r="C258" s="27"/>
      <c r="D258" s="27"/>
      <c r="E258" s="557">
        <v>21</v>
      </c>
      <c r="F258" s="3" t="str" cm="1">
        <f t="array" aca="1" ref="F258" ca="1">OFFSET(E258,-1,1)</f>
        <v>1</v>
      </c>
      <c r="G258" s="25" t="s">
        <v>2136</v>
      </c>
      <c r="H258" s="25"/>
      <c r="I258" s="25" t="s">
        <v>323</v>
      </c>
      <c r="J258" s="27"/>
      <c r="K258" s="72" t="s">
        <v>323</v>
      </c>
      <c r="L258" s="27" t="s">
        <v>1378</v>
      </c>
      <c r="M258" s="27"/>
      <c r="N258" s="27"/>
      <c r="O258" s="27"/>
      <c r="P258" s="27"/>
      <c r="Q258" s="27"/>
      <c r="R258" s="27"/>
      <c r="S258" s="27"/>
      <c r="T258" s="351" t="b" cm="1">
        <f t="array" aca="1" ref="T258" ca="1">T257</f>
        <v>1</v>
      </c>
      <c r="U258" s="27"/>
      <c r="V258" s="27"/>
      <c r="W258" s="27"/>
      <c r="X258" s="1046"/>
      <c r="Y258" s="76"/>
      <c r="Z258" s="1008"/>
      <c r="AA258" s="76"/>
      <c r="AB258" s="124" t="s">
        <v>319</v>
      </c>
      <c r="AC258" s="125" t="s">
        <v>2137</v>
      </c>
      <c r="AD258" s="124" t="s">
        <v>859</v>
      </c>
      <c r="AE258" s="126">
        <f ca="1">SUMIFS(ЭЭ!AE$25:AE$74,ЭЭ!$F$25:$F$74,$F258,ЭЭ!$AC$25:$AC$74,"Всего по тарифу")</f>
        <v>4821.1499999999996</v>
      </c>
      <c r="AF258" s="126">
        <f ca="1">SUMIFS(ЭЭ!AF$25:AF$74,ЭЭ!$F$25:$F$74,$F258,ЭЭ!$AC$25:$AC$74,"Всего по тарифу")</f>
        <v>11407.5</v>
      </c>
      <c r="AG258" s="126">
        <f ca="1">SUMIFS(ЭЭ!AG$25:AG$74,ЭЭ!$F$25:$F$74,$F258,ЭЭ!$AC$25:$AC$74,"Всего по тарифу")</f>
        <v>11407.5</v>
      </c>
      <c r="AH258" s="126">
        <f t="shared" ca="1" si="55"/>
        <v>0</v>
      </c>
      <c r="AI258" s="126">
        <f ca="1">SUMIFS(ЭЭ!AH$25:AH$74,ЭЭ!$F$25:$F$74,$F258,ЭЭ!$AC$25:$AC$74,"Всего по тарифу")</f>
        <v>99499.73</v>
      </c>
      <c r="AJ258" s="126">
        <f ca="1">SUMIFS(ЭЭ!AI$25:AI$74,ЭЭ!$F$25:$F$74,$F258,ЭЭ!$AC$25:$AC$74,"Всего по тарифу")</f>
        <v>116563.89</v>
      </c>
      <c r="AK258" s="126">
        <f ca="1">SUMIFS(ЭЭ!AJ$25:AJ$74,ЭЭ!$F$25:$F$74,$F258,ЭЭ!$AC$25:$AC$74,"Всего по тарифу")</f>
        <v>127171.20999999999</v>
      </c>
      <c r="AL258" s="126">
        <f ca="1">SUMIFS(ЭЭ!AK$25:AK$74,ЭЭ!$F$25:$F$74,$F258,ЭЭ!$AC$25:$AC$74,"Всего по тарифу")</f>
        <v>133402.6</v>
      </c>
      <c r="AM258" s="126">
        <f ca="1">SUMIFS(ЭЭ!AL$25:AL$74,ЭЭ!$F$25:$F$74,$F258,ЭЭ!$AC$25:$AC$74,"Всего по тарифу")</f>
        <v>0</v>
      </c>
      <c r="AN258" s="126">
        <f ca="1">SUMIFS(ЭЭ!AM$25:AM$74,ЭЭ!$F$25:$F$74,$F258,ЭЭ!$AC$25:$AC$74,"Всего по тарифу")</f>
        <v>0</v>
      </c>
      <c r="AO258" s="126">
        <f ca="1">SUMIFS(ЭЭ!AN$25:AN$74,ЭЭ!$F$25:$F$74,$F258,ЭЭ!$AC$25:$AC$74,"Всего по тарифу")</f>
        <v>0</v>
      </c>
      <c r="AP258" s="126">
        <f ca="1">SUMIFS(ЭЭ!AO$25:AO$74,ЭЭ!$F$25:$F$74,$F258,ЭЭ!$AC$25:$AC$74,"Всего по тарифу")</f>
        <v>0</v>
      </c>
      <c r="AQ258" s="126">
        <f ca="1">SUMIFS(ЭЭ!AP$25:AP$74,ЭЭ!$F$25:$F$74,$F258,ЭЭ!$AC$25:$AC$74,"Всего по тарифу")</f>
        <v>0</v>
      </c>
      <c r="AR258" s="126">
        <f ca="1">SUMIFS(ЭЭ!AQ$25:AQ$74,ЭЭ!$F$25:$F$74,$F258,ЭЭ!$AC$25:$AC$74,"Всего по тарифу")</f>
        <v>0</v>
      </c>
      <c r="AS258" s="126">
        <f ca="1">SUMIFS(ЭЭ!AR$25:AR$74,ЭЭ!$F$25:$F$74,$F258,ЭЭ!$AC$25:$AC$74,"Всего по тарифу")</f>
        <v>0</v>
      </c>
      <c r="AT258" s="126">
        <f ca="1">SUMIFS(ЭЭ!AS$25:AS$74,ЭЭ!$F$25:$F$74,$F258,ЭЭ!$AC$25:$AC$74,"Всего по тарифу")</f>
        <v>116149.25</v>
      </c>
      <c r="AU258" s="126">
        <f ca="1">SUMIFS(ЭЭ!AT$25:AT$74,ЭЭ!$F$25:$F$74,$F258,ЭЭ!$AC$25:$AC$74,"Всего по тарифу")</f>
        <v>126718.84</v>
      </c>
      <c r="AV258" s="126">
        <f ca="1">SUMIFS(ЭЭ!AU$25:AU$74,ЭЭ!$F$25:$F$74,$F258,ЭЭ!$AC$25:$AC$74,"Всего по тарифу")</f>
        <v>132928.06</v>
      </c>
      <c r="AW258" s="126">
        <f ca="1">SUMIFS(ЭЭ!AV$25:AV$74,ЭЭ!$F$25:$F$74,$F258,ЭЭ!$AC$25:$AC$74,"Всего по тарифу")</f>
        <v>0</v>
      </c>
      <c r="AX258" s="126">
        <f ca="1">SUMIFS(ЭЭ!AW$25:AW$74,ЭЭ!$F$25:$F$74,$F258,ЭЭ!$AC$25:$AC$74,"Всего по тарифу")</f>
        <v>0</v>
      </c>
      <c r="AY258" s="126">
        <f ca="1">SUMIFS(ЭЭ!AX$25:AX$74,ЭЭ!$F$25:$F$74,$F258,ЭЭ!$AC$25:$AC$74,"Всего по тарифу")</f>
        <v>0</v>
      </c>
      <c r="AZ258" s="126">
        <f ca="1">SUMIFS(ЭЭ!AY$25:AY$74,ЭЭ!$F$25:$F$74,$F258,ЭЭ!$AC$25:$AC$74,"Всего по тарифу")</f>
        <v>0</v>
      </c>
      <c r="BA258" s="126">
        <f ca="1">SUMIFS(ЭЭ!AZ$25:AZ$74,ЭЭ!$F$25:$F$74,$F258,ЭЭ!$AC$25:$AC$74,"Всего по тарифу")</f>
        <v>0</v>
      </c>
      <c r="BB258" s="126">
        <f ca="1">SUMIFS(ЭЭ!BA$25:BA$74,ЭЭ!$F$25:$F$74,$F258,ЭЭ!$AC$25:$AC$74,"Всего по тарифу")</f>
        <v>0</v>
      </c>
      <c r="BC258" s="126">
        <f ca="1">SUMIFS(ЭЭ!BB$25:BB$74,ЭЭ!$F$25:$F$74,$F258,ЭЭ!$AC$25:$AC$74,"Всего по тарифу")</f>
        <v>0</v>
      </c>
      <c r="BD258" s="126">
        <f t="shared" ca="1" si="57"/>
        <v>16.733231336406647</v>
      </c>
      <c r="BE258" s="126">
        <f t="shared" ca="1" si="58"/>
        <v>9.1000071029300642</v>
      </c>
      <c r="BF258" s="126">
        <f t="shared" ca="1" si="59"/>
        <v>4.8999975062903047</v>
      </c>
      <c r="BG258" s="126">
        <f t="shared" ca="1" si="60"/>
        <v>-100</v>
      </c>
      <c r="BH258" s="126">
        <f t="shared" ca="1" si="61"/>
        <v>0</v>
      </c>
      <c r="BI258" s="126">
        <f t="shared" ca="1" si="62"/>
        <v>0</v>
      </c>
      <c r="BJ258" s="126">
        <f t="shared" ca="1" si="63"/>
        <v>0</v>
      </c>
      <c r="BK258" s="126">
        <f t="shared" ca="1" si="64"/>
        <v>0</v>
      </c>
      <c r="BL258" s="126">
        <f t="shared" ca="1" si="65"/>
        <v>0</v>
      </c>
      <c r="BM258" s="126">
        <f t="shared" ca="1" si="66"/>
        <v>0</v>
      </c>
      <c r="BN258" s="195"/>
      <c r="BO258" s="599" t="s">
        <v>920</v>
      </c>
      <c r="BP258" s="195" t="s">
        <v>2254</v>
      </c>
      <c r="BQ258" s="76"/>
      <c r="BR258" s="76"/>
      <c r="BS258" s="700" t="s">
        <v>1751</v>
      </c>
      <c r="BT258" s="700"/>
      <c r="BU258" s="700"/>
      <c r="BV258" s="509"/>
      <c r="BW258" s="509"/>
    </row>
    <row r="259" spans="1:75" s="903" customFormat="1" ht="70.7" customHeight="1">
      <c r="A259" s="76"/>
      <c r="B259" s="76" t="b">
        <f>method_reg="Метод индексации"</f>
        <v>1</v>
      </c>
      <c r="C259" s="27"/>
      <c r="D259" s="27"/>
      <c r="E259" s="557">
        <v>22.5</v>
      </c>
      <c r="F259" s="3" t="str" cm="1">
        <f t="array" aca="1" ref="F259" ca="1">OFFSET(E259,-1,1)</f>
        <v>1</v>
      </c>
      <c r="G259" s="25" t="s">
        <v>1543</v>
      </c>
      <c r="H259" s="25"/>
      <c r="I259" s="25" t="s">
        <v>325</v>
      </c>
      <c r="J259" s="27"/>
      <c r="K259" s="72"/>
      <c r="L259" s="27" t="s">
        <v>324</v>
      </c>
      <c r="M259" s="27"/>
      <c r="N259" s="27"/>
      <c r="O259" s="27"/>
      <c r="P259" s="27"/>
      <c r="Q259" s="27"/>
      <c r="R259" s="27"/>
      <c r="S259" s="27"/>
      <c r="T259" s="351" t="b" cm="1">
        <f t="array" aca="1" ref="T259" ca="1">T258</f>
        <v>1</v>
      </c>
      <c r="U259" s="27"/>
      <c r="V259" s="27"/>
      <c r="W259" s="27"/>
      <c r="X259" s="1046"/>
      <c r="Y259" s="76"/>
      <c r="Z259" s="1008"/>
      <c r="AA259" s="76"/>
      <c r="AB259" s="124" t="s">
        <v>438</v>
      </c>
      <c r="AC259" s="125" t="s">
        <v>2138</v>
      </c>
      <c r="AD259" s="124" t="s">
        <v>859</v>
      </c>
      <c r="AE259" s="126">
        <f ca="1">SUMIFS(Амортизация!AE$25:AE$125,Амортизация!$F$25:$F$125,$F259,Амортизация!$AC$25:$AC$125,"Сумма амортизационных отчислений")</f>
        <v>0</v>
      </c>
      <c r="AF259" s="126">
        <f ca="1">SUMIFS(Амортизация!AF$25:AF$125,Амортизация!$F$25:$F$125,$F259,Амортизация!$AC$25:$AC$125,"Сумма амортизационных отчислений")</f>
        <v>0</v>
      </c>
      <c r="AG259" s="126">
        <f ca="1">SUMIFS(Амортизация!AG$25:AG$125,Амортизация!$F$25:$F$125,$F259,Амортизация!$AC$25:$AC$125,"Сумма амортизационных отчислений")</f>
        <v>0</v>
      </c>
      <c r="AH259" s="126">
        <f t="shared" ca="1" si="55"/>
        <v>0</v>
      </c>
      <c r="AI259" s="126">
        <f ca="1">SUMIFS(Амортизация!AH$25:AH$125,Амортизация!$F$25:$F$125,$F259,Амортизация!$AC$25:$AC$125,"Сумма амортизационных отчислений")</f>
        <v>0</v>
      </c>
      <c r="AJ259" s="126">
        <f ca="1">SUMIFS(Амортизация!AI$25:AI$125,Амортизация!$F$25:$F$125,$F259,Амортизация!$AC$25:$AC$125,"Сумма амортизационных отчислений")</f>
        <v>0</v>
      </c>
      <c r="AK259" s="126">
        <f ca="1">SUMIFS(Амортизация!AJ$25:AJ$125,Амортизация!$F$25:$F$125,$F259,Амортизация!$AC$25:$AC$125,"Сумма амортизационных отчислений")</f>
        <v>0</v>
      </c>
      <c r="AL259" s="126">
        <f ca="1">SUMIFS(Амортизация!AK$25:AK$125,Амортизация!$F$25:$F$125,$F259,Амортизация!$AC$25:$AC$125,"Сумма амортизационных отчислений")</f>
        <v>0</v>
      </c>
      <c r="AM259" s="126">
        <f ca="1">SUMIFS(Амортизация!AL$25:AL$125,Амортизация!$F$25:$F$125,$F259,Амортизация!$AC$25:$AC$125,"Сумма амортизационных отчислений")</f>
        <v>0</v>
      </c>
      <c r="AN259" s="126">
        <f ca="1">SUMIFS(Амортизация!AM$25:AM$125,Амортизация!$F$25:$F$125,$F259,Амортизация!$AC$25:$AC$125,"Сумма амортизационных отчислений")</f>
        <v>0</v>
      </c>
      <c r="AO259" s="126">
        <f ca="1">SUMIFS(Амортизация!AN$25:AN$125,Амортизация!$F$25:$F$125,$F259,Амортизация!$AC$25:$AC$125,"Сумма амортизационных отчислений")</f>
        <v>0</v>
      </c>
      <c r="AP259" s="126">
        <f ca="1">SUMIFS(Амортизация!AO$25:AO$125,Амортизация!$F$25:$F$125,$F259,Амортизация!$AC$25:$AC$125,"Сумма амортизационных отчислений")</f>
        <v>0</v>
      </c>
      <c r="AQ259" s="126">
        <f ca="1">SUMIFS(Амортизация!AP$25:AP$125,Амортизация!$F$25:$F$125,$F259,Амортизация!$AC$25:$AC$125,"Сумма амортизационных отчислений")</f>
        <v>0</v>
      </c>
      <c r="AR259" s="126">
        <f ca="1">SUMIFS(Амортизация!AQ$25:AQ$125,Амортизация!$F$25:$F$125,$F259,Амортизация!$AC$25:$AC$125,"Сумма амортизационных отчислений")</f>
        <v>0</v>
      </c>
      <c r="AS259" s="126">
        <f ca="1">SUMIFS(Амортизация!AR$25:AR$125,Амортизация!$F$25:$F$125,$F259,Амортизация!$AC$25:$AC$125,"Сумма амортизационных отчислений")</f>
        <v>0</v>
      </c>
      <c r="AT259" s="126">
        <f ca="1">SUMIFS(Амортизация!AS$25:AS$125,Амортизация!$F$25:$F$125,$F259,Амортизация!$AC$25:$AC$125,"Сумма амортизационных отчислений")</f>
        <v>0</v>
      </c>
      <c r="AU259" s="126">
        <f ca="1">SUMIFS(Амортизация!AT$25:AT$125,Амортизация!$F$25:$F$125,$F259,Амортизация!$AC$25:$AC$125,"Сумма амортизационных отчислений")</f>
        <v>0</v>
      </c>
      <c r="AV259" s="126">
        <f ca="1">SUMIFS(Амортизация!AU$25:AU$125,Амортизация!$F$25:$F$125,$F259,Амортизация!$AC$25:$AC$125,"Сумма амортизационных отчислений")</f>
        <v>0</v>
      </c>
      <c r="AW259" s="126">
        <f ca="1">SUMIFS(Амортизация!AV$25:AV$125,Амортизация!$F$25:$F$125,$F259,Амортизация!$AC$25:$AC$125,"Сумма амортизационных отчислений")</f>
        <v>0</v>
      </c>
      <c r="AX259" s="126">
        <f ca="1">SUMIFS(Амортизация!AW$25:AW$125,Амортизация!$F$25:$F$125,$F259,Амортизация!$AC$25:$AC$125,"Сумма амортизационных отчислений")</f>
        <v>0</v>
      </c>
      <c r="AY259" s="126">
        <f ca="1">SUMIFS(Амортизация!AX$25:AX$125,Амортизация!$F$25:$F$125,$F259,Амортизация!$AC$25:$AC$125,"Сумма амортизационных отчислений")</f>
        <v>0</v>
      </c>
      <c r="AZ259" s="126">
        <f ca="1">SUMIFS(Амортизация!AY$25:AY$125,Амортизация!$F$25:$F$125,$F259,Амортизация!$AC$25:$AC$125,"Сумма амортизационных отчислений")</f>
        <v>0</v>
      </c>
      <c r="BA259" s="126">
        <f ca="1">SUMIFS(Амортизация!AZ$25:AZ$125,Амортизация!$F$25:$F$125,$F259,Амортизация!$AC$25:$AC$125,"Сумма амортизационных отчислений")</f>
        <v>0</v>
      </c>
      <c r="BB259" s="126">
        <f ca="1">SUMIFS(Амортизация!BA$25:BA$125,Амортизация!$F$25:$F$125,$F259,Амортизация!$AC$25:$AC$125,"Сумма амортизационных отчислений")</f>
        <v>0</v>
      </c>
      <c r="BC259" s="126">
        <f ca="1">SUMIFS(Амортизация!BB$25:BB$125,Амортизация!$F$25:$F$125,$F259,Амортизация!$AC$25:$AC$125,"Сумма амортизационных отчислений")</f>
        <v>0</v>
      </c>
      <c r="BD259" s="126">
        <f t="shared" ca="1" si="57"/>
        <v>0</v>
      </c>
      <c r="BE259" s="126">
        <f t="shared" ca="1" si="58"/>
        <v>0</v>
      </c>
      <c r="BF259" s="126">
        <f t="shared" ca="1" si="59"/>
        <v>0</v>
      </c>
      <c r="BG259" s="126">
        <f t="shared" ca="1" si="60"/>
        <v>0</v>
      </c>
      <c r="BH259" s="126">
        <f t="shared" ca="1" si="61"/>
        <v>0</v>
      </c>
      <c r="BI259" s="126">
        <f t="shared" ca="1" si="62"/>
        <v>0</v>
      </c>
      <c r="BJ259" s="126">
        <f t="shared" ca="1" si="63"/>
        <v>0</v>
      </c>
      <c r="BK259" s="126">
        <f t="shared" ca="1" si="64"/>
        <v>0</v>
      </c>
      <c r="BL259" s="126">
        <f t="shared" ca="1" si="65"/>
        <v>0</v>
      </c>
      <c r="BM259" s="126">
        <f t="shared" ca="1" si="66"/>
        <v>0</v>
      </c>
      <c r="BN259" s="195"/>
      <c r="BO259" s="599" t="str">
        <f ca="1">IF(IFERROR(INDEX(Амортизация!$K$26:$L$125,MATCH($F259&amp;"komm",Амортизация!$K$26:$K$125,0),2),"")=0,"",IFERROR(INDEX(Амортизация!$K$26:$L$125,MATCH($F259&amp;"komm",Амортизация!$K$26:$K$125,0),2),""))</f>
        <v/>
      </c>
      <c r="BP259" s="195"/>
      <c r="BQ259" s="76"/>
      <c r="BR259" s="76"/>
      <c r="BS259" s="700" t="s">
        <v>1242</v>
      </c>
      <c r="BT259" s="700"/>
      <c r="BU259" s="700"/>
      <c r="BV259" s="509"/>
      <c r="BW259" s="509"/>
    </row>
    <row r="260" spans="1:75" ht="24.95" customHeight="1">
      <c r="B260" s="328" t="b" cm="1">
        <f t="array" ref="B260">B259</f>
        <v>1</v>
      </c>
      <c r="C260" s="25"/>
      <c r="D260" s="25"/>
      <c r="E260" s="449">
        <v>15</v>
      </c>
      <c r="F260" s="3" t="str" cm="1">
        <f t="array" aca="1" ref="F260" ca="1">OFFSET(E260,-1,1)</f>
        <v>1</v>
      </c>
      <c r="G260" s="25"/>
      <c r="H260" s="25"/>
      <c r="I260" s="25" t="s">
        <v>587</v>
      </c>
      <c r="J260" s="25"/>
      <c r="L260" s="25" t="s">
        <v>601</v>
      </c>
      <c r="M260" s="25"/>
      <c r="N260" s="25"/>
      <c r="O260" s="25"/>
      <c r="P260" s="25"/>
      <c r="Q260" s="25"/>
      <c r="R260" s="25"/>
      <c r="S260" s="25"/>
      <c r="T260" s="351" t="b" cm="1">
        <f t="array" aca="1" ref="T260" ca="1">T259</f>
        <v>1</v>
      </c>
      <c r="U260" s="25"/>
      <c r="V260" s="25"/>
      <c r="W260" s="25"/>
      <c r="X260" s="1046"/>
      <c r="Z260" s="1008"/>
      <c r="AB260" s="7" t="s">
        <v>722</v>
      </c>
      <c r="AC260" s="127" t="s">
        <v>1844</v>
      </c>
      <c r="AD260" s="7" t="s">
        <v>859</v>
      </c>
      <c r="AE260" s="128">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28">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28">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70">
        <f t="shared" ca="1" si="55"/>
        <v>0</v>
      </c>
      <c r="AI260" s="128">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28">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28">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28">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28">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28">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28">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28">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28">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28">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28">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28">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28">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28">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28">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28">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28">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28">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28">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28">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28">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70">
        <f t="shared" ca="1" si="57"/>
        <v>0</v>
      </c>
      <c r="BE260" s="170">
        <f t="shared" ca="1" si="58"/>
        <v>0</v>
      </c>
      <c r="BF260" s="170">
        <f t="shared" ca="1" si="59"/>
        <v>0</v>
      </c>
      <c r="BG260" s="170">
        <f t="shared" ca="1" si="60"/>
        <v>0</v>
      </c>
      <c r="BH260" s="170">
        <f t="shared" ca="1" si="61"/>
        <v>0</v>
      </c>
      <c r="BI260" s="170">
        <f t="shared" ca="1" si="62"/>
        <v>0</v>
      </c>
      <c r="BJ260" s="170">
        <f t="shared" ca="1" si="63"/>
        <v>0</v>
      </c>
      <c r="BK260" s="170">
        <f t="shared" ca="1" si="64"/>
        <v>0</v>
      </c>
      <c r="BL260" s="170">
        <f t="shared" ca="1" si="65"/>
        <v>0</v>
      </c>
      <c r="BM260" s="170">
        <f t="shared" ca="1" si="66"/>
        <v>0</v>
      </c>
      <c r="BN260" s="195"/>
      <c r="BO260" s="195"/>
      <c r="BP260" s="195"/>
      <c r="BS260" s="694" t="s">
        <v>1845</v>
      </c>
    </row>
    <row r="261" spans="1:75" s="903" customFormat="1" ht="59.25" customHeight="1">
      <c r="A261" s="76"/>
      <c r="B261" s="328" t="b" cm="1">
        <f t="array" ref="B261">B260</f>
        <v>1</v>
      </c>
      <c r="C261" s="27"/>
      <c r="D261" s="27"/>
      <c r="E261" s="557">
        <v>21</v>
      </c>
      <c r="F261" s="3" t="str" cm="1">
        <f t="array" aca="1" ref="F261" ca="1">OFFSET(E261,-1,1)</f>
        <v>1</v>
      </c>
      <c r="G261" s="25" t="s">
        <v>1547</v>
      </c>
      <c r="H261" s="25"/>
      <c r="I261" s="25" t="s">
        <v>324</v>
      </c>
      <c r="J261" s="27"/>
      <c r="K261" s="72"/>
      <c r="L261" s="27" t="s">
        <v>613</v>
      </c>
      <c r="M261" s="27"/>
      <c r="N261" s="27"/>
      <c r="O261" s="27"/>
      <c r="P261" s="27"/>
      <c r="Q261" s="27"/>
      <c r="R261" s="27"/>
      <c r="S261" s="27"/>
      <c r="T261" s="351" t="b" cm="1">
        <f t="array" aca="1" ref="T261" ca="1">T260</f>
        <v>1</v>
      </c>
      <c r="U261" s="27"/>
      <c r="V261" s="27"/>
      <c r="W261" s="27"/>
      <c r="X261" s="1046"/>
      <c r="Y261" s="76"/>
      <c r="Z261" s="1008"/>
      <c r="AA261" s="76"/>
      <c r="AB261" s="124" t="s">
        <v>440</v>
      </c>
      <c r="AC261" s="125" t="s">
        <v>1547</v>
      </c>
      <c r="AD261" s="147" t="s">
        <v>859</v>
      </c>
      <c r="AE261" s="126">
        <f ca="1">AE262+AE263+AE264+AE265</f>
        <v>0</v>
      </c>
      <c r="AF261" s="126">
        <f ca="1">AF262+AF263+AF264+AF265</f>
        <v>9.92</v>
      </c>
      <c r="AG261" s="126">
        <f ca="1">AG262+AG263+AG264+AG265</f>
        <v>0</v>
      </c>
      <c r="AH261" s="126">
        <f t="shared" ca="1" si="55"/>
        <v>-9.92</v>
      </c>
      <c r="AI261" s="126">
        <f t="shared" ref="AI261:BC261" ca="1" si="70">AI262+AI263+AI264+AI265</f>
        <v>295.72000000000003</v>
      </c>
      <c r="AJ261" s="126">
        <f t="shared" ca="1" si="70"/>
        <v>2956.32</v>
      </c>
      <c r="AK261" s="126">
        <f t="shared" ca="1" si="70"/>
        <v>3074.59</v>
      </c>
      <c r="AL261" s="126">
        <f t="shared" ca="1" si="70"/>
        <v>3197.58</v>
      </c>
      <c r="AM261" s="126">
        <f t="shared" ca="1" si="70"/>
        <v>0</v>
      </c>
      <c r="AN261" s="126">
        <f t="shared" ca="1" si="70"/>
        <v>0</v>
      </c>
      <c r="AO261" s="126">
        <f t="shared" ca="1" si="70"/>
        <v>0</v>
      </c>
      <c r="AP261" s="126">
        <f t="shared" ca="1" si="70"/>
        <v>0</v>
      </c>
      <c r="AQ261" s="126">
        <f t="shared" ca="1" si="70"/>
        <v>0</v>
      </c>
      <c r="AR261" s="126">
        <f t="shared" ca="1" si="70"/>
        <v>0</v>
      </c>
      <c r="AS261" s="126">
        <f t="shared" ca="1" si="70"/>
        <v>0</v>
      </c>
      <c r="AT261" s="126">
        <f t="shared" ca="1" si="70"/>
        <v>0</v>
      </c>
      <c r="AU261" s="126">
        <f t="shared" ca="1" si="70"/>
        <v>0</v>
      </c>
      <c r="AV261" s="126">
        <f t="shared" ca="1" si="70"/>
        <v>0</v>
      </c>
      <c r="AW261" s="126">
        <f t="shared" ca="1" si="70"/>
        <v>0</v>
      </c>
      <c r="AX261" s="126">
        <f t="shared" ca="1" si="70"/>
        <v>0</v>
      </c>
      <c r="AY261" s="126">
        <f t="shared" ca="1" si="70"/>
        <v>0</v>
      </c>
      <c r="AZ261" s="126">
        <f t="shared" ca="1" si="70"/>
        <v>0</v>
      </c>
      <c r="BA261" s="126">
        <f t="shared" ca="1" si="70"/>
        <v>0</v>
      </c>
      <c r="BB261" s="126">
        <f t="shared" ca="1" si="70"/>
        <v>0</v>
      </c>
      <c r="BC261" s="126">
        <f t="shared" ca="1" si="70"/>
        <v>0</v>
      </c>
      <c r="BD261" s="126">
        <f t="shared" ca="1" si="57"/>
        <v>-100</v>
      </c>
      <c r="BE261" s="126">
        <f t="shared" ca="1" si="58"/>
        <v>0</v>
      </c>
      <c r="BF261" s="126">
        <f t="shared" ca="1" si="59"/>
        <v>0</v>
      </c>
      <c r="BG261" s="126">
        <f t="shared" ca="1" si="60"/>
        <v>0</v>
      </c>
      <c r="BH261" s="126">
        <f t="shared" ca="1" si="61"/>
        <v>0</v>
      </c>
      <c r="BI261" s="126">
        <f t="shared" ca="1" si="62"/>
        <v>0</v>
      </c>
      <c r="BJ261" s="126">
        <f t="shared" ca="1" si="63"/>
        <v>0</v>
      </c>
      <c r="BK261" s="126">
        <f t="shared" ca="1" si="64"/>
        <v>0</v>
      </c>
      <c r="BL261" s="126">
        <f t="shared" ca="1" si="65"/>
        <v>0</v>
      </c>
      <c r="BM261" s="126">
        <f t="shared" ca="1" si="66"/>
        <v>0</v>
      </c>
      <c r="BN261" s="195"/>
      <c r="BO261" s="195" t="s">
        <v>2255</v>
      </c>
      <c r="BP261" s="195"/>
      <c r="BQ261" s="76"/>
      <c r="BR261" s="76"/>
      <c r="BS261" s="693" t="s">
        <v>1551</v>
      </c>
      <c r="BT261" s="700"/>
      <c r="BU261" s="700"/>
      <c r="BV261" s="509"/>
      <c r="BW261" s="509"/>
    </row>
    <row r="262" spans="1:75" ht="14.25" customHeight="1">
      <c r="B262" s="328" t="b" cm="1">
        <f t="array" ref="B262">B261</f>
        <v>1</v>
      </c>
      <c r="C262" s="25"/>
      <c r="D262" s="25"/>
      <c r="E262" s="449">
        <v>15</v>
      </c>
      <c r="F262" s="3" t="str" cm="1">
        <f t="array" aca="1" ref="F262" ca="1">OFFSET(E262,-1,1)</f>
        <v>1</v>
      </c>
      <c r="G262" s="25"/>
      <c r="H262" s="25"/>
      <c r="I262" s="25" t="s">
        <v>601</v>
      </c>
      <c r="J262" s="25"/>
      <c r="L262" s="25"/>
      <c r="M262" s="25"/>
      <c r="N262" s="25"/>
      <c r="O262" s="25"/>
      <c r="P262" s="25"/>
      <c r="Q262" s="25"/>
      <c r="R262" s="25"/>
      <c r="S262" s="25"/>
      <c r="T262" s="351" t="b" cm="1">
        <f t="array" aca="1" ref="T262" ca="1">T261</f>
        <v>1</v>
      </c>
      <c r="U262" s="25"/>
      <c r="V262" s="25"/>
      <c r="W262" s="25"/>
      <c r="X262" s="1046"/>
      <c r="Z262" s="1008"/>
      <c r="AB262" s="7" t="s">
        <v>729</v>
      </c>
      <c r="AC262" s="127" t="s">
        <v>2139</v>
      </c>
      <c r="AD262" s="7" t="s">
        <v>859</v>
      </c>
      <c r="AE262" s="128">
        <f ca="1">SUMIFS('ИП + источники'!AF$27:AF$87,'ИП + источники'!$F$27:$F$87,$F262,'ИП + источники'!$AC$27:$AC$87,"погашение займов и кредитов из нормативной прибыли")</f>
        <v>0</v>
      </c>
      <c r="AF262" s="128">
        <f ca="1">SUMIFS('ИП + источники'!AG$27:AG$87,'ИП + источники'!$F$27:$F$87,$F262,'ИП + источники'!$AC$27:$AC$87,"погашение займов и кредитов из нормативной прибыли")</f>
        <v>0</v>
      </c>
      <c r="AG262" s="128">
        <f ca="1">SUMIFS('ИП + источники'!AH$27:AH$87,'ИП + источники'!$F$27:$F$87,$F262,'ИП + источники'!$AC$27:$AC$87,"погашение займов и кредитов из нормативной прибыли")</f>
        <v>0</v>
      </c>
      <c r="AH262" s="170">
        <f t="shared" ca="1" si="55"/>
        <v>0</v>
      </c>
      <c r="AI262" s="128">
        <f ca="1">SUMIFS('ИП + источники'!AJ$27:AJ$87,'ИП + источники'!$F$27:$F$87,$F262,'ИП + источники'!$AC$27:$AC$87,"погашение займов и кредитов из нормативной прибыли")</f>
        <v>0</v>
      </c>
      <c r="AJ262" s="128">
        <f ca="1">SUMIFS('ИП + источники'!AK$27:AK$87,'ИП + источники'!$F$27:$F$87,$F262,'ИП + источники'!$AC$27:$AC$87,"погашение займов и кредитов из нормативной прибыли")</f>
        <v>0</v>
      </c>
      <c r="AK262" s="128">
        <f ca="1">SUMIFS('ИП + источники'!AL$27:AL$87,'ИП + источники'!$F$27:$F$87,$F262,'ИП + источники'!$AC$27:$AC$87,"погашение займов и кредитов из нормативной прибыли")</f>
        <v>0</v>
      </c>
      <c r="AL262" s="128">
        <f ca="1">SUMIFS('ИП + источники'!AM$27:AM$87,'ИП + источники'!$F$27:$F$87,$F262,'ИП + источники'!$AC$27:$AC$87,"погашение займов и кредитов из нормативной прибыли")</f>
        <v>0</v>
      </c>
      <c r="AM262" s="128">
        <f ca="1">SUMIFS('ИП + источники'!AN$27:AN$87,'ИП + источники'!$F$27:$F$87,$F262,'ИП + источники'!$AC$27:$AC$87,"погашение займов и кредитов из нормативной прибыли")</f>
        <v>0</v>
      </c>
      <c r="AN262" s="128">
        <f ca="1">SUMIFS('ИП + источники'!AO$27:AO$87,'ИП + источники'!$F$27:$F$87,$F262,'ИП + источники'!$AC$27:$AC$87,"погашение займов и кредитов из нормативной прибыли")</f>
        <v>0</v>
      </c>
      <c r="AO262" s="128">
        <f ca="1">SUMIFS('ИП + источники'!AP$27:AP$87,'ИП + источники'!$F$27:$F$87,$F262,'ИП + источники'!$AC$27:$AC$87,"погашение займов и кредитов из нормативной прибыли")</f>
        <v>0</v>
      </c>
      <c r="AP262" s="128">
        <f ca="1">SUMIFS('ИП + источники'!AQ$27:AQ$87,'ИП + источники'!$F$27:$F$87,$F262,'ИП + источники'!$AC$27:$AC$87,"погашение займов и кредитов из нормативной прибыли")</f>
        <v>0</v>
      </c>
      <c r="AQ262" s="128">
        <f ca="1">SUMIFS('ИП + источники'!AR$27:AR$87,'ИП + источники'!$F$27:$F$87,$F262,'ИП + источники'!$AC$27:$AC$87,"погашение займов и кредитов из нормативной прибыли")</f>
        <v>0</v>
      </c>
      <c r="AR262" s="128">
        <f ca="1">SUMIFS('ИП + источники'!AS$27:AS$87,'ИП + источники'!$F$27:$F$87,$F262,'ИП + источники'!$AC$27:$AC$87,"погашение займов и кредитов из нормативной прибыли")</f>
        <v>0</v>
      </c>
      <c r="AS262" s="128">
        <f ca="1">SUMIFS('ИП + источники'!AT$27:AT$87,'ИП + источники'!$F$27:$F$87,$F262,'ИП + источники'!$AC$27:$AC$87,"погашение займов и кредитов из нормативной прибыли")</f>
        <v>0</v>
      </c>
      <c r="AT262" s="128">
        <f ca="1">SUMIFS('ИП + источники'!AU$27:AU$87,'ИП + источники'!$F$27:$F$87,$F262,'ИП + источники'!$AC$27:$AC$87,"погашение займов и кредитов из нормативной прибыли")</f>
        <v>0</v>
      </c>
      <c r="AU262" s="128">
        <f ca="1">SUMIFS('ИП + источники'!AV$27:AV$87,'ИП + источники'!$F$27:$F$87,$F262,'ИП + источники'!$AC$27:$AC$87,"погашение займов и кредитов из нормативной прибыли")</f>
        <v>0</v>
      </c>
      <c r="AV262" s="128">
        <f ca="1">SUMIFS('ИП + источники'!AW$27:AW$87,'ИП + источники'!$F$27:$F$87,$F262,'ИП + источники'!$AC$27:$AC$87,"погашение займов и кредитов из нормативной прибыли")</f>
        <v>0</v>
      </c>
      <c r="AW262" s="128">
        <f ca="1">SUMIFS('ИП + источники'!AX$27:AX$87,'ИП + источники'!$F$27:$F$87,$F262,'ИП + источники'!$AC$27:$AC$87,"погашение займов и кредитов из нормативной прибыли")</f>
        <v>0</v>
      </c>
      <c r="AX262" s="128">
        <f ca="1">SUMIFS('ИП + источники'!AY$27:AY$87,'ИП + источники'!$F$27:$F$87,$F262,'ИП + источники'!$AC$27:$AC$87,"погашение займов и кредитов из нормативной прибыли")</f>
        <v>0</v>
      </c>
      <c r="AY262" s="128">
        <f ca="1">SUMIFS('ИП + источники'!AZ$27:AZ$87,'ИП + источники'!$F$27:$F$87,$F262,'ИП + источники'!$AC$27:$AC$87,"погашение займов и кредитов из нормативной прибыли")</f>
        <v>0</v>
      </c>
      <c r="AZ262" s="128">
        <f ca="1">SUMIFS('ИП + источники'!BA$27:BA$87,'ИП + источники'!$F$27:$F$87,$F262,'ИП + источники'!$AC$27:$AC$87,"погашение займов и кредитов из нормативной прибыли")</f>
        <v>0</v>
      </c>
      <c r="BA262" s="128">
        <f ca="1">SUMIFS('ИП + источники'!BB$27:BB$87,'ИП + источники'!$F$27:$F$87,$F262,'ИП + источники'!$AC$27:$AC$87,"погашение займов и кредитов из нормативной прибыли")</f>
        <v>0</v>
      </c>
      <c r="BB262" s="128">
        <f ca="1">SUMIFS('ИП + источники'!BC$27:BC$87,'ИП + источники'!$F$27:$F$87,$F262,'ИП + источники'!$AC$27:$AC$87,"погашение займов и кредитов из нормативной прибыли")</f>
        <v>0</v>
      </c>
      <c r="BC262" s="128">
        <f ca="1">SUMIFS('ИП + источники'!BD$27:BD$87,'ИП + источники'!$F$27:$F$87,$F262,'ИП + источники'!$AC$27:$AC$87,"погашение займов и кредитов из нормативной прибыли")</f>
        <v>0</v>
      </c>
      <c r="BD262" s="170">
        <f t="shared" ca="1" si="57"/>
        <v>0</v>
      </c>
      <c r="BE262" s="170">
        <f t="shared" ca="1" si="58"/>
        <v>0</v>
      </c>
      <c r="BF262" s="170">
        <f t="shared" ca="1" si="59"/>
        <v>0</v>
      </c>
      <c r="BG262" s="170">
        <f t="shared" ca="1" si="60"/>
        <v>0</v>
      </c>
      <c r="BH262" s="170">
        <f t="shared" ca="1" si="61"/>
        <v>0</v>
      </c>
      <c r="BI262" s="170">
        <f t="shared" ca="1" si="62"/>
        <v>0</v>
      </c>
      <c r="BJ262" s="170">
        <f t="shared" ca="1" si="63"/>
        <v>0</v>
      </c>
      <c r="BK262" s="170">
        <f t="shared" ca="1" si="64"/>
        <v>0</v>
      </c>
      <c r="BL262" s="170">
        <f t="shared" ca="1" si="65"/>
        <v>0</v>
      </c>
      <c r="BM262" s="170">
        <f t="shared" ca="1" si="66"/>
        <v>0</v>
      </c>
      <c r="BN262" s="195"/>
      <c r="BO262" s="599" t="str">
        <f ca="1">IF(IFERROR(INDEX('ИП + источники'!$K$28:$L$87,MATCH($F262&amp;"2komm",'ИП + источники'!$K$28:$K$87,0),2),"")=0,"",IFERROR(INDEX('ИП + источники'!$K$28:$L$87,MATCH($F262&amp;"2komm",'ИП + источники'!$K$28:$K$87,0),2),""))</f>
        <v/>
      </c>
      <c r="BP262" s="195"/>
      <c r="BS262" s="694" t="s">
        <v>2140</v>
      </c>
    </row>
    <row r="263" spans="1:75" ht="14.25" customHeight="1">
      <c r="B263" s="328" t="b" cm="1">
        <f t="array" ref="B263">B262</f>
        <v>1</v>
      </c>
      <c r="C263" s="25"/>
      <c r="D263" s="25"/>
      <c r="E263" s="449">
        <v>15</v>
      </c>
      <c r="F263" s="3" t="str" cm="1">
        <f t="array" aca="1" ref="F263" ca="1">OFFSET(E263,-1,1)</f>
        <v>1</v>
      </c>
      <c r="G263" s="25"/>
      <c r="H263" s="25"/>
      <c r="I263" s="25" t="s">
        <v>605</v>
      </c>
      <c r="J263" s="25"/>
      <c r="L263" s="25"/>
      <c r="M263" s="25"/>
      <c r="N263" s="25"/>
      <c r="O263" s="25"/>
      <c r="P263" s="25"/>
      <c r="Q263" s="25"/>
      <c r="R263" s="25"/>
      <c r="S263" s="25"/>
      <c r="T263" s="351" t="b" cm="1">
        <f t="array" aca="1" ref="T263" ca="1">T262</f>
        <v>1</v>
      </c>
      <c r="U263" s="25"/>
      <c r="V263" s="25"/>
      <c r="W263" s="25"/>
      <c r="X263" s="1046"/>
      <c r="Z263" s="1008"/>
      <c r="AB263" s="7" t="s">
        <v>732</v>
      </c>
      <c r="AC263" s="127" t="s">
        <v>2141</v>
      </c>
      <c r="AD263" s="7" t="s">
        <v>859</v>
      </c>
      <c r="AE263" s="128">
        <f ca="1">SUMIFS('ИП + источники'!AF$27:AF$87,'ИП + источники'!$F$27:$F$87,$F263,'ИП + источники'!$AC$27:$AC$87,"уплата процентов по кредитам из нормативной прибыли")</f>
        <v>0</v>
      </c>
      <c r="AF263" s="128">
        <f ca="1">SUMIFS('ИП + источники'!AG$27:AG$87,'ИП + источники'!$F$27:$F$87,$F263,'ИП + источники'!$AC$27:$AC$87,"уплата процентов по кредитам из нормативной прибыли")</f>
        <v>0</v>
      </c>
      <c r="AG263" s="128">
        <f ca="1">SUMIFS('ИП + источники'!AH$27:AH$87,'ИП + источники'!$F$27:$F$87,$F263,'ИП + источники'!$AC$27:$AC$87,"уплата процентов по кредитам из нормативной прибыли")</f>
        <v>0</v>
      </c>
      <c r="AH263" s="170">
        <f t="shared" ca="1" si="55"/>
        <v>0</v>
      </c>
      <c r="AI263" s="128">
        <f ca="1">SUMIFS('ИП + источники'!AJ$27:AJ$87,'ИП + источники'!$F$27:$F$87,$F263,'ИП + источники'!$AC$27:$AC$87,"уплата процентов по кредитам из нормативной прибыли")</f>
        <v>0</v>
      </c>
      <c r="AJ263" s="128">
        <f ca="1">SUMIFS('ИП + источники'!AK$27:AK$87,'ИП + источники'!$F$27:$F$87,$F263,'ИП + источники'!$AC$27:$AC$87,"уплата процентов по кредитам из нормативной прибыли")</f>
        <v>0</v>
      </c>
      <c r="AK263" s="128">
        <f ca="1">SUMIFS('ИП + источники'!AL$27:AL$87,'ИП + источники'!$F$27:$F$87,$F263,'ИП + источники'!$AC$27:$AC$87,"уплата процентов по кредитам из нормативной прибыли")</f>
        <v>0</v>
      </c>
      <c r="AL263" s="128">
        <f ca="1">SUMIFS('ИП + источники'!AM$27:AM$87,'ИП + источники'!$F$27:$F$87,$F263,'ИП + источники'!$AC$27:$AC$87,"уплата процентов по кредитам из нормативной прибыли")</f>
        <v>0</v>
      </c>
      <c r="AM263" s="128">
        <f ca="1">SUMIFS('ИП + источники'!AN$27:AN$87,'ИП + источники'!$F$27:$F$87,$F263,'ИП + источники'!$AC$27:$AC$87,"уплата процентов по кредитам из нормативной прибыли")</f>
        <v>0</v>
      </c>
      <c r="AN263" s="128">
        <f ca="1">SUMIFS('ИП + источники'!AO$27:AO$87,'ИП + источники'!$F$27:$F$87,$F263,'ИП + источники'!$AC$27:$AC$87,"уплата процентов по кредитам из нормативной прибыли")</f>
        <v>0</v>
      </c>
      <c r="AO263" s="128">
        <f ca="1">SUMIFS('ИП + источники'!AP$27:AP$87,'ИП + источники'!$F$27:$F$87,$F263,'ИП + источники'!$AC$27:$AC$87,"уплата процентов по кредитам из нормативной прибыли")</f>
        <v>0</v>
      </c>
      <c r="AP263" s="128">
        <f ca="1">SUMIFS('ИП + источники'!AQ$27:AQ$87,'ИП + источники'!$F$27:$F$87,$F263,'ИП + источники'!$AC$27:$AC$87,"уплата процентов по кредитам из нормативной прибыли")</f>
        <v>0</v>
      </c>
      <c r="AQ263" s="128">
        <f ca="1">SUMIFS('ИП + источники'!AR$27:AR$87,'ИП + источники'!$F$27:$F$87,$F263,'ИП + источники'!$AC$27:$AC$87,"уплата процентов по кредитам из нормативной прибыли")</f>
        <v>0</v>
      </c>
      <c r="AR263" s="128">
        <f ca="1">SUMIFS('ИП + источники'!AS$27:AS$87,'ИП + источники'!$F$27:$F$87,$F263,'ИП + источники'!$AC$27:$AC$87,"уплата процентов по кредитам из нормативной прибыли")</f>
        <v>0</v>
      </c>
      <c r="AS263" s="128">
        <f ca="1">SUMIFS('ИП + источники'!AT$27:AT$87,'ИП + источники'!$F$27:$F$87,$F263,'ИП + источники'!$AC$27:$AC$87,"уплата процентов по кредитам из нормативной прибыли")</f>
        <v>0</v>
      </c>
      <c r="AT263" s="128">
        <f ca="1">SUMIFS('ИП + источники'!AU$27:AU$87,'ИП + источники'!$F$27:$F$87,$F263,'ИП + источники'!$AC$27:$AC$87,"уплата процентов по кредитам из нормативной прибыли")</f>
        <v>0</v>
      </c>
      <c r="AU263" s="128">
        <f ca="1">SUMIFS('ИП + источники'!AV$27:AV$87,'ИП + источники'!$F$27:$F$87,$F263,'ИП + источники'!$AC$27:$AC$87,"уплата процентов по кредитам из нормативной прибыли")</f>
        <v>0</v>
      </c>
      <c r="AV263" s="128">
        <f ca="1">SUMIFS('ИП + источники'!AW$27:AW$87,'ИП + источники'!$F$27:$F$87,$F263,'ИП + источники'!$AC$27:$AC$87,"уплата процентов по кредитам из нормативной прибыли")</f>
        <v>0</v>
      </c>
      <c r="AW263" s="128">
        <f ca="1">SUMIFS('ИП + источники'!AX$27:AX$87,'ИП + источники'!$F$27:$F$87,$F263,'ИП + источники'!$AC$27:$AC$87,"уплата процентов по кредитам из нормативной прибыли")</f>
        <v>0</v>
      </c>
      <c r="AX263" s="128">
        <f ca="1">SUMIFS('ИП + источники'!AY$27:AY$87,'ИП + источники'!$F$27:$F$87,$F263,'ИП + источники'!$AC$27:$AC$87,"уплата процентов по кредитам из нормативной прибыли")</f>
        <v>0</v>
      </c>
      <c r="AY263" s="128">
        <f ca="1">SUMIFS('ИП + источники'!AZ$27:AZ$87,'ИП + источники'!$F$27:$F$87,$F263,'ИП + источники'!$AC$27:$AC$87,"уплата процентов по кредитам из нормативной прибыли")</f>
        <v>0</v>
      </c>
      <c r="AZ263" s="128">
        <f ca="1">SUMIFS('ИП + источники'!BA$27:BA$87,'ИП + источники'!$F$27:$F$87,$F263,'ИП + источники'!$AC$27:$AC$87,"уплата процентов по кредитам из нормативной прибыли")</f>
        <v>0</v>
      </c>
      <c r="BA263" s="128">
        <f ca="1">SUMIFS('ИП + источники'!BB$27:BB$87,'ИП + источники'!$F$27:$F$87,$F263,'ИП + источники'!$AC$27:$AC$87,"уплата процентов по кредитам из нормативной прибыли")</f>
        <v>0</v>
      </c>
      <c r="BB263" s="128">
        <f ca="1">SUMIFS('ИП + источники'!BC$27:BC$87,'ИП + источники'!$F$27:$F$87,$F263,'ИП + источники'!$AC$27:$AC$87,"уплата процентов по кредитам из нормативной прибыли")</f>
        <v>0</v>
      </c>
      <c r="BC263" s="128">
        <f ca="1">SUMIFS('ИП + источники'!BD$27:BD$87,'ИП + источники'!$F$27:$F$87,$F263,'ИП + источники'!$AC$27:$AC$87,"уплата процентов по кредитам из нормативной прибыли")</f>
        <v>0</v>
      </c>
      <c r="BD263" s="170">
        <f t="shared" ca="1" si="57"/>
        <v>0</v>
      </c>
      <c r="BE263" s="170">
        <f t="shared" ca="1" si="58"/>
        <v>0</v>
      </c>
      <c r="BF263" s="170">
        <f t="shared" ca="1" si="59"/>
        <v>0</v>
      </c>
      <c r="BG263" s="170">
        <f t="shared" ca="1" si="60"/>
        <v>0</v>
      </c>
      <c r="BH263" s="170">
        <f t="shared" ca="1" si="61"/>
        <v>0</v>
      </c>
      <c r="BI263" s="170">
        <f t="shared" ca="1" si="62"/>
        <v>0</v>
      </c>
      <c r="BJ263" s="170">
        <f t="shared" ca="1" si="63"/>
        <v>0</v>
      </c>
      <c r="BK263" s="170">
        <f t="shared" ca="1" si="64"/>
        <v>0</v>
      </c>
      <c r="BL263" s="170">
        <f t="shared" ca="1" si="65"/>
        <v>0</v>
      </c>
      <c r="BM263" s="170">
        <f t="shared" ca="1" si="66"/>
        <v>0</v>
      </c>
      <c r="BN263" s="195"/>
      <c r="BO263" s="599" t="str">
        <f ca="1">IF(IFERROR(INDEX('ИП + источники'!$K$28:$L$87,MATCH($F263&amp;"3komm",'ИП + источники'!$K$28:$K$87,0),2),"")=0,"",IFERROR(INDEX('ИП + источники'!$K$28:$L$87,MATCH($F263&amp;"3komm",'ИП + источники'!$K$28:$K$87,0),2),""))</f>
        <v/>
      </c>
      <c r="BP263" s="195"/>
      <c r="BS263" s="694" t="s">
        <v>2142</v>
      </c>
    </row>
    <row r="264" spans="1:75" ht="14.25" customHeight="1">
      <c r="B264" s="328" t="b" cm="1">
        <f t="array" ref="B264">B263</f>
        <v>1</v>
      </c>
      <c r="C264" s="25"/>
      <c r="D264" s="25"/>
      <c r="E264" s="449">
        <v>15</v>
      </c>
      <c r="F264" s="3" t="str" cm="1">
        <f t="array" aca="1" ref="F264" ca="1">OFFSET(E264,-1,1)</f>
        <v>1</v>
      </c>
      <c r="G264" s="25"/>
      <c r="H264" s="25"/>
      <c r="I264" s="25" t="s">
        <v>817</v>
      </c>
      <c r="J264" s="25"/>
      <c r="L264" s="25" t="s">
        <v>620</v>
      </c>
      <c r="M264" s="25"/>
      <c r="N264" s="25"/>
      <c r="O264" s="25"/>
      <c r="P264" s="25"/>
      <c r="Q264" s="25"/>
      <c r="R264" s="25"/>
      <c r="S264" s="25"/>
      <c r="T264" s="351" t="b" cm="1">
        <f t="array" aca="1" ref="T264" ca="1">T263</f>
        <v>1</v>
      </c>
      <c r="U264" s="25"/>
      <c r="V264" s="25"/>
      <c r="W264" s="25"/>
      <c r="X264" s="1046"/>
      <c r="Z264" s="1008"/>
      <c r="AB264" s="7" t="s">
        <v>991</v>
      </c>
      <c r="AC264" s="127" t="s">
        <v>2143</v>
      </c>
      <c r="AD264" s="7" t="s">
        <v>859</v>
      </c>
      <c r="AE264" s="128">
        <f ca="1">SUMIFS('ИП + источники'!AF$27:AF$87,'ИП + источники'!$F$27:$F$87,$F264,'ИП + источники'!$AC$27:$AC$87,"Прибыль на капвложения")</f>
        <v>0</v>
      </c>
      <c r="AF264" s="128">
        <f ca="1">SUMIFS('ИП + источники'!AG$27:AG$87,'ИП + источники'!$F$27:$F$87,$F264,'ИП + источники'!$AC$27:$AC$87,"Прибыль на капвложения")</f>
        <v>0</v>
      </c>
      <c r="AG264" s="128">
        <f ca="1">SUMIFS('ИП + источники'!AH$27:AH$87,'ИП + источники'!$F$27:$F$87,$F264,'ИП + источники'!$AC$27:$AC$87,"Прибыль на капвложения")</f>
        <v>0</v>
      </c>
      <c r="AH264" s="170">
        <f t="shared" ca="1" si="55"/>
        <v>0</v>
      </c>
      <c r="AI264" s="128">
        <f ca="1">SUMIFS('ИП + источники'!AJ$27:AJ$87,'ИП + источники'!$F$27:$F$87,$F264,'ИП + источники'!$AC$27:$AC$87,"Прибыль на капвложения")</f>
        <v>0</v>
      </c>
      <c r="AJ264" s="128">
        <f ca="1">SUMIFS('ИП + источники'!AK$27:AK$87,'ИП + источники'!$F$27:$F$87,$F264,'ИП + источники'!$AC$27:$AC$87,"Прибыль на капвложения")</f>
        <v>0</v>
      </c>
      <c r="AK264" s="128">
        <f ca="1">SUMIFS('ИП + источники'!AL$27:AL$87,'ИП + источники'!$F$27:$F$87,$F264,'ИП + источники'!$AC$27:$AC$87,"Прибыль на капвложения")</f>
        <v>0</v>
      </c>
      <c r="AL264" s="128">
        <f ca="1">SUMIFS('ИП + источники'!AM$27:AM$87,'ИП + источники'!$F$27:$F$87,$F264,'ИП + источники'!$AC$27:$AC$87,"Прибыль на капвложения")</f>
        <v>0</v>
      </c>
      <c r="AM264" s="128">
        <f ca="1">SUMIFS('ИП + источники'!AN$27:AN$87,'ИП + источники'!$F$27:$F$87,$F264,'ИП + источники'!$AC$27:$AC$87,"Прибыль на капвложения")</f>
        <v>0</v>
      </c>
      <c r="AN264" s="128">
        <f ca="1">SUMIFS('ИП + источники'!AO$27:AO$87,'ИП + источники'!$F$27:$F$87,$F264,'ИП + источники'!$AC$27:$AC$87,"Прибыль на капвложения")</f>
        <v>0</v>
      </c>
      <c r="AO264" s="128">
        <f ca="1">SUMIFS('ИП + источники'!AP$27:AP$87,'ИП + источники'!$F$27:$F$87,$F264,'ИП + источники'!$AC$27:$AC$87,"Прибыль на капвложения")</f>
        <v>0</v>
      </c>
      <c r="AP264" s="128">
        <f ca="1">SUMIFS('ИП + источники'!AQ$27:AQ$87,'ИП + источники'!$F$27:$F$87,$F264,'ИП + источники'!$AC$27:$AC$87,"Прибыль на капвложения")</f>
        <v>0</v>
      </c>
      <c r="AQ264" s="128">
        <f ca="1">SUMIFS('ИП + источники'!AR$27:AR$87,'ИП + источники'!$F$27:$F$87,$F264,'ИП + источники'!$AC$27:$AC$87,"Прибыль на капвложения")</f>
        <v>0</v>
      </c>
      <c r="AR264" s="128">
        <f ca="1">SUMIFS('ИП + источники'!AS$27:AS$87,'ИП + источники'!$F$27:$F$87,$F264,'ИП + источники'!$AC$27:$AC$87,"Прибыль на капвложения")</f>
        <v>0</v>
      </c>
      <c r="AS264" s="128">
        <f ca="1">SUMIFS('ИП + источники'!AT$27:AT$87,'ИП + источники'!$F$27:$F$87,$F264,'ИП + источники'!$AC$27:$AC$87,"Прибыль на капвложения")</f>
        <v>0</v>
      </c>
      <c r="AT264" s="128">
        <f ca="1">SUMIFS('ИП + источники'!AU$27:AU$87,'ИП + источники'!$F$27:$F$87,$F264,'ИП + источники'!$AC$27:$AC$87,"Прибыль на капвложения")</f>
        <v>0</v>
      </c>
      <c r="AU264" s="128">
        <f ca="1">SUMIFS('ИП + источники'!AV$27:AV$87,'ИП + источники'!$F$27:$F$87,$F264,'ИП + источники'!$AC$27:$AC$87,"Прибыль на капвложения")</f>
        <v>0</v>
      </c>
      <c r="AV264" s="128">
        <f ca="1">SUMIFS('ИП + источники'!AW$27:AW$87,'ИП + источники'!$F$27:$F$87,$F264,'ИП + источники'!$AC$27:$AC$87,"Прибыль на капвложения")</f>
        <v>0</v>
      </c>
      <c r="AW264" s="128">
        <f ca="1">SUMIFS('ИП + источники'!AX$27:AX$87,'ИП + источники'!$F$27:$F$87,$F264,'ИП + источники'!$AC$27:$AC$87,"Прибыль на капвложения")</f>
        <v>0</v>
      </c>
      <c r="AX264" s="128">
        <f ca="1">SUMIFS('ИП + источники'!AY$27:AY$87,'ИП + источники'!$F$27:$F$87,$F264,'ИП + источники'!$AC$27:$AC$87,"Прибыль на капвложения")</f>
        <v>0</v>
      </c>
      <c r="AY264" s="128">
        <f ca="1">SUMIFS('ИП + источники'!AZ$27:AZ$87,'ИП + источники'!$F$27:$F$87,$F264,'ИП + источники'!$AC$27:$AC$87,"Прибыль на капвложения")</f>
        <v>0</v>
      </c>
      <c r="AZ264" s="128">
        <f ca="1">SUMIFS('ИП + источники'!BA$27:BA$87,'ИП + источники'!$F$27:$F$87,$F264,'ИП + источники'!$AC$27:$AC$87,"Прибыль на капвложения")</f>
        <v>0</v>
      </c>
      <c r="BA264" s="128">
        <f ca="1">SUMIFS('ИП + источники'!BB$27:BB$87,'ИП + источники'!$F$27:$F$87,$F264,'ИП + источники'!$AC$27:$AC$87,"Прибыль на капвложения")</f>
        <v>0</v>
      </c>
      <c r="BB264" s="128">
        <f ca="1">SUMIFS('ИП + источники'!BC$27:BC$87,'ИП + источники'!$F$27:$F$87,$F264,'ИП + источники'!$AC$27:$AC$87,"Прибыль на капвложения")</f>
        <v>0</v>
      </c>
      <c r="BC264" s="128">
        <f ca="1">SUMIFS('ИП + источники'!BD$27:BD$87,'ИП + источники'!$F$27:$F$87,$F264,'ИП + источники'!$AC$27:$AC$87,"Прибыль на капвложения")</f>
        <v>0</v>
      </c>
      <c r="BD264" s="170">
        <f t="shared" ca="1" si="57"/>
        <v>0</v>
      </c>
      <c r="BE264" s="170">
        <f t="shared" ca="1" si="58"/>
        <v>0</v>
      </c>
      <c r="BF264" s="170">
        <f t="shared" ca="1" si="59"/>
        <v>0</v>
      </c>
      <c r="BG264" s="170">
        <f t="shared" ca="1" si="60"/>
        <v>0</v>
      </c>
      <c r="BH264" s="170">
        <f t="shared" ca="1" si="61"/>
        <v>0</v>
      </c>
      <c r="BI264" s="170">
        <f t="shared" ca="1" si="62"/>
        <v>0</v>
      </c>
      <c r="BJ264" s="170">
        <f t="shared" ca="1" si="63"/>
        <v>0</v>
      </c>
      <c r="BK264" s="170">
        <f t="shared" ca="1" si="64"/>
        <v>0</v>
      </c>
      <c r="BL264" s="170">
        <f t="shared" ca="1" si="65"/>
        <v>0</v>
      </c>
      <c r="BM264" s="170">
        <f t="shared" ca="1" si="66"/>
        <v>0</v>
      </c>
      <c r="BN264" s="195"/>
      <c r="BO264" s="599" t="str">
        <f ca="1">IF(IFERROR(INDEX('ИП + источники'!$K$28:$L$87,MATCH($F264&amp;"1komm",'ИП + источники'!$K$28:$K$87,0),2),"")=0,"",IFERROR(INDEX('ИП + источники'!$K$28:$L$87,MATCH($F264&amp;"1komm",'ИП + источники'!$K$28:$K$87,0),2),""))</f>
        <v/>
      </c>
      <c r="BP264" s="195"/>
      <c r="BS264" s="694" t="s">
        <v>1852</v>
      </c>
    </row>
    <row r="265" spans="1:75" ht="138" customHeight="1">
      <c r="B265" s="328" t="b" cm="1">
        <f t="array" ref="B265">B264</f>
        <v>1</v>
      </c>
      <c r="C265" s="25"/>
      <c r="D265" s="25"/>
      <c r="E265" s="449">
        <v>22.5</v>
      </c>
      <c r="F265" s="3" t="str" cm="1">
        <f t="array" aca="1" ref="F265" ca="1">OFFSET(E265,-1,1)</f>
        <v>1</v>
      </c>
      <c r="G265" s="25" t="s">
        <v>2144</v>
      </c>
      <c r="H265" s="25"/>
      <c r="I265" s="25" t="s">
        <v>993</v>
      </c>
      <c r="J265" s="25"/>
      <c r="L265" s="25" t="s">
        <v>624</v>
      </c>
      <c r="M265" s="25"/>
      <c r="N265" s="25"/>
      <c r="O265" s="25"/>
      <c r="P265" s="25"/>
      <c r="Q265" s="25"/>
      <c r="R265" s="25"/>
      <c r="S265" s="25"/>
      <c r="T265" s="351" t="b" cm="1">
        <f t="array" aca="1" ref="T265" ca="1">T264</f>
        <v>1</v>
      </c>
      <c r="U265" s="25"/>
      <c r="V265" s="25"/>
      <c r="W265" s="25"/>
      <c r="X265" s="1046"/>
      <c r="Z265" s="1008"/>
      <c r="AB265" s="7" t="s">
        <v>994</v>
      </c>
      <c r="AC265" s="127" t="s">
        <v>2145</v>
      </c>
      <c r="AD265" s="7" t="s">
        <v>859</v>
      </c>
      <c r="AE265" s="128"/>
      <c r="AF265" s="128">
        <v>9.92</v>
      </c>
      <c r="AG265" s="128">
        <v>0</v>
      </c>
      <c r="AH265" s="170">
        <f t="shared" si="55"/>
        <v>-9.92</v>
      </c>
      <c r="AI265" s="128">
        <v>295.72000000000003</v>
      </c>
      <c r="AJ265" s="128">
        <v>2956.32</v>
      </c>
      <c r="AK265" s="128">
        <v>3074.59</v>
      </c>
      <c r="AL265" s="128">
        <v>3197.58</v>
      </c>
      <c r="AM265" s="128"/>
      <c r="AN265" s="128"/>
      <c r="AO265" s="128"/>
      <c r="AP265" s="128"/>
      <c r="AQ265" s="128"/>
      <c r="AR265" s="128"/>
      <c r="AS265" s="128"/>
      <c r="AT265" s="128">
        <v>0</v>
      </c>
      <c r="AU265" s="128">
        <v>0</v>
      </c>
      <c r="AV265" s="128">
        <v>0</v>
      </c>
      <c r="AW265" s="128"/>
      <c r="AX265" s="128"/>
      <c r="AY265" s="128"/>
      <c r="AZ265" s="128"/>
      <c r="BA265" s="128"/>
      <c r="BB265" s="128"/>
      <c r="BC265" s="128"/>
      <c r="BD265" s="170">
        <f t="shared" si="57"/>
        <v>-100</v>
      </c>
      <c r="BE265" s="170">
        <f t="shared" si="58"/>
        <v>0</v>
      </c>
      <c r="BF265" s="170">
        <f t="shared" si="59"/>
        <v>0</v>
      </c>
      <c r="BG265" s="170">
        <f t="shared" si="60"/>
        <v>0</v>
      </c>
      <c r="BH265" s="170">
        <f t="shared" si="61"/>
        <v>0</v>
      </c>
      <c r="BI265" s="170">
        <f t="shared" si="62"/>
        <v>0</v>
      </c>
      <c r="BJ265" s="170">
        <f t="shared" si="63"/>
        <v>0</v>
      </c>
      <c r="BK265" s="170">
        <f t="shared" si="64"/>
        <v>0</v>
      </c>
      <c r="BL265" s="170">
        <f t="shared" si="65"/>
        <v>0</v>
      </c>
      <c r="BM265" s="170">
        <f t="shared" si="66"/>
        <v>0</v>
      </c>
      <c r="BN265" s="195"/>
      <c r="BO265" s="195" t="s">
        <v>2256</v>
      </c>
      <c r="BP265" s="195" t="s">
        <v>2257</v>
      </c>
      <c r="BS265" s="694" t="s">
        <v>2146</v>
      </c>
    </row>
    <row r="266" spans="1:75" ht="0" hidden="1" customHeight="1">
      <c r="B266" s="328" t="b">
        <f>AND(method_reg="Метод индексации",STATUS_GO="да")</f>
        <v>1</v>
      </c>
      <c r="C266" s="25"/>
      <c r="D266" s="25"/>
      <c r="E266" s="449">
        <v>15</v>
      </c>
      <c r="F266" s="3" t="str" cm="1">
        <f t="array" aca="1" ref="F266" ca="1">OFFSET(E266,-1,1)</f>
        <v>1</v>
      </c>
      <c r="G266" s="25" t="s">
        <v>1855</v>
      </c>
      <c r="H266" s="25"/>
      <c r="I266" s="25" t="s">
        <v>557</v>
      </c>
      <c r="J266" s="25"/>
      <c r="L266" s="25" t="s">
        <v>628</v>
      </c>
      <c r="M266" s="25"/>
      <c r="N266" s="25"/>
      <c r="O266" s="25"/>
      <c r="P266" s="25"/>
      <c r="Q266" s="25"/>
      <c r="R266" s="25"/>
      <c r="S266" s="25"/>
      <c r="T266" s="351" t="b" cm="1">
        <f t="array" aca="1" ref="T266" ca="1">T265</f>
        <v>1</v>
      </c>
      <c r="U266" s="25"/>
      <c r="V266" s="25"/>
      <c r="W266" s="25"/>
      <c r="X266" s="1046"/>
      <c r="Z266" s="1008"/>
      <c r="AB266" s="7" t="s">
        <v>442</v>
      </c>
      <c r="AC266" s="345" t="s">
        <v>1855</v>
      </c>
      <c r="AD266" s="7" t="s">
        <v>859</v>
      </c>
      <c r="AE266" s="128"/>
      <c r="AF266" s="128"/>
      <c r="AG266" s="128"/>
      <c r="AH266" s="170">
        <f t="shared" si="55"/>
        <v>0</v>
      </c>
      <c r="AI266" s="128"/>
      <c r="AJ266" s="128"/>
      <c r="AK266" s="128"/>
      <c r="AL266" s="128"/>
      <c r="AM266" s="128"/>
      <c r="AN266" s="128"/>
      <c r="AO266" s="128"/>
      <c r="AP266" s="128"/>
      <c r="AQ266" s="128"/>
      <c r="AR266" s="128"/>
      <c r="AS266" s="128"/>
      <c r="AT266" s="128"/>
      <c r="AU266" s="128"/>
      <c r="AV266" s="128"/>
      <c r="AW266" s="128"/>
      <c r="AX266" s="128"/>
      <c r="AY266" s="128"/>
      <c r="AZ266" s="128"/>
      <c r="BA266" s="128"/>
      <c r="BB266" s="128"/>
      <c r="BC266" s="128"/>
      <c r="BD266" s="170">
        <f t="shared" si="57"/>
        <v>0</v>
      </c>
      <c r="BE266" s="170">
        <f t="shared" si="58"/>
        <v>0</v>
      </c>
      <c r="BF266" s="170">
        <f t="shared" si="59"/>
        <v>0</v>
      </c>
      <c r="BG266" s="170">
        <f t="shared" si="60"/>
        <v>0</v>
      </c>
      <c r="BH266" s="170">
        <f t="shared" si="61"/>
        <v>0</v>
      </c>
      <c r="BI266" s="170">
        <f t="shared" si="62"/>
        <v>0</v>
      </c>
      <c r="BJ266" s="170">
        <f t="shared" si="63"/>
        <v>0</v>
      </c>
      <c r="BK266" s="170">
        <f t="shared" si="64"/>
        <v>0</v>
      </c>
      <c r="BL266" s="170">
        <f t="shared" si="65"/>
        <v>0</v>
      </c>
      <c r="BM266" s="170">
        <f t="shared" si="66"/>
        <v>0</v>
      </c>
      <c r="BN266" s="195"/>
      <c r="BO266" s="195"/>
      <c r="BP266" s="195"/>
      <c r="BS266" s="694" t="s">
        <v>1856</v>
      </c>
    </row>
    <row r="267" spans="1:75" ht="14.25" hidden="1" customHeight="1">
      <c r="B267" s="578" t="b">
        <f>method_reg="Метод обеспечения доходности инвестированного капитала"</f>
        <v>0</v>
      </c>
      <c r="C267" s="25"/>
      <c r="D267" s="25"/>
      <c r="E267" s="449">
        <v>15</v>
      </c>
      <c r="F267" s="3" t="str" cm="1">
        <f t="array" aca="1" ref="F267" ca="1">OFFSET(E267,-1,1)</f>
        <v>1</v>
      </c>
      <c r="G267" s="25"/>
      <c r="H267" s="25"/>
      <c r="I267" s="25"/>
      <c r="J267" s="25"/>
      <c r="K267" s="25" t="s">
        <v>325</v>
      </c>
      <c r="L267" s="25"/>
      <c r="M267" s="25"/>
      <c r="N267" s="25"/>
      <c r="O267" s="25"/>
      <c r="P267" s="25"/>
      <c r="Q267" s="25"/>
      <c r="R267" s="25"/>
      <c r="S267" s="25"/>
      <c r="T267" s="578" t="b" cm="1">
        <f t="array" aca="1" ref="T267" ca="1">T266</f>
        <v>1</v>
      </c>
      <c r="U267" s="25"/>
      <c r="V267" s="25"/>
      <c r="W267" s="25"/>
      <c r="X267" s="1046"/>
      <c r="Z267" s="1008"/>
      <c r="AB267" s="124" t="s">
        <v>438</v>
      </c>
      <c r="AC267" s="132" t="s">
        <v>2147</v>
      </c>
      <c r="AD267" s="124" t="s">
        <v>859</v>
      </c>
      <c r="AE267" s="773"/>
      <c r="AF267" s="773"/>
      <c r="AG267" s="773"/>
      <c r="AH267" s="126">
        <f t="shared" si="55"/>
        <v>0</v>
      </c>
      <c r="AI267" s="773"/>
      <c r="AJ267" s="138"/>
      <c r="AK267" s="138"/>
      <c r="AL267" s="138"/>
      <c r="AM267" s="773"/>
      <c r="AN267" s="773"/>
      <c r="AO267" s="773"/>
      <c r="AP267" s="773"/>
      <c r="AQ267" s="773"/>
      <c r="AR267" s="773"/>
      <c r="AS267" s="773"/>
      <c r="AT267" s="138"/>
      <c r="AU267" s="138"/>
      <c r="AV267" s="138"/>
      <c r="AW267" s="773"/>
      <c r="AX267" s="773"/>
      <c r="AY267" s="773"/>
      <c r="AZ267" s="773"/>
      <c r="BA267" s="773"/>
      <c r="BB267" s="773"/>
      <c r="BC267" s="773"/>
      <c r="BD267" s="126">
        <f t="shared" si="57"/>
        <v>0</v>
      </c>
      <c r="BE267" s="126">
        <f t="shared" si="58"/>
        <v>0</v>
      </c>
      <c r="BF267" s="126">
        <f t="shared" si="59"/>
        <v>0</v>
      </c>
      <c r="BG267" s="126">
        <f t="shared" si="60"/>
        <v>0</v>
      </c>
      <c r="BH267" s="126">
        <f t="shared" si="61"/>
        <v>0</v>
      </c>
      <c r="BI267" s="126">
        <f t="shared" si="62"/>
        <v>0</v>
      </c>
      <c r="BJ267" s="126">
        <f t="shared" si="63"/>
        <v>0</v>
      </c>
      <c r="BK267" s="126">
        <f t="shared" si="64"/>
        <v>0</v>
      </c>
      <c r="BL267" s="126">
        <f t="shared" si="65"/>
        <v>0</v>
      </c>
      <c r="BM267" s="126">
        <f t="shared" si="66"/>
        <v>0</v>
      </c>
      <c r="BN267" s="776"/>
      <c r="BO267" s="776"/>
      <c r="BP267" s="776"/>
      <c r="BS267" s="694" t="s">
        <v>2148</v>
      </c>
    </row>
    <row r="268" spans="1:75" ht="14.25" hidden="1" customHeight="1">
      <c r="B268" s="578" t="b" cm="1">
        <f t="array" ref="B268">B267</f>
        <v>0</v>
      </c>
      <c r="C268" s="25"/>
      <c r="D268" s="25"/>
      <c r="E268" s="449">
        <v>15</v>
      </c>
      <c r="F268" s="3" t="str" cm="1">
        <f t="array" aca="1" ref="F268" ca="1">OFFSET(E268,-1,1)</f>
        <v>1</v>
      </c>
      <c r="G268" s="25"/>
      <c r="H268" s="25"/>
      <c r="I268" s="25"/>
      <c r="J268" s="25"/>
      <c r="K268" s="25" t="s">
        <v>587</v>
      </c>
      <c r="L268" s="25"/>
      <c r="M268" s="25"/>
      <c r="N268" s="25"/>
      <c r="O268" s="25"/>
      <c r="P268" s="25"/>
      <c r="Q268" s="25"/>
      <c r="R268" s="25"/>
      <c r="S268" s="25"/>
      <c r="T268" s="578" t="b" cm="1">
        <f t="array" aca="1" ref="T268" ca="1">T267</f>
        <v>1</v>
      </c>
      <c r="U268" s="25"/>
      <c r="V268" s="25"/>
      <c r="W268" s="25"/>
      <c r="X268" s="1046"/>
      <c r="Z268" s="1008"/>
      <c r="AB268" s="7" t="s">
        <v>722</v>
      </c>
      <c r="AC268" s="127" t="s">
        <v>2149</v>
      </c>
      <c r="AD268" s="7" t="s">
        <v>859</v>
      </c>
      <c r="AE268" s="777"/>
      <c r="AF268" s="777"/>
      <c r="AG268" s="777"/>
      <c r="AH268" s="540"/>
      <c r="AI268" s="777"/>
      <c r="AJ268" s="128"/>
      <c r="AK268" s="128"/>
      <c r="AL268" s="128"/>
      <c r="AM268" s="777"/>
      <c r="AN268" s="777"/>
      <c r="AO268" s="777"/>
      <c r="AP268" s="777"/>
      <c r="AQ268" s="777"/>
      <c r="AR268" s="777"/>
      <c r="AS268" s="777"/>
      <c r="AT268" s="128"/>
      <c r="AU268" s="128"/>
      <c r="AV268" s="128"/>
      <c r="AW268" s="777"/>
      <c r="AX268" s="777"/>
      <c r="AY268" s="777"/>
      <c r="AZ268" s="777"/>
      <c r="BA268" s="777"/>
      <c r="BB268" s="777"/>
      <c r="BC268" s="777"/>
      <c r="BD268" s="540"/>
      <c r="BE268" s="540"/>
      <c r="BF268" s="540"/>
      <c r="BG268" s="540"/>
      <c r="BH268" s="540"/>
      <c r="BI268" s="540"/>
      <c r="BJ268" s="540"/>
      <c r="BK268" s="540"/>
      <c r="BL268" s="540"/>
      <c r="BM268" s="540"/>
      <c r="BN268" s="774"/>
      <c r="BO268" s="774"/>
      <c r="BP268" s="774"/>
      <c r="BS268" s="694" t="s">
        <v>2150</v>
      </c>
    </row>
    <row r="269" spans="1:75" ht="14.25" hidden="1" customHeight="1">
      <c r="B269" s="578" t="b" cm="1">
        <f t="array" ref="B269">B268</f>
        <v>0</v>
      </c>
      <c r="C269" s="25"/>
      <c r="D269" s="25"/>
      <c r="E269" s="449">
        <v>15</v>
      </c>
      <c r="F269" s="3" t="str" cm="1">
        <f t="array" aca="1" ref="F269" ca="1">OFFSET(E269,-1,1)</f>
        <v>1</v>
      </c>
      <c r="G269" s="25"/>
      <c r="H269" s="25"/>
      <c r="I269" s="25"/>
      <c r="J269" s="25"/>
      <c r="K269" s="25" t="s">
        <v>591</v>
      </c>
      <c r="L269" s="25"/>
      <c r="M269" s="25"/>
      <c r="N269" s="25"/>
      <c r="O269" s="25"/>
      <c r="P269" s="25"/>
      <c r="Q269" s="25"/>
      <c r="R269" s="25"/>
      <c r="S269" s="25"/>
      <c r="T269" s="578" t="b" cm="1">
        <f t="array" aca="1" ref="T269" ca="1">T268</f>
        <v>1</v>
      </c>
      <c r="U269" s="25"/>
      <c r="V269" s="25"/>
      <c r="W269" s="25"/>
      <c r="X269" s="1046"/>
      <c r="Z269" s="1008"/>
      <c r="AB269" s="7" t="s">
        <v>725</v>
      </c>
      <c r="AC269" s="127" t="s">
        <v>2151</v>
      </c>
      <c r="AD269" s="7" t="s">
        <v>2152</v>
      </c>
      <c r="AE269" s="777"/>
      <c r="AF269" s="777"/>
      <c r="AG269" s="777"/>
      <c r="AH269" s="540"/>
      <c r="AI269" s="777"/>
      <c r="AJ269" s="128"/>
      <c r="AK269" s="128"/>
      <c r="AL269" s="128"/>
      <c r="AM269" s="777"/>
      <c r="AN269" s="777"/>
      <c r="AO269" s="777"/>
      <c r="AP269" s="777"/>
      <c r="AQ269" s="777"/>
      <c r="AR269" s="777"/>
      <c r="AS269" s="777"/>
      <c r="AT269" s="128"/>
      <c r="AU269" s="128"/>
      <c r="AV269" s="128"/>
      <c r="AW269" s="777"/>
      <c r="AX269" s="777"/>
      <c r="AY269" s="777"/>
      <c r="AZ269" s="777"/>
      <c r="BA269" s="777"/>
      <c r="BB269" s="777"/>
      <c r="BC269" s="777"/>
      <c r="BD269" s="540"/>
      <c r="BE269" s="540"/>
      <c r="BF269" s="540"/>
      <c r="BG269" s="540"/>
      <c r="BH269" s="540"/>
      <c r="BI269" s="540"/>
      <c r="BJ269" s="540"/>
      <c r="BK269" s="540"/>
      <c r="BL269" s="540"/>
      <c r="BM269" s="540"/>
      <c r="BN269" s="774"/>
      <c r="BO269" s="774"/>
      <c r="BP269" s="774"/>
      <c r="BS269" s="694" t="s">
        <v>2153</v>
      </c>
    </row>
    <row r="270" spans="1:75" ht="14.25" hidden="1" customHeight="1">
      <c r="B270" s="578" t="b" cm="1">
        <f t="array" ref="B270">B269</f>
        <v>0</v>
      </c>
      <c r="C270" s="25"/>
      <c r="D270" s="25"/>
      <c r="E270" s="449">
        <v>15</v>
      </c>
      <c r="F270" s="3" t="str" cm="1">
        <f t="array" aca="1" ref="F270" ca="1">OFFSET(E270,-1,1)</f>
        <v>1</v>
      </c>
      <c r="G270" s="25"/>
      <c r="H270" s="25"/>
      <c r="I270" s="25"/>
      <c r="J270" s="25"/>
      <c r="K270" s="25" t="s">
        <v>324</v>
      </c>
      <c r="L270" s="25"/>
      <c r="M270" s="25"/>
      <c r="N270" s="25"/>
      <c r="O270" s="25"/>
      <c r="P270" s="25"/>
      <c r="Q270" s="25"/>
      <c r="R270" s="25"/>
      <c r="S270" s="25"/>
      <c r="T270" s="578" t="b" cm="1">
        <f t="array" aca="1" ref="T270" ca="1">T269</f>
        <v>1</v>
      </c>
      <c r="U270" s="25"/>
      <c r="V270" s="25"/>
      <c r="W270" s="25"/>
      <c r="X270" s="1046"/>
      <c r="Z270" s="1008"/>
      <c r="AB270" s="124" t="s">
        <v>440</v>
      </c>
      <c r="AC270" s="132" t="s">
        <v>2154</v>
      </c>
      <c r="AD270" s="124" t="s">
        <v>859</v>
      </c>
      <c r="AE270" s="773"/>
      <c r="AF270" s="773"/>
      <c r="AG270" s="773"/>
      <c r="AH270" s="126">
        <f>AG270-AF270</f>
        <v>0</v>
      </c>
      <c r="AI270" s="773"/>
      <c r="AJ270" s="138"/>
      <c r="AK270" s="138"/>
      <c r="AL270" s="138"/>
      <c r="AM270" s="773"/>
      <c r="AN270" s="773"/>
      <c r="AO270" s="773"/>
      <c r="AP270" s="773"/>
      <c r="AQ270" s="773"/>
      <c r="AR270" s="773"/>
      <c r="AS270" s="773"/>
      <c r="AT270" s="138"/>
      <c r="AU270" s="138"/>
      <c r="AV270" s="138"/>
      <c r="AW270" s="773"/>
      <c r="AX270" s="773"/>
      <c r="AY270" s="773"/>
      <c r="AZ270" s="773"/>
      <c r="BA270" s="773"/>
      <c r="BB270" s="773"/>
      <c r="BC270" s="773"/>
      <c r="BD270" s="126">
        <f>IF(AI270=0,0,(AT270-AI270)/AI270*100)</f>
        <v>0</v>
      </c>
      <c r="BE270" s="126">
        <f t="shared" ref="BE270:BM270" si="71">IF(AT270=0,0,(AU270-AT270)/AT270*100)</f>
        <v>0</v>
      </c>
      <c r="BF270" s="126">
        <f t="shared" si="71"/>
        <v>0</v>
      </c>
      <c r="BG270" s="126">
        <f t="shared" si="71"/>
        <v>0</v>
      </c>
      <c r="BH270" s="126">
        <f t="shared" si="71"/>
        <v>0</v>
      </c>
      <c r="BI270" s="126">
        <f t="shared" si="71"/>
        <v>0</v>
      </c>
      <c r="BJ270" s="126">
        <f t="shared" si="71"/>
        <v>0</v>
      </c>
      <c r="BK270" s="126">
        <f t="shared" si="71"/>
        <v>0</v>
      </c>
      <c r="BL270" s="126">
        <f t="shared" si="71"/>
        <v>0</v>
      </c>
      <c r="BM270" s="126">
        <f t="shared" si="71"/>
        <v>0</v>
      </c>
      <c r="BN270" s="776"/>
      <c r="BO270" s="776"/>
      <c r="BP270" s="776"/>
      <c r="BS270" s="694" t="s">
        <v>2155</v>
      </c>
    </row>
    <row r="271" spans="1:75" ht="14.25" hidden="1" customHeight="1">
      <c r="B271" s="578" t="b" cm="1">
        <f t="array" ref="B271">B270</f>
        <v>0</v>
      </c>
      <c r="C271" s="25"/>
      <c r="D271" s="25"/>
      <c r="E271" s="449">
        <v>15</v>
      </c>
      <c r="F271" s="3" t="str" cm="1">
        <f t="array" aca="1" ref="F271" ca="1">OFFSET(E271,-1,1)</f>
        <v>1</v>
      </c>
      <c r="G271" s="25"/>
      <c r="H271" s="25"/>
      <c r="I271" s="25"/>
      <c r="J271" s="25"/>
      <c r="K271" s="25" t="s">
        <v>601</v>
      </c>
      <c r="L271" s="25"/>
      <c r="M271" s="25"/>
      <c r="N271" s="25"/>
      <c r="O271" s="25"/>
      <c r="P271" s="25"/>
      <c r="Q271" s="25"/>
      <c r="R271" s="25"/>
      <c r="S271" s="25"/>
      <c r="T271" s="578" t="b" cm="1">
        <f t="array" aca="1" ref="T271" ca="1">T270</f>
        <v>1</v>
      </c>
      <c r="U271" s="25"/>
      <c r="V271" s="25"/>
      <c r="W271" s="25"/>
      <c r="X271" s="1046"/>
      <c r="Z271" s="1008"/>
      <c r="AB271" s="7" t="s">
        <v>729</v>
      </c>
      <c r="AC271" s="127" t="s">
        <v>2156</v>
      </c>
      <c r="AD271" s="7" t="s">
        <v>859</v>
      </c>
      <c r="AE271" s="777"/>
      <c r="AF271" s="777"/>
      <c r="AG271" s="777"/>
      <c r="AH271" s="540"/>
      <c r="AI271" s="777"/>
      <c r="AJ271" s="128"/>
      <c r="AK271" s="128"/>
      <c r="AL271" s="128"/>
      <c r="AM271" s="777"/>
      <c r="AN271" s="777"/>
      <c r="AO271" s="777"/>
      <c r="AP271" s="777"/>
      <c r="AQ271" s="777"/>
      <c r="AR271" s="777"/>
      <c r="AS271" s="777"/>
      <c r="AT271" s="128"/>
      <c r="AU271" s="128"/>
      <c r="AV271" s="128"/>
      <c r="AW271" s="777"/>
      <c r="AX271" s="777"/>
      <c r="AY271" s="777"/>
      <c r="AZ271" s="777"/>
      <c r="BA271" s="777"/>
      <c r="BB271" s="777"/>
      <c r="BC271" s="777"/>
      <c r="BD271" s="540"/>
      <c r="BE271" s="540"/>
      <c r="BF271" s="540"/>
      <c r="BG271" s="540"/>
      <c r="BH271" s="540"/>
      <c r="BI271" s="540"/>
      <c r="BJ271" s="540"/>
      <c r="BK271" s="540"/>
      <c r="BL271" s="540"/>
      <c r="BM271" s="540"/>
      <c r="BN271" s="774"/>
      <c r="BO271" s="774"/>
      <c r="BP271" s="774"/>
      <c r="BS271" s="694" t="s">
        <v>2157</v>
      </c>
    </row>
    <row r="272" spans="1:75" ht="14.25" hidden="1" customHeight="1">
      <c r="B272" s="578" t="b" cm="1">
        <f t="array" ref="B272">B271</f>
        <v>0</v>
      </c>
      <c r="C272" s="25"/>
      <c r="D272" s="25"/>
      <c r="E272" s="449">
        <v>15</v>
      </c>
      <c r="F272" s="3" t="str" cm="1">
        <f t="array" aca="1" ref="F272" ca="1">OFFSET(E272,-1,1)</f>
        <v>1</v>
      </c>
      <c r="G272" s="25"/>
      <c r="H272" s="25"/>
      <c r="I272" s="25"/>
      <c r="J272" s="25"/>
      <c r="K272" s="25" t="s">
        <v>605</v>
      </c>
      <c r="L272" s="25"/>
      <c r="M272" s="25"/>
      <c r="N272" s="25"/>
      <c r="O272" s="25"/>
      <c r="P272" s="25"/>
      <c r="Q272" s="25"/>
      <c r="R272" s="25"/>
      <c r="S272" s="25"/>
      <c r="T272" s="578" t="b" cm="1">
        <f t="array" aca="1" ref="T272" ca="1">T271</f>
        <v>1</v>
      </c>
      <c r="U272" s="25"/>
      <c r="V272" s="25"/>
      <c r="W272" s="25"/>
      <c r="X272" s="1046"/>
      <c r="Z272" s="1008"/>
      <c r="AB272" s="7" t="s">
        <v>732</v>
      </c>
      <c r="AC272" s="127" t="s">
        <v>2158</v>
      </c>
      <c r="AD272" s="7" t="s">
        <v>501</v>
      </c>
      <c r="AE272" s="777"/>
      <c r="AF272" s="777"/>
      <c r="AG272" s="777"/>
      <c r="AH272" s="540"/>
      <c r="AI272" s="777"/>
      <c r="AJ272" s="128"/>
      <c r="AK272" s="128"/>
      <c r="AL272" s="128"/>
      <c r="AM272" s="777"/>
      <c r="AN272" s="777"/>
      <c r="AO272" s="777"/>
      <c r="AP272" s="777"/>
      <c r="AQ272" s="777"/>
      <c r="AR272" s="777"/>
      <c r="AS272" s="777"/>
      <c r="AT272" s="128"/>
      <c r="AU272" s="128"/>
      <c r="AV272" s="128"/>
      <c r="AW272" s="777"/>
      <c r="AX272" s="777"/>
      <c r="AY272" s="777"/>
      <c r="AZ272" s="777"/>
      <c r="BA272" s="777"/>
      <c r="BB272" s="777"/>
      <c r="BC272" s="777"/>
      <c r="BD272" s="540"/>
      <c r="BE272" s="540"/>
      <c r="BF272" s="540"/>
      <c r="BG272" s="540"/>
      <c r="BH272" s="540"/>
      <c r="BI272" s="540"/>
      <c r="BJ272" s="540"/>
      <c r="BK272" s="540"/>
      <c r="BL272" s="540"/>
      <c r="BM272" s="540"/>
      <c r="BN272" s="774"/>
      <c r="BO272" s="774"/>
      <c r="BP272" s="774"/>
      <c r="BS272" s="694" t="s">
        <v>2159</v>
      </c>
    </row>
    <row r="273" spans="1:75" ht="14.25" hidden="1" customHeight="1">
      <c r="B273" s="578" t="b" cm="1">
        <f t="array" ref="B273">B272</f>
        <v>0</v>
      </c>
      <c r="C273" s="25"/>
      <c r="D273" s="25"/>
      <c r="E273" s="449">
        <v>15</v>
      </c>
      <c r="F273" s="3" t="str" cm="1">
        <f t="array" aca="1" ref="F273" ca="1">OFFSET(E273,-1,1)</f>
        <v>1</v>
      </c>
      <c r="G273" s="25"/>
      <c r="H273" s="25"/>
      <c r="I273" s="25"/>
      <c r="J273" s="25"/>
      <c r="K273" s="25" t="s">
        <v>817</v>
      </c>
      <c r="L273" s="25"/>
      <c r="M273" s="25"/>
      <c r="N273" s="25"/>
      <c r="O273" s="25"/>
      <c r="P273" s="25"/>
      <c r="Q273" s="25"/>
      <c r="R273" s="25"/>
      <c r="S273" s="25"/>
      <c r="T273" s="578" t="b" cm="1">
        <f t="array" aca="1" ref="T273" ca="1">T272</f>
        <v>1</v>
      </c>
      <c r="U273" s="25"/>
      <c r="V273" s="25"/>
      <c r="W273" s="25"/>
      <c r="X273" s="1046"/>
      <c r="Z273" s="1008"/>
      <c r="AB273" s="7" t="s">
        <v>991</v>
      </c>
      <c r="AC273" s="127" t="s">
        <v>2160</v>
      </c>
      <c r="AD273" s="7" t="s">
        <v>859</v>
      </c>
      <c r="AE273" s="777"/>
      <c r="AF273" s="777"/>
      <c r="AG273" s="777"/>
      <c r="AH273" s="540"/>
      <c r="AI273" s="777"/>
      <c r="AJ273" s="128"/>
      <c r="AK273" s="128"/>
      <c r="AL273" s="128"/>
      <c r="AM273" s="777"/>
      <c r="AN273" s="777"/>
      <c r="AO273" s="777"/>
      <c r="AP273" s="777"/>
      <c r="AQ273" s="777"/>
      <c r="AR273" s="777"/>
      <c r="AS273" s="777"/>
      <c r="AT273" s="128"/>
      <c r="AU273" s="128"/>
      <c r="AV273" s="128"/>
      <c r="AW273" s="777"/>
      <c r="AX273" s="777"/>
      <c r="AY273" s="777"/>
      <c r="AZ273" s="777"/>
      <c r="BA273" s="777"/>
      <c r="BB273" s="777"/>
      <c r="BC273" s="777"/>
      <c r="BD273" s="540"/>
      <c r="BE273" s="540"/>
      <c r="BF273" s="540"/>
      <c r="BG273" s="540"/>
      <c r="BH273" s="540"/>
      <c r="BI273" s="540"/>
      <c r="BJ273" s="540"/>
      <c r="BK273" s="540"/>
      <c r="BL273" s="540"/>
      <c r="BM273" s="540"/>
      <c r="BN273" s="774"/>
      <c r="BO273" s="774"/>
      <c r="BP273" s="774"/>
      <c r="BS273" s="694" t="s">
        <v>2161</v>
      </c>
    </row>
    <row r="274" spans="1:75" ht="14.25" hidden="1" customHeight="1">
      <c r="B274" s="578" t="b" cm="1">
        <f t="array" ref="B274">B273</f>
        <v>0</v>
      </c>
      <c r="C274" s="25"/>
      <c r="D274" s="25"/>
      <c r="E274" s="449">
        <v>15</v>
      </c>
      <c r="F274" s="3" t="str" cm="1">
        <f t="array" aca="1" ref="F274" ca="1">OFFSET(E274,-1,1)</f>
        <v>1</v>
      </c>
      <c r="G274" s="25"/>
      <c r="H274" s="25"/>
      <c r="I274" s="25"/>
      <c r="J274" s="25"/>
      <c r="K274" s="25" t="s">
        <v>993</v>
      </c>
      <c r="L274" s="25"/>
      <c r="M274" s="25"/>
      <c r="N274" s="25"/>
      <c r="O274" s="25"/>
      <c r="P274" s="25"/>
      <c r="Q274" s="25"/>
      <c r="R274" s="25"/>
      <c r="S274" s="25"/>
      <c r="T274" s="578" t="b" cm="1">
        <f t="array" aca="1" ref="T274" ca="1">T273</f>
        <v>1</v>
      </c>
      <c r="U274" s="25"/>
      <c r="V274" s="25"/>
      <c r="W274" s="25"/>
      <c r="X274" s="1046"/>
      <c r="Z274" s="1008"/>
      <c r="AB274" s="7" t="s">
        <v>994</v>
      </c>
      <c r="AC274" s="127" t="s">
        <v>2162</v>
      </c>
      <c r="AD274" s="7" t="s">
        <v>859</v>
      </c>
      <c r="AE274" s="777"/>
      <c r="AF274" s="777"/>
      <c r="AG274" s="777"/>
      <c r="AH274" s="540"/>
      <c r="AI274" s="777"/>
      <c r="AJ274" s="128"/>
      <c r="AK274" s="128"/>
      <c r="AL274" s="128"/>
      <c r="AM274" s="777"/>
      <c r="AN274" s="777"/>
      <c r="AO274" s="777"/>
      <c r="AP274" s="777"/>
      <c r="AQ274" s="777"/>
      <c r="AR274" s="777"/>
      <c r="AS274" s="777"/>
      <c r="AT274" s="128"/>
      <c r="AU274" s="128"/>
      <c r="AV274" s="128"/>
      <c r="AW274" s="777"/>
      <c r="AX274" s="777"/>
      <c r="AY274" s="777"/>
      <c r="AZ274" s="777"/>
      <c r="BA274" s="777"/>
      <c r="BB274" s="777"/>
      <c r="BC274" s="777"/>
      <c r="BD274" s="540"/>
      <c r="BE274" s="540"/>
      <c r="BF274" s="540"/>
      <c r="BG274" s="540"/>
      <c r="BH274" s="540"/>
      <c r="BI274" s="540"/>
      <c r="BJ274" s="540"/>
      <c r="BK274" s="540"/>
      <c r="BL274" s="540"/>
      <c r="BM274" s="540"/>
      <c r="BN274" s="774"/>
      <c r="BO274" s="774"/>
      <c r="BP274" s="774"/>
      <c r="BS274" s="694" t="s">
        <v>2163</v>
      </c>
    </row>
    <row r="275" spans="1:75" ht="14.25" hidden="1" customHeight="1">
      <c r="B275" s="578" t="b" cm="1">
        <f t="array" ref="B275">B274</f>
        <v>0</v>
      </c>
      <c r="C275" s="25"/>
      <c r="D275" s="25"/>
      <c r="E275" s="449">
        <v>15</v>
      </c>
      <c r="F275" s="3" t="str" cm="1">
        <f t="array" aca="1" ref="F275" ca="1">OFFSET(E275,-1,1)</f>
        <v>1</v>
      </c>
      <c r="G275" s="25"/>
      <c r="H275" s="25"/>
      <c r="I275" s="25"/>
      <c r="J275" s="25"/>
      <c r="K275" s="25" t="s">
        <v>2164</v>
      </c>
      <c r="L275" s="25"/>
      <c r="M275" s="25"/>
      <c r="N275" s="25"/>
      <c r="O275" s="25"/>
      <c r="P275" s="25"/>
      <c r="Q275" s="25"/>
      <c r="R275" s="25"/>
      <c r="S275" s="25"/>
      <c r="T275" s="578" t="b" cm="1">
        <f t="array" aca="1" ref="T275" ca="1">T274</f>
        <v>1</v>
      </c>
      <c r="U275" s="25"/>
      <c r="V275" s="25"/>
      <c r="W275" s="25"/>
      <c r="X275" s="1046"/>
      <c r="Z275" s="1008"/>
      <c r="AB275" s="7" t="s">
        <v>2165</v>
      </c>
      <c r="AC275" s="134" t="s">
        <v>2166</v>
      </c>
      <c r="AD275" s="7" t="s">
        <v>501</v>
      </c>
      <c r="AE275" s="777"/>
      <c r="AF275" s="777"/>
      <c r="AG275" s="777"/>
      <c r="AH275" s="540"/>
      <c r="AI275" s="777"/>
      <c r="AJ275" s="128"/>
      <c r="AK275" s="128"/>
      <c r="AL275" s="128"/>
      <c r="AM275" s="777"/>
      <c r="AN275" s="777"/>
      <c r="AO275" s="777"/>
      <c r="AP275" s="777"/>
      <c r="AQ275" s="777"/>
      <c r="AR275" s="777"/>
      <c r="AS275" s="777"/>
      <c r="AT275" s="128"/>
      <c r="AU275" s="128"/>
      <c r="AV275" s="128"/>
      <c r="AW275" s="777"/>
      <c r="AX275" s="777"/>
      <c r="AY275" s="777"/>
      <c r="AZ275" s="777"/>
      <c r="BA275" s="777"/>
      <c r="BB275" s="777"/>
      <c r="BC275" s="777"/>
      <c r="BD275" s="540"/>
      <c r="BE275" s="540"/>
      <c r="BF275" s="540"/>
      <c r="BG275" s="540"/>
      <c r="BH275" s="540"/>
      <c r="BI275" s="540"/>
      <c r="BJ275" s="540"/>
      <c r="BK275" s="540"/>
      <c r="BL275" s="540"/>
      <c r="BM275" s="540"/>
      <c r="BN275" s="774"/>
      <c r="BO275" s="774"/>
      <c r="BP275" s="774"/>
      <c r="BS275" s="694" t="s">
        <v>2167</v>
      </c>
    </row>
    <row r="276" spans="1:75" ht="14.25" hidden="1" customHeight="1">
      <c r="B276" s="578" t="b" cm="1">
        <f t="array" ref="B276">B275</f>
        <v>0</v>
      </c>
      <c r="C276" s="25"/>
      <c r="D276" s="25"/>
      <c r="E276" s="449">
        <v>15</v>
      </c>
      <c r="F276" s="3" t="str" cm="1">
        <f t="array" aca="1" ref="F276" ca="1">OFFSET(E276,-1,1)</f>
        <v>1</v>
      </c>
      <c r="G276" s="25"/>
      <c r="H276" s="25"/>
      <c r="I276" s="25"/>
      <c r="J276" s="25"/>
      <c r="K276" s="25" t="s">
        <v>996</v>
      </c>
      <c r="L276" s="25"/>
      <c r="M276" s="25"/>
      <c r="N276" s="25"/>
      <c r="O276" s="25"/>
      <c r="P276" s="25"/>
      <c r="Q276" s="25"/>
      <c r="R276" s="25"/>
      <c r="S276" s="25"/>
      <c r="T276" s="578" t="b" cm="1">
        <f t="array" aca="1" ref="T276" ca="1">T275</f>
        <v>1</v>
      </c>
      <c r="U276" s="25"/>
      <c r="V276" s="25"/>
      <c r="W276" s="25"/>
      <c r="X276" s="1046"/>
      <c r="Z276" s="1008"/>
      <c r="AB276" s="7" t="s">
        <v>997</v>
      </c>
      <c r="AC276" s="127" t="s">
        <v>2168</v>
      </c>
      <c r="AD276" s="7" t="s">
        <v>501</v>
      </c>
      <c r="AE276" s="777"/>
      <c r="AF276" s="777"/>
      <c r="AG276" s="777"/>
      <c r="AH276" s="540"/>
      <c r="AI276" s="777"/>
      <c r="AJ276" s="128"/>
      <c r="AK276" s="128"/>
      <c r="AL276" s="128"/>
      <c r="AM276" s="777"/>
      <c r="AN276" s="777"/>
      <c r="AO276" s="777"/>
      <c r="AP276" s="777"/>
      <c r="AQ276" s="777"/>
      <c r="AR276" s="777"/>
      <c r="AS276" s="777"/>
      <c r="AT276" s="128"/>
      <c r="AU276" s="128"/>
      <c r="AV276" s="128"/>
      <c r="AW276" s="777"/>
      <c r="AX276" s="777"/>
      <c r="AY276" s="777"/>
      <c r="AZ276" s="777"/>
      <c r="BA276" s="777"/>
      <c r="BB276" s="777"/>
      <c r="BC276" s="777"/>
      <c r="BD276" s="540"/>
      <c r="BE276" s="540"/>
      <c r="BF276" s="540"/>
      <c r="BG276" s="540"/>
      <c r="BH276" s="540"/>
      <c r="BI276" s="540"/>
      <c r="BJ276" s="540"/>
      <c r="BK276" s="540"/>
      <c r="BL276" s="540"/>
      <c r="BM276" s="540"/>
      <c r="BN276" s="774"/>
      <c r="BO276" s="774"/>
      <c r="BP276" s="774"/>
      <c r="BS276" s="694" t="s">
        <v>2169</v>
      </c>
    </row>
    <row r="277" spans="1:75" ht="14.25" hidden="1" customHeight="1">
      <c r="B277" s="578" t="b" cm="1">
        <f t="array" ref="B277">B276</f>
        <v>0</v>
      </c>
      <c r="C277" s="25"/>
      <c r="D277" s="25"/>
      <c r="E277" s="449">
        <v>15</v>
      </c>
      <c r="F277" s="3" t="str" cm="1">
        <f t="array" aca="1" ref="F277" ca="1">OFFSET(E277,-1,1)</f>
        <v>1</v>
      </c>
      <c r="G277" s="25"/>
      <c r="H277" s="25"/>
      <c r="I277" s="25"/>
      <c r="J277" s="25"/>
      <c r="K277" s="25" t="s">
        <v>2170</v>
      </c>
      <c r="L277" s="25"/>
      <c r="M277" s="25"/>
      <c r="N277" s="25"/>
      <c r="O277" s="25"/>
      <c r="P277" s="25"/>
      <c r="Q277" s="25"/>
      <c r="R277" s="25"/>
      <c r="S277" s="25"/>
      <c r="T277" s="578" t="b" cm="1">
        <f t="array" aca="1" ref="T277" ca="1">T276</f>
        <v>1</v>
      </c>
      <c r="U277" s="25"/>
      <c r="V277" s="25"/>
      <c r="W277" s="25"/>
      <c r="X277" s="1046"/>
      <c r="Z277" s="1008"/>
      <c r="AB277" s="7" t="s">
        <v>2171</v>
      </c>
      <c r="AC277" s="134" t="s">
        <v>2172</v>
      </c>
      <c r="AD277" s="7" t="s">
        <v>501</v>
      </c>
      <c r="AE277" s="777"/>
      <c r="AF277" s="777"/>
      <c r="AG277" s="777"/>
      <c r="AH277" s="540"/>
      <c r="AI277" s="777"/>
      <c r="AJ277" s="128"/>
      <c r="AK277" s="128"/>
      <c r="AL277" s="128"/>
      <c r="AM277" s="777"/>
      <c r="AN277" s="777"/>
      <c r="AO277" s="777"/>
      <c r="AP277" s="777"/>
      <c r="AQ277" s="777"/>
      <c r="AR277" s="777"/>
      <c r="AS277" s="777"/>
      <c r="AT277" s="128"/>
      <c r="AU277" s="128"/>
      <c r="AV277" s="128"/>
      <c r="AW277" s="777"/>
      <c r="AX277" s="777"/>
      <c r="AY277" s="777"/>
      <c r="AZ277" s="777"/>
      <c r="BA277" s="777"/>
      <c r="BB277" s="777"/>
      <c r="BC277" s="777"/>
      <c r="BD277" s="540"/>
      <c r="BE277" s="540"/>
      <c r="BF277" s="540"/>
      <c r="BG277" s="540"/>
      <c r="BH277" s="540"/>
      <c r="BI277" s="540"/>
      <c r="BJ277" s="540"/>
      <c r="BK277" s="540"/>
      <c r="BL277" s="540"/>
      <c r="BM277" s="540"/>
      <c r="BN277" s="774"/>
      <c r="BO277" s="774"/>
      <c r="BP277" s="774"/>
      <c r="BS277" s="694" t="s">
        <v>2173</v>
      </c>
    </row>
    <row r="278" spans="1:75" ht="14.25" hidden="1" customHeight="1">
      <c r="B278" s="578" t="b" cm="1">
        <f t="array" ref="B278">B277</f>
        <v>0</v>
      </c>
      <c r="C278" s="25"/>
      <c r="D278" s="25"/>
      <c r="E278" s="449">
        <v>15</v>
      </c>
      <c r="F278" s="3" t="str" cm="1">
        <f t="array" aca="1" ref="F278" ca="1">OFFSET(E278,-1,1)</f>
        <v>1</v>
      </c>
      <c r="G278" s="25"/>
      <c r="H278" s="25"/>
      <c r="I278" s="25"/>
      <c r="J278" s="25"/>
      <c r="K278" s="25" t="s">
        <v>2174</v>
      </c>
      <c r="L278" s="25"/>
      <c r="M278" s="25"/>
      <c r="N278" s="25"/>
      <c r="O278" s="25"/>
      <c r="P278" s="25"/>
      <c r="Q278" s="25"/>
      <c r="R278" s="25"/>
      <c r="S278" s="25"/>
      <c r="T278" s="578" t="b" cm="1">
        <f t="array" aca="1" ref="T278" ca="1">T277</f>
        <v>1</v>
      </c>
      <c r="U278" s="25"/>
      <c r="V278" s="25"/>
      <c r="W278" s="25"/>
      <c r="X278" s="1046"/>
      <c r="Z278" s="1008"/>
      <c r="AB278" s="7" t="s">
        <v>2175</v>
      </c>
      <c r="AC278" s="134" t="s">
        <v>2176</v>
      </c>
      <c r="AD278" s="7" t="s">
        <v>501</v>
      </c>
      <c r="AE278" s="777"/>
      <c r="AF278" s="777"/>
      <c r="AG278" s="777"/>
      <c r="AH278" s="540"/>
      <c r="AI278" s="777"/>
      <c r="AJ278" s="128"/>
      <c r="AK278" s="128"/>
      <c r="AL278" s="128"/>
      <c r="AM278" s="777"/>
      <c r="AN278" s="777"/>
      <c r="AO278" s="777"/>
      <c r="AP278" s="777"/>
      <c r="AQ278" s="777"/>
      <c r="AR278" s="777"/>
      <c r="AS278" s="777"/>
      <c r="AT278" s="128"/>
      <c r="AU278" s="128"/>
      <c r="AV278" s="128"/>
      <c r="AW278" s="777"/>
      <c r="AX278" s="777"/>
      <c r="AY278" s="777"/>
      <c r="AZ278" s="777"/>
      <c r="BA278" s="777"/>
      <c r="BB278" s="777"/>
      <c r="BC278" s="777"/>
      <c r="BD278" s="540"/>
      <c r="BE278" s="540"/>
      <c r="BF278" s="540"/>
      <c r="BG278" s="540"/>
      <c r="BH278" s="540"/>
      <c r="BI278" s="540"/>
      <c r="BJ278" s="540"/>
      <c r="BK278" s="540"/>
      <c r="BL278" s="540"/>
      <c r="BM278" s="540"/>
      <c r="BN278" s="774"/>
      <c r="BO278" s="774"/>
      <c r="BP278" s="774"/>
      <c r="BS278" s="694" t="s">
        <v>2177</v>
      </c>
    </row>
    <row r="279" spans="1:75" s="903" customFormat="1" ht="30.2" customHeight="1">
      <c r="A279" s="76"/>
      <c r="B279" s="331"/>
      <c r="C279" s="27"/>
      <c r="D279" s="27" t="str">
        <f>IF(B278,"6","7")</f>
        <v>7</v>
      </c>
      <c r="E279" s="557">
        <v>21</v>
      </c>
      <c r="F279" s="3" t="str" cm="1">
        <f t="array" aca="1" ref="F279" ca="1">OFFSET(E279,-1,1)</f>
        <v>1</v>
      </c>
      <c r="G279" s="25" t="s">
        <v>2178</v>
      </c>
      <c r="H279" s="25"/>
      <c r="I279" s="282" t="s">
        <v>2179</v>
      </c>
      <c r="J279" s="27"/>
      <c r="K279" s="278" t="s">
        <v>2179</v>
      </c>
      <c r="L279" s="27"/>
      <c r="M279" s="27"/>
      <c r="N279" s="27"/>
      <c r="O279" s="27"/>
      <c r="P279" s="27"/>
      <c r="Q279" s="27"/>
      <c r="R279" s="27"/>
      <c r="S279" s="27"/>
      <c r="T279" s="351" t="b" cm="1">
        <f t="array" aca="1" ref="T279" ca="1">T278</f>
        <v>1</v>
      </c>
      <c r="U279" s="27"/>
      <c r="V279" s="27"/>
      <c r="W279" s="27"/>
      <c r="X279" s="1046"/>
      <c r="Y279" s="76"/>
      <c r="Z279" s="1008"/>
      <c r="AA279" s="76"/>
      <c r="AB279" s="124" t="str" cm="1">
        <f t="array" ref="AB279">D279</f>
        <v>7</v>
      </c>
      <c r="AC279" s="132" t="s">
        <v>1632</v>
      </c>
      <c r="AD279" s="124" t="s">
        <v>859</v>
      </c>
      <c r="AE279" s="138"/>
      <c r="AF279" s="138"/>
      <c r="AG279" s="138"/>
      <c r="AH279" s="126">
        <f>AG279-AF279</f>
        <v>0</v>
      </c>
      <c r="AI279" s="138"/>
      <c r="AJ279" s="128" cm="1">
        <f t="array" ref="AJ279">AJ286</f>
        <v>14303.73</v>
      </c>
      <c r="AK279" s="138">
        <v>0</v>
      </c>
      <c r="AL279" s="138">
        <v>0</v>
      </c>
      <c r="AM279" s="138"/>
      <c r="AN279" s="138"/>
      <c r="AO279" s="138"/>
      <c r="AP279" s="138"/>
      <c r="AQ279" s="138"/>
      <c r="AR279" s="138"/>
      <c r="AS279" s="138"/>
      <c r="AT279" s="128">
        <f>AT286-AT287</f>
        <v>0</v>
      </c>
      <c r="AU279" s="138"/>
      <c r="AV279" s="138"/>
      <c r="AW279" s="138"/>
      <c r="AX279" s="138"/>
      <c r="AY279" s="138"/>
      <c r="AZ279" s="138"/>
      <c r="BA279" s="138"/>
      <c r="BB279" s="138"/>
      <c r="BC279" s="138"/>
      <c r="BD279" s="126">
        <f>IF(AI279=0,0,(AT279-AI279)/AI279*100)</f>
        <v>0</v>
      </c>
      <c r="BE279" s="126">
        <f t="shared" ref="BE279:BM279" si="72">IF(AT279=0,0,(AU279-AT279)/AT279*100)</f>
        <v>0</v>
      </c>
      <c r="BF279" s="126">
        <f t="shared" si="72"/>
        <v>0</v>
      </c>
      <c r="BG279" s="126">
        <f t="shared" si="72"/>
        <v>0</v>
      </c>
      <c r="BH279" s="126">
        <f t="shared" si="72"/>
        <v>0</v>
      </c>
      <c r="BI279" s="126">
        <f t="shared" si="72"/>
        <v>0</v>
      </c>
      <c r="BJ279" s="126">
        <f t="shared" si="72"/>
        <v>0</v>
      </c>
      <c r="BK279" s="126">
        <f t="shared" si="72"/>
        <v>0</v>
      </c>
      <c r="BL279" s="126">
        <f t="shared" si="72"/>
        <v>0</v>
      </c>
      <c r="BM279" s="126">
        <f t="shared" si="72"/>
        <v>0</v>
      </c>
      <c r="BN279" s="554"/>
      <c r="BO279" s="599" t="str">
        <f ca="1">IF(IFERROR(INDEX('Корректировка НВВ'!$K$26:$L$129,MATCH($F279&amp;"11komm",'Корректировка НВВ'!$K$26:$K$129,0),2),"")=0,"",IFERROR(INDEX('Корректировка НВВ'!$K$26:$L$129,MATCH($F279&amp;"11komm",'Корректировка НВВ'!$K$26:$K$129,0),2),""))</f>
        <v/>
      </c>
      <c r="BP279" s="554"/>
      <c r="BQ279" s="76"/>
      <c r="BR279" s="76"/>
      <c r="BS279" s="700" t="s">
        <v>2180</v>
      </c>
      <c r="BT279" s="700"/>
      <c r="BU279" s="700"/>
      <c r="BV279" s="509"/>
      <c r="BW279" s="509"/>
    </row>
    <row r="280" spans="1:75" ht="22.7" customHeight="1">
      <c r="C280" s="25"/>
      <c r="D280" s="25" t="str" cm="1">
        <f t="array" ref="D280">D279</f>
        <v>7</v>
      </c>
      <c r="E280" s="449">
        <v>15</v>
      </c>
      <c r="F280" s="3" t="str" cm="1">
        <f t="array" aca="1" ref="F280" ca="1">OFFSET(E280,-1,1)</f>
        <v>1</v>
      </c>
      <c r="G280" s="25"/>
      <c r="H280" s="25"/>
      <c r="I280" s="25"/>
      <c r="J280" s="25"/>
      <c r="L280" s="25"/>
      <c r="M280" s="25"/>
      <c r="N280" s="25"/>
      <c r="O280" s="25"/>
      <c r="P280" s="25"/>
      <c r="Q280" s="25"/>
      <c r="R280" s="25"/>
      <c r="S280" s="25"/>
      <c r="T280" s="351" t="b" cm="1">
        <f t="array" aca="1" ref="T280" ca="1">T279</f>
        <v>1</v>
      </c>
      <c r="U280" s="25"/>
      <c r="V280" s="25"/>
      <c r="W280" s="25"/>
      <c r="X280" s="1046"/>
      <c r="Z280" s="1008"/>
      <c r="AB280" s="7"/>
      <c r="AC280" s="345" t="s">
        <v>2181</v>
      </c>
      <c r="AD280" s="7"/>
      <c r="AE280" s="540"/>
      <c r="AF280" s="540"/>
      <c r="AG280" s="540"/>
      <c r="AH280" s="540"/>
      <c r="AI280" s="540"/>
      <c r="AJ280" s="540"/>
      <c r="AK280" s="540"/>
      <c r="AL280" s="540"/>
      <c r="AM280" s="540"/>
      <c r="AN280" s="540"/>
      <c r="AO280" s="540"/>
      <c r="AP280" s="540"/>
      <c r="AQ280" s="540"/>
      <c r="AR280" s="540"/>
      <c r="AS280" s="540"/>
      <c r="AT280" s="540"/>
      <c r="AU280" s="540"/>
      <c r="AV280" s="540"/>
      <c r="AW280" s="540"/>
      <c r="AX280" s="540"/>
      <c r="AY280" s="540"/>
      <c r="AZ280" s="540"/>
      <c r="BA280" s="540"/>
      <c r="BB280" s="540"/>
      <c r="BC280" s="540"/>
      <c r="BD280" s="540"/>
      <c r="BE280" s="540"/>
      <c r="BF280" s="540"/>
      <c r="BG280" s="540"/>
      <c r="BH280" s="540"/>
      <c r="BI280" s="540"/>
      <c r="BJ280" s="540"/>
      <c r="BK280" s="540"/>
      <c r="BL280" s="540"/>
      <c r="BM280" s="540"/>
      <c r="BN280" s="384"/>
      <c r="BO280" s="384"/>
      <c r="BP280" s="384"/>
    </row>
    <row r="281" spans="1:75" ht="0" hidden="1" customHeight="1">
      <c r="C281" s="25"/>
      <c r="D281" s="25" t="str" cm="1">
        <f t="array" ref="D281">D280</f>
        <v>7</v>
      </c>
      <c r="E281" s="449">
        <v>22.5</v>
      </c>
      <c r="F281" s="3" t="str" cm="1">
        <f t="array" aca="1" ref="F281" ca="1">OFFSET(E281,-1,1)</f>
        <v>1</v>
      </c>
      <c r="G281" s="25" t="s">
        <v>364</v>
      </c>
      <c r="H281" s="25"/>
      <c r="I281" s="25" t="s">
        <v>560</v>
      </c>
      <c r="J281" s="25"/>
      <c r="K281" s="72" t="s">
        <v>560</v>
      </c>
      <c r="L281" s="25"/>
      <c r="M281" s="25"/>
      <c r="N281" s="25"/>
      <c r="O281" s="25"/>
      <c r="P281" s="25"/>
      <c r="Q281" s="25"/>
      <c r="R281" s="25"/>
      <c r="S281" s="25"/>
      <c r="T281" s="351" t="b" cm="1">
        <f t="array" aca="1" ref="T281" ca="1">T280</f>
        <v>1</v>
      </c>
      <c r="U281" s="25"/>
      <c r="V281" s="25"/>
      <c r="W281" s="25"/>
      <c r="X281" s="1046"/>
      <c r="Z281" s="1008"/>
      <c r="AB281" s="7" t="str">
        <f>D281&amp;".1"</f>
        <v>7.1</v>
      </c>
      <c r="AC281" s="127" t="s">
        <v>2182</v>
      </c>
      <c r="AD281" s="7" t="s">
        <v>859</v>
      </c>
      <c r="AE281" s="128"/>
      <c r="AF281" s="128"/>
      <c r="AG281" s="128"/>
      <c r="AH281" s="170">
        <f t="shared" ref="AH281:AH294" si="73">AG281-AF281</f>
        <v>0</v>
      </c>
      <c r="AI281" s="128"/>
      <c r="AJ281" s="128">
        <f ca="1">SUMIFS('Корректировка НВВ'!$AF$25:$AF$129,'Корректировка НВВ'!$F$25:$F$129,$F281,'Корректировка НВВ'!$I$25:$I$129,$G281)</f>
        <v>0</v>
      </c>
      <c r="AK281" s="128"/>
      <c r="AL281" s="128"/>
      <c r="AM281" s="128"/>
      <c r="AN281" s="128"/>
      <c r="AO281" s="128"/>
      <c r="AP281" s="128"/>
      <c r="AQ281" s="128"/>
      <c r="AR281" s="128"/>
      <c r="AS281" s="128"/>
      <c r="AT281" s="128">
        <f ca="1">SUMIFS('Корректировка НВВ'!$AG$25:$AG$129,'Корректировка НВВ'!$F$25:$F$129,$F281,'Корректировка НВВ'!$I$25:$I$129,$G281)</f>
        <v>0</v>
      </c>
      <c r="AU281" s="128"/>
      <c r="AV281" s="128"/>
      <c r="AW281" s="128"/>
      <c r="AX281" s="128"/>
      <c r="AY281" s="128"/>
      <c r="AZ281" s="128"/>
      <c r="BA281" s="128"/>
      <c r="BB281" s="128"/>
      <c r="BC281" s="128"/>
      <c r="BD281" s="540"/>
      <c r="BE281" s="540"/>
      <c r="BF281" s="540"/>
      <c r="BG281" s="540"/>
      <c r="BH281" s="540"/>
      <c r="BI281" s="540"/>
      <c r="BJ281" s="540"/>
      <c r="BK281" s="540"/>
      <c r="BL281" s="540"/>
      <c r="BM281" s="540"/>
      <c r="BN281" s="195"/>
      <c r="BO281" s="599" t="str">
        <f ca="1">IF(IFERROR(INDEX('Корректировка НВВ'!$K$26:$L$129,MATCH($F281&amp;"1komm",'Корректировка НВВ'!$K$26:$K$129,0),2),"")=0,"",IFERROR(INDEX('Корректировка НВВ'!$K$26:$L$129,MATCH($F281&amp;"1komm",'Корректировка НВВ'!$K$26:$K$129,0),2),""))</f>
        <v/>
      </c>
      <c r="BP281" s="195"/>
      <c r="BS281" s="694" t="s">
        <v>2183</v>
      </c>
    </row>
    <row r="282" spans="1:75" ht="283.5" customHeight="1">
      <c r="C282" s="25"/>
      <c r="D282" s="25" t="str" cm="1">
        <f t="array" ref="D282">D281</f>
        <v>7</v>
      </c>
      <c r="E282" s="449">
        <v>101.25</v>
      </c>
      <c r="F282" s="3" t="str" cm="1">
        <f t="array" aca="1" ref="F282" ca="1">OFFSET(E282,-1,1)</f>
        <v>1</v>
      </c>
      <c r="G282" s="25" t="s">
        <v>2184</v>
      </c>
      <c r="H282" s="25"/>
      <c r="I282" s="25" t="s">
        <v>613</v>
      </c>
      <c r="J282" s="25"/>
      <c r="K282" s="72" t="s">
        <v>613</v>
      </c>
      <c r="L282" s="25"/>
      <c r="M282" s="25"/>
      <c r="N282" s="25"/>
      <c r="O282" s="25"/>
      <c r="P282" s="25"/>
      <c r="Q282" s="25"/>
      <c r="R282" s="25"/>
      <c r="S282" s="25"/>
      <c r="T282" s="351" t="b" cm="1">
        <f t="array" aca="1" ref="T282" ca="1">T281</f>
        <v>1</v>
      </c>
      <c r="U282" s="25"/>
      <c r="V282" s="25"/>
      <c r="W282" s="25"/>
      <c r="X282" s="1046"/>
      <c r="Z282" s="1008"/>
      <c r="AB282" s="7" t="str">
        <f>D282&amp;".2"</f>
        <v>7.2</v>
      </c>
      <c r="AC282" s="127" t="s">
        <v>2185</v>
      </c>
      <c r="AD282" s="7" t="s">
        <v>859</v>
      </c>
      <c r="AE282" s="128"/>
      <c r="AF282" s="128"/>
      <c r="AG282" s="128"/>
      <c r="AH282" s="170">
        <f t="shared" si="73"/>
        <v>0</v>
      </c>
      <c r="AI282" s="128"/>
      <c r="AJ282" s="128">
        <f ca="1">SUMIFS('Корректировка НВВ'!$AF$25:$AF$129,'Корректировка НВВ'!$F$25:$F$129,$F282,'Корректировка НВВ'!$I$25:$I$129,$G282)</f>
        <v>0</v>
      </c>
      <c r="AK282" s="128"/>
      <c r="AL282" s="128"/>
      <c r="AM282" s="128"/>
      <c r="AN282" s="128"/>
      <c r="AO282" s="128"/>
      <c r="AP282" s="128"/>
      <c r="AQ282" s="128"/>
      <c r="AR282" s="128"/>
      <c r="AS282" s="128"/>
      <c r="AT282" s="128">
        <f ca="1">SUMIFS('Корректировка НВВ'!$AG$25:$AG$129,'Корректировка НВВ'!$F$25:$F$129,$F282,'Корректировка НВВ'!$I$25:$I$129,$G282)</f>
        <v>0</v>
      </c>
      <c r="AU282" s="128"/>
      <c r="AV282" s="128"/>
      <c r="AW282" s="128"/>
      <c r="AX282" s="128"/>
      <c r="AY282" s="128"/>
      <c r="AZ282" s="128"/>
      <c r="BA282" s="128"/>
      <c r="BB282" s="128"/>
      <c r="BC282" s="128"/>
      <c r="BD282" s="540"/>
      <c r="BE282" s="540"/>
      <c r="BF282" s="540"/>
      <c r="BG282" s="540"/>
      <c r="BH282" s="540"/>
      <c r="BI282" s="540"/>
      <c r="BJ282" s="540"/>
      <c r="BK282" s="540"/>
      <c r="BL282" s="540"/>
      <c r="BM282" s="540"/>
      <c r="BN282" s="195"/>
      <c r="BO282" s="599" t="s">
        <v>2258</v>
      </c>
      <c r="BP282" s="195" t="s">
        <v>2259</v>
      </c>
      <c r="BS282" s="694" t="s">
        <v>2186</v>
      </c>
    </row>
    <row r="283" spans="1:75" ht="0" hidden="1" customHeight="1">
      <c r="C283" s="25"/>
      <c r="D283" s="25" t="str" cm="1">
        <f t="array" ref="D283">D282</f>
        <v>7</v>
      </c>
      <c r="E283" s="449">
        <v>45</v>
      </c>
      <c r="F283" s="3" t="str" cm="1">
        <f t="array" aca="1" ref="F283" ca="1">OFFSET(E283,-1,1)</f>
        <v>1</v>
      </c>
      <c r="G283" s="25"/>
      <c r="H283" s="25"/>
      <c r="I283" s="25" t="s">
        <v>628</v>
      </c>
      <c r="J283" s="25"/>
      <c r="K283" s="72" t="s">
        <v>628</v>
      </c>
      <c r="L283" s="25"/>
      <c r="M283" s="25"/>
      <c r="N283" s="25"/>
      <c r="O283" s="25"/>
      <c r="P283" s="25"/>
      <c r="Q283" s="25"/>
      <c r="R283" s="25"/>
      <c r="S283" s="25"/>
      <c r="T283" s="351" t="b" cm="1">
        <f t="array" aca="1" ref="T283" ca="1">T282</f>
        <v>1</v>
      </c>
      <c r="U283" s="25"/>
      <c r="V283" s="25"/>
      <c r="W283" s="25"/>
      <c r="X283" s="1046"/>
      <c r="Z283" s="1008"/>
      <c r="AB283" s="7" t="str">
        <f>D283&amp;".3"</f>
        <v>7.3</v>
      </c>
      <c r="AC283" s="127" t="s">
        <v>2187</v>
      </c>
      <c r="AD283" s="7" t="s">
        <v>859</v>
      </c>
      <c r="AE283" s="128"/>
      <c r="AF283" s="128"/>
      <c r="AG283" s="128"/>
      <c r="AH283" s="170">
        <f t="shared" si="73"/>
        <v>0</v>
      </c>
      <c r="AI283" s="128"/>
      <c r="AJ283" s="128"/>
      <c r="AK283" s="128"/>
      <c r="AL283" s="128"/>
      <c r="AM283" s="128"/>
      <c r="AN283" s="128"/>
      <c r="AO283" s="128"/>
      <c r="AP283" s="128"/>
      <c r="AQ283" s="128"/>
      <c r="AR283" s="128"/>
      <c r="AS283" s="128"/>
      <c r="AT283" s="128"/>
      <c r="AU283" s="128"/>
      <c r="AV283" s="128"/>
      <c r="AW283" s="128"/>
      <c r="AX283" s="128"/>
      <c r="AY283" s="128"/>
      <c r="AZ283" s="128"/>
      <c r="BA283" s="128"/>
      <c r="BB283" s="128"/>
      <c r="BC283" s="128"/>
      <c r="BD283" s="540"/>
      <c r="BE283" s="540"/>
      <c r="BF283" s="540"/>
      <c r="BG283" s="540"/>
      <c r="BH283" s="540"/>
      <c r="BI283" s="540"/>
      <c r="BJ283" s="540"/>
      <c r="BK283" s="540"/>
      <c r="BL283" s="540"/>
      <c r="BM283" s="540"/>
      <c r="BN283" s="195"/>
      <c r="BO283" s="599"/>
      <c r="BP283" s="195"/>
      <c r="BS283" s="694" t="s">
        <v>2188</v>
      </c>
    </row>
    <row r="284" spans="1:75" ht="191.25" hidden="1" customHeight="1">
      <c r="B284" s="340" t="b">
        <f>S171="Водоотведение"</f>
        <v>0</v>
      </c>
      <c r="C284" s="25"/>
      <c r="D284" s="25" t="str" cm="1">
        <f t="array" ref="D284">D283</f>
        <v>7</v>
      </c>
      <c r="E284" s="449">
        <v>90</v>
      </c>
      <c r="F284" s="3" t="str" cm="1">
        <f t="array" aca="1" ref="F284" ca="1">OFFSET(E284,-1,1)</f>
        <v>1</v>
      </c>
      <c r="G284" s="25" t="s">
        <v>2189</v>
      </c>
      <c r="H284" s="569"/>
      <c r="I284" s="25" t="s">
        <v>794</v>
      </c>
      <c r="J284" s="25"/>
      <c r="K284" s="72" t="s">
        <v>794</v>
      </c>
      <c r="L284" s="25" t="s">
        <v>792</v>
      </c>
      <c r="M284" s="25"/>
      <c r="N284" s="25"/>
      <c r="O284" s="25"/>
      <c r="P284" s="25"/>
      <c r="Q284" s="25"/>
      <c r="R284" s="25"/>
      <c r="S284" s="25"/>
      <c r="T284" s="351" t="b" cm="1">
        <f t="array" aca="1" ref="T284" ca="1">T283</f>
        <v>1</v>
      </c>
      <c r="U284" s="25"/>
      <c r="V284" s="25"/>
      <c r="W284" s="25"/>
      <c r="X284" s="1046"/>
      <c r="Z284" s="1008"/>
      <c r="AB284" s="7" t="str">
        <f>D284&amp;".4"</f>
        <v>7.4</v>
      </c>
      <c r="AC284" s="127" t="s">
        <v>1858</v>
      </c>
      <c r="AD284" s="9" t="s">
        <v>859</v>
      </c>
      <c r="AE284" s="777"/>
      <c r="AF284" s="777"/>
      <c r="AG284" s="777"/>
      <c r="AH284" s="170">
        <f t="shared" si="73"/>
        <v>0</v>
      </c>
      <c r="AI284" s="777"/>
      <c r="AJ284" s="128">
        <f ca="1">SUMIFS('Корректировка НВВ'!$AF$25:$AF$129,'Корректировка НВВ'!$F$25:$F$129,$F284,'Корректировка НВВ'!$I$25:$I$129,$G284)</f>
        <v>0</v>
      </c>
      <c r="AK284" s="128"/>
      <c r="AL284" s="128"/>
      <c r="AM284" s="777"/>
      <c r="AN284" s="777"/>
      <c r="AO284" s="777"/>
      <c r="AP284" s="777"/>
      <c r="AQ284" s="777"/>
      <c r="AR284" s="777"/>
      <c r="AS284" s="777"/>
      <c r="AT284" s="128">
        <f ca="1">SUMIFS('Корректировка НВВ'!$AG$25:$AG$129,'Корректировка НВВ'!$F$25:$F$129,$F284,'Корректировка НВВ'!$I$25:$I$129,$G284)</f>
        <v>0</v>
      </c>
      <c r="AU284" s="128"/>
      <c r="AV284" s="128"/>
      <c r="AW284" s="777"/>
      <c r="AX284" s="777"/>
      <c r="AY284" s="777"/>
      <c r="AZ284" s="777"/>
      <c r="BA284" s="777"/>
      <c r="BB284" s="777"/>
      <c r="BC284" s="777"/>
      <c r="BD284" s="540"/>
      <c r="BE284" s="540"/>
      <c r="BF284" s="540"/>
      <c r="BG284" s="540"/>
      <c r="BH284" s="540"/>
      <c r="BI284" s="540"/>
      <c r="BJ284" s="540"/>
      <c r="BK284" s="540"/>
      <c r="BL284" s="540"/>
      <c r="BM284" s="540"/>
      <c r="BN284" s="774"/>
      <c r="BO284" s="778" t="str">
        <f ca="1">IF(IFERROR(INDEX('Корректировка НВВ'!$K$26:$L$129,MATCH($F284&amp;"3komm",'Корректировка НВВ'!$K$26:$K$129,0),2),"")=0,"",IFERROR(INDEX('Корректировка НВВ'!$K$26:$L$129,MATCH($F284&amp;"3komm",'Корректировка НВВ'!$K$26:$K$129,0),2),""))</f>
        <v/>
      </c>
      <c r="BP284" s="774"/>
      <c r="BS284" s="694" t="s">
        <v>1408</v>
      </c>
    </row>
    <row r="285" spans="1:75" ht="128.25" hidden="1" customHeight="1">
      <c r="B285" s="340" t="b" cm="1">
        <f t="array" ref="B285">B284</f>
        <v>0</v>
      </c>
      <c r="C285" s="25"/>
      <c r="D285" s="25" t="str" cm="1">
        <f t="array" ref="D285">D284</f>
        <v>7</v>
      </c>
      <c r="E285" s="449">
        <v>56.25</v>
      </c>
      <c r="F285" s="3" t="str" cm="1">
        <f t="array" aca="1" ref="F285" ca="1">OFFSET(E285,-1,1)</f>
        <v>1</v>
      </c>
      <c r="G285" s="25" t="s">
        <v>2190</v>
      </c>
      <c r="H285" s="569"/>
      <c r="I285" s="25" t="s">
        <v>837</v>
      </c>
      <c r="J285" s="25"/>
      <c r="K285" s="72" t="s">
        <v>837</v>
      </c>
      <c r="L285" s="25" t="s">
        <v>794</v>
      </c>
      <c r="M285" s="25"/>
      <c r="N285" s="25"/>
      <c r="O285" s="25"/>
      <c r="P285" s="25"/>
      <c r="Q285" s="25"/>
      <c r="R285" s="25"/>
      <c r="S285" s="25"/>
      <c r="T285" s="351" t="b" cm="1">
        <f t="array" aca="1" ref="T285" ca="1">T284</f>
        <v>1</v>
      </c>
      <c r="U285" s="25"/>
      <c r="V285" s="25"/>
      <c r="W285" s="25"/>
      <c r="X285" s="1046"/>
      <c r="Z285" s="1008"/>
      <c r="AB285" s="7" t="str">
        <f>D285&amp;".5"</f>
        <v>7.5</v>
      </c>
      <c r="AC285" s="127" t="s">
        <v>1859</v>
      </c>
      <c r="AD285" s="9" t="s">
        <v>859</v>
      </c>
      <c r="AE285" s="777"/>
      <c r="AF285" s="777"/>
      <c r="AG285" s="777"/>
      <c r="AH285" s="170">
        <f t="shared" si="73"/>
        <v>0</v>
      </c>
      <c r="AI285" s="777"/>
      <c r="AJ285" s="128">
        <f ca="1">SUMIFS('Корректировка НВВ'!$AF$25:$AF$129,'Корректировка НВВ'!$F$25:$F$129,$F285,'Корректировка НВВ'!$I$25:$I$129,$G285)</f>
        <v>0</v>
      </c>
      <c r="AK285" s="128"/>
      <c r="AL285" s="128"/>
      <c r="AM285" s="777"/>
      <c r="AN285" s="777"/>
      <c r="AO285" s="777"/>
      <c r="AP285" s="777"/>
      <c r="AQ285" s="777"/>
      <c r="AR285" s="777"/>
      <c r="AS285" s="777"/>
      <c r="AT285" s="128">
        <f ca="1">SUMIFS('Корректировка НВВ'!$AG$25:$AG$129,'Корректировка НВВ'!$F$25:$F$129,$F285,'Корректировка НВВ'!$I$25:$I$129,$G285)</f>
        <v>0</v>
      </c>
      <c r="AU285" s="128"/>
      <c r="AV285" s="128"/>
      <c r="AW285" s="777"/>
      <c r="AX285" s="777"/>
      <c r="AY285" s="777"/>
      <c r="AZ285" s="777"/>
      <c r="BA285" s="777"/>
      <c r="BB285" s="777"/>
      <c r="BC285" s="777"/>
      <c r="BD285" s="540"/>
      <c r="BE285" s="540"/>
      <c r="BF285" s="540"/>
      <c r="BG285" s="540"/>
      <c r="BH285" s="540"/>
      <c r="BI285" s="540"/>
      <c r="BJ285" s="540"/>
      <c r="BK285" s="540"/>
      <c r="BL285" s="540"/>
      <c r="BM285" s="540"/>
      <c r="BN285" s="774"/>
      <c r="BO285" s="778" t="str">
        <f ca="1">IF(IFERROR(INDEX('Корректировка НВВ'!$K$26:$L$129,MATCH($F285&amp;"4komm",'Корректировка НВВ'!$K$26:$K$129,0),2),"")=0,"",IFERROR(INDEX('Корректировка НВВ'!$K$26:$L$129,MATCH($F285&amp;"4komm",'Корректировка НВВ'!$K$26:$K$129,0),2),""))</f>
        <v/>
      </c>
      <c r="BP285" s="774"/>
      <c r="BS285" s="694" t="s">
        <v>1412</v>
      </c>
    </row>
    <row r="286" spans="1:75" ht="170.25" customHeight="1">
      <c r="B286" s="46"/>
      <c r="C286" s="25"/>
      <c r="D286" s="25" t="str" cm="1">
        <f t="array" ref="D286">D285</f>
        <v>7</v>
      </c>
      <c r="E286" s="449">
        <v>15</v>
      </c>
      <c r="F286" s="3" t="str" cm="1">
        <f t="array" aca="1" ref="F286" ca="1">OFFSET(E286,-1,1)</f>
        <v>1</v>
      </c>
      <c r="G286" s="25" t="s">
        <v>2191</v>
      </c>
      <c r="H286" s="25"/>
      <c r="I286" s="25" t="s">
        <v>838</v>
      </c>
      <c r="J286" s="25"/>
      <c r="K286" s="72" t="s">
        <v>838</v>
      </c>
      <c r="L286" s="25" t="s">
        <v>837</v>
      </c>
      <c r="M286" s="25"/>
      <c r="N286" s="25"/>
      <c r="O286" s="25"/>
      <c r="P286" s="25"/>
      <c r="Q286" s="25"/>
      <c r="R286" s="25"/>
      <c r="S286" s="25"/>
      <c r="T286" s="351" t="b" cm="1">
        <f t="array" aca="1" ref="T286" ca="1">T285</f>
        <v>1</v>
      </c>
      <c r="U286" s="25"/>
      <c r="V286" s="25"/>
      <c r="W286" s="25"/>
      <c r="X286" s="1046"/>
      <c r="Z286" s="1008"/>
      <c r="AB286" s="7" t="str">
        <f>IF(B285,D286&amp;".6",D286&amp;".4")</f>
        <v>7.4</v>
      </c>
      <c r="AC286" s="127" t="s">
        <v>1625</v>
      </c>
      <c r="AD286" s="7" t="s">
        <v>859</v>
      </c>
      <c r="AE286" s="128"/>
      <c r="AF286" s="128"/>
      <c r="AG286" s="128"/>
      <c r="AH286" s="170">
        <f t="shared" si="73"/>
        <v>0</v>
      </c>
      <c r="AI286" s="128"/>
      <c r="AJ286" s="128">
        <v>14303.73</v>
      </c>
      <c r="AK286" s="128"/>
      <c r="AL286" s="128"/>
      <c r="AM286" s="128"/>
      <c r="AN286" s="128"/>
      <c r="AO286" s="128"/>
      <c r="AP286" s="128"/>
      <c r="AQ286" s="128"/>
      <c r="AR286" s="128"/>
      <c r="AS286" s="128"/>
      <c r="AT286" s="128">
        <f>14303.73-14303.73</f>
        <v>0</v>
      </c>
      <c r="AU286" s="128"/>
      <c r="AV286" s="128"/>
      <c r="AW286" s="128"/>
      <c r="AX286" s="128"/>
      <c r="AY286" s="128"/>
      <c r="AZ286" s="128"/>
      <c r="BA286" s="128"/>
      <c r="BB286" s="128"/>
      <c r="BC286" s="128"/>
      <c r="BD286" s="540"/>
      <c r="BE286" s="540"/>
      <c r="BF286" s="540"/>
      <c r="BG286" s="540"/>
      <c r="BH286" s="540"/>
      <c r="BI286" s="540"/>
      <c r="BJ286" s="540"/>
      <c r="BK286" s="540"/>
      <c r="BL286" s="540"/>
      <c r="BM286" s="540"/>
      <c r="BN286" s="195"/>
      <c r="BO286" s="599" t="s">
        <v>2260</v>
      </c>
      <c r="BP286" s="195" t="s">
        <v>4770</v>
      </c>
      <c r="BS286" s="694" t="s">
        <v>2192</v>
      </c>
    </row>
    <row r="287" spans="1:75" ht="48" customHeight="1">
      <c r="C287" s="25"/>
      <c r="D287" s="25" t="str" cm="1">
        <f t="array" ref="D287">D286</f>
        <v>7</v>
      </c>
      <c r="E287" s="449">
        <v>15</v>
      </c>
      <c r="F287" s="3" t="str" cm="1">
        <f t="array" aca="1" ref="F287" ca="1">OFFSET(E287,-1,1)</f>
        <v>1</v>
      </c>
      <c r="G287" s="25" t="s">
        <v>2193</v>
      </c>
      <c r="H287" s="25"/>
      <c r="I287" s="25" t="s">
        <v>1867</v>
      </c>
      <c r="J287" s="25"/>
      <c r="K287" s="72" t="s">
        <v>1867</v>
      </c>
      <c r="L287" s="25" t="s">
        <v>838</v>
      </c>
      <c r="M287" s="25"/>
      <c r="N287" s="25"/>
      <c r="O287" s="25"/>
      <c r="P287" s="25"/>
      <c r="Q287" s="25"/>
      <c r="R287" s="25"/>
      <c r="S287" s="25"/>
      <c r="T287" s="351" t="b" cm="1">
        <f t="array" aca="1" ref="T287" ca="1">T286</f>
        <v>1</v>
      </c>
      <c r="U287" s="25"/>
      <c r="V287" s="25"/>
      <c r="W287" s="25"/>
      <c r="X287" s="1046"/>
      <c r="Z287" s="1008"/>
      <c r="AB287" s="7" t="str">
        <f>IF(B285,D286&amp;".7",D286&amp;".5")</f>
        <v>7.5</v>
      </c>
      <c r="AC287" s="127" t="s">
        <v>1587</v>
      </c>
      <c r="AD287" s="7" t="s">
        <v>859</v>
      </c>
      <c r="AE287" s="128">
        <f>AE288+AE289</f>
        <v>0</v>
      </c>
      <c r="AF287" s="128">
        <f>AF288+AF289</f>
        <v>0</v>
      </c>
      <c r="AG287" s="128">
        <f>AG288+AG289</f>
        <v>0</v>
      </c>
      <c r="AH287" s="170">
        <f t="shared" si="73"/>
        <v>0</v>
      </c>
      <c r="AI287" s="128">
        <f>AI288+AI289</f>
        <v>0</v>
      </c>
      <c r="AJ287" s="128">
        <f ca="1">SUMIFS('Корректировка НВВ'!$AF$25:$AF$129,'Корректировка НВВ'!$F$25:$F$129,$F287,'Корректировка НВВ'!$I$25:$I$129,$G287)</f>
        <v>0</v>
      </c>
      <c r="AK287" s="128">
        <f t="shared" ref="AK287:AS287" si="74">AK288+AK289</f>
        <v>0</v>
      </c>
      <c r="AL287" s="128">
        <f t="shared" si="74"/>
        <v>0</v>
      </c>
      <c r="AM287" s="128">
        <f t="shared" si="74"/>
        <v>0</v>
      </c>
      <c r="AN287" s="128">
        <f t="shared" si="74"/>
        <v>0</v>
      </c>
      <c r="AO287" s="128">
        <f t="shared" si="74"/>
        <v>0</v>
      </c>
      <c r="AP287" s="128">
        <f t="shared" si="74"/>
        <v>0</v>
      </c>
      <c r="AQ287" s="128">
        <f t="shared" si="74"/>
        <v>0</v>
      </c>
      <c r="AR287" s="128">
        <f t="shared" si="74"/>
        <v>0</v>
      </c>
      <c r="AS287" s="128">
        <f t="shared" si="74"/>
        <v>0</v>
      </c>
      <c r="AT287" s="128">
        <v>0</v>
      </c>
      <c r="AU287" s="128">
        <f t="shared" ref="AU287:BC287" si="75">AU288+AU289</f>
        <v>0</v>
      </c>
      <c r="AV287" s="128">
        <f t="shared" si="75"/>
        <v>0</v>
      </c>
      <c r="AW287" s="128">
        <f t="shared" si="75"/>
        <v>0</v>
      </c>
      <c r="AX287" s="128">
        <f t="shared" si="75"/>
        <v>0</v>
      </c>
      <c r="AY287" s="128">
        <f t="shared" si="75"/>
        <v>0</v>
      </c>
      <c r="AZ287" s="128">
        <f t="shared" si="75"/>
        <v>0</v>
      </c>
      <c r="BA287" s="128">
        <f t="shared" si="75"/>
        <v>0</v>
      </c>
      <c r="BB287" s="128">
        <f t="shared" si="75"/>
        <v>0</v>
      </c>
      <c r="BC287" s="128">
        <f t="shared" si="75"/>
        <v>0</v>
      </c>
      <c r="BD287" s="170">
        <f>IF(AI287=0,0,(AT287-AI287)/AI287*100)</f>
        <v>0</v>
      </c>
      <c r="BE287" s="170">
        <f t="shared" ref="BE287:BM287" si="76">IF(AT287=0,0,(AU287-AT287)/AT287*100)</f>
        <v>0</v>
      </c>
      <c r="BF287" s="170">
        <f t="shared" si="76"/>
        <v>0</v>
      </c>
      <c r="BG287" s="170">
        <f t="shared" si="76"/>
        <v>0</v>
      </c>
      <c r="BH287" s="170">
        <f t="shared" si="76"/>
        <v>0</v>
      </c>
      <c r="BI287" s="170">
        <f t="shared" si="76"/>
        <v>0</v>
      </c>
      <c r="BJ287" s="170">
        <f t="shared" si="76"/>
        <v>0</v>
      </c>
      <c r="BK287" s="170">
        <f t="shared" si="76"/>
        <v>0</v>
      </c>
      <c r="BL287" s="170">
        <f t="shared" si="76"/>
        <v>0</v>
      </c>
      <c r="BM287" s="170">
        <f t="shared" si="76"/>
        <v>0</v>
      </c>
      <c r="BN287" s="195"/>
      <c r="BO287" s="599" t="str">
        <f ca="1">IF(IFERROR(INDEX('Корректировка НВВ'!$K$26:$L$129,MATCH($F287&amp;"6komm",'Корректировка НВВ'!$K$26:$K$129,0),2),"")=0,"",IFERROR(INDEX('Корректировка НВВ'!$K$26:$L$129,MATCH($F287&amp;"6komm",'Корректировка НВВ'!$K$26:$K$129,0),2),""))</f>
        <v/>
      </c>
      <c r="BP287" s="195"/>
      <c r="BS287" s="694" t="s">
        <v>1589</v>
      </c>
    </row>
    <row r="288" spans="1:75" ht="48" customHeight="1">
      <c r="C288" s="25"/>
      <c r="D288" s="25" t="str" cm="1">
        <f t="array" ref="D288">D287</f>
        <v>7</v>
      </c>
      <c r="E288" s="449">
        <v>22.5</v>
      </c>
      <c r="F288" s="3" t="str" cm="1">
        <f t="array" aca="1" ref="F288" ca="1">OFFSET(E288,-1,1)</f>
        <v>1</v>
      </c>
      <c r="G288" s="25" t="s">
        <v>2194</v>
      </c>
      <c r="H288" s="25"/>
      <c r="I288" s="25" t="s">
        <v>2195</v>
      </c>
      <c r="J288" s="25"/>
      <c r="K288" s="72" t="s">
        <v>2195</v>
      </c>
      <c r="L288" s="25" t="s">
        <v>1862</v>
      </c>
      <c r="M288" s="25"/>
      <c r="N288" s="25"/>
      <c r="O288" s="25"/>
      <c r="P288" s="25"/>
      <c r="Q288" s="25"/>
      <c r="R288" s="25"/>
      <c r="S288" s="25"/>
      <c r="T288" s="351" t="b" cm="1">
        <f t="array" aca="1" ref="T288" ca="1">T287</f>
        <v>1</v>
      </c>
      <c r="U288" s="25"/>
      <c r="V288" s="25"/>
      <c r="W288" s="25"/>
      <c r="X288" s="1046"/>
      <c r="Z288" s="1008"/>
      <c r="AB288" s="7" t="str">
        <f>AB287&amp;".1"</f>
        <v>7.5.1</v>
      </c>
      <c r="AC288" s="547" t="s">
        <v>1590</v>
      </c>
      <c r="AD288" s="7" t="s">
        <v>859</v>
      </c>
      <c r="AE288" s="128"/>
      <c r="AF288" s="128"/>
      <c r="AG288" s="128"/>
      <c r="AH288" s="170">
        <f t="shared" si="73"/>
        <v>0</v>
      </c>
      <c r="AI288" s="128"/>
      <c r="AJ288" s="128">
        <f ca="1">SUMIFS('Корректировка НВВ'!$AF$25:$AF$129,'Корректировка НВВ'!$F$25:$F$129,$F288,'Корректировка НВВ'!$I$25:$I$129,$G288)</f>
        <v>0</v>
      </c>
      <c r="AK288" s="128"/>
      <c r="AL288" s="128"/>
      <c r="AM288" s="128"/>
      <c r="AN288" s="128"/>
      <c r="AO288" s="128"/>
      <c r="AP288" s="128"/>
      <c r="AQ288" s="128"/>
      <c r="AR288" s="128"/>
      <c r="AS288" s="128"/>
      <c r="AT288" s="128">
        <f ca="1">SUMIFS('Корректировка НВВ'!$AG$25:$AG$129,'Корректировка НВВ'!$F$25:$F$129,$F288,'Корректировка НВВ'!$I$25:$I$129,$G288)</f>
        <v>0</v>
      </c>
      <c r="AU288" s="128"/>
      <c r="AV288" s="128"/>
      <c r="AW288" s="128"/>
      <c r="AX288" s="128"/>
      <c r="AY288" s="128"/>
      <c r="AZ288" s="128"/>
      <c r="BA288" s="128"/>
      <c r="BB288" s="128"/>
      <c r="BC288" s="128"/>
      <c r="BD288" s="540"/>
      <c r="BE288" s="540"/>
      <c r="BF288" s="540"/>
      <c r="BG288" s="540"/>
      <c r="BH288" s="540"/>
      <c r="BI288" s="540"/>
      <c r="BJ288" s="540"/>
      <c r="BK288" s="540"/>
      <c r="BL288" s="540"/>
      <c r="BM288" s="540"/>
      <c r="BN288" s="195"/>
      <c r="BO288" s="599" t="str">
        <f ca="1">IF(IFERROR(INDEX('Корректировка НВВ'!$K$26:$L$129,MATCH($F288&amp;"7komm",'Корректировка НВВ'!$K$26:$K$129,0),2),"")=0,"",IFERROR(INDEX('Корректировка НВВ'!$K$26:$L$129,MATCH($F288&amp;"7komm",'Корректировка НВВ'!$K$26:$K$129,0),2),""))</f>
        <v/>
      </c>
      <c r="BP288" s="195"/>
      <c r="BS288" s="694" t="s">
        <v>1591</v>
      </c>
    </row>
    <row r="289" spans="1:75" ht="0" hidden="1" customHeight="1">
      <c r="C289" s="25"/>
      <c r="D289" s="25" t="str" cm="1">
        <f t="array" ref="D289">D288</f>
        <v>7</v>
      </c>
      <c r="E289" s="449">
        <v>22.5</v>
      </c>
      <c r="F289" s="3" t="str" cm="1">
        <f t="array" aca="1" ref="F289" ca="1">OFFSET(E289,-1,1)</f>
        <v>1</v>
      </c>
      <c r="G289" s="25" t="s">
        <v>2196</v>
      </c>
      <c r="H289" s="25"/>
      <c r="I289" s="25" t="s">
        <v>2197</v>
      </c>
      <c r="J289" s="25"/>
      <c r="K289" s="72" t="s">
        <v>2197</v>
      </c>
      <c r="L289" s="25" t="s">
        <v>1864</v>
      </c>
      <c r="M289" s="25"/>
      <c r="N289" s="25"/>
      <c r="O289" s="25"/>
      <c r="P289" s="25"/>
      <c r="Q289" s="25"/>
      <c r="R289" s="25"/>
      <c r="S289" s="25"/>
      <c r="T289" s="351" t="b" cm="1">
        <f t="array" aca="1" ref="T289" ca="1">T288</f>
        <v>1</v>
      </c>
      <c r="U289" s="25"/>
      <c r="V289" s="25"/>
      <c r="W289" s="25"/>
      <c r="X289" s="1046"/>
      <c r="Z289" s="1008"/>
      <c r="AB289" s="7" t="str">
        <f>AB287&amp;".2"</f>
        <v>7.5.2</v>
      </c>
      <c r="AC289" s="547" t="s">
        <v>1592</v>
      </c>
      <c r="AD289" s="7" t="s">
        <v>859</v>
      </c>
      <c r="AE289" s="128"/>
      <c r="AF289" s="128"/>
      <c r="AG289" s="128"/>
      <c r="AH289" s="170">
        <f t="shared" si="73"/>
        <v>0</v>
      </c>
      <c r="AI289" s="128"/>
      <c r="AJ289" s="128">
        <f ca="1">SUMIFS('Корректировка НВВ'!$AF$25:$AF$129,'Корректировка НВВ'!$F$25:$F$129,$F289,'Корректировка НВВ'!$I$25:$I$129,$G289)</f>
        <v>0</v>
      </c>
      <c r="AK289" s="128"/>
      <c r="AL289" s="128"/>
      <c r="AM289" s="128"/>
      <c r="AN289" s="128"/>
      <c r="AO289" s="128"/>
      <c r="AP289" s="128"/>
      <c r="AQ289" s="128"/>
      <c r="AR289" s="128"/>
      <c r="AS289" s="128"/>
      <c r="AT289" s="128">
        <f ca="1">SUMIFS('Корректировка НВВ'!$AG$25:$AG$129,'Корректировка НВВ'!$F$25:$F$129,$F289,'Корректировка НВВ'!$I$25:$I$129,$G289)</f>
        <v>0</v>
      </c>
      <c r="AU289" s="128"/>
      <c r="AV289" s="128"/>
      <c r="AW289" s="128"/>
      <c r="AX289" s="128"/>
      <c r="AY289" s="128"/>
      <c r="AZ289" s="128"/>
      <c r="BA289" s="128"/>
      <c r="BB289" s="128"/>
      <c r="BC289" s="128"/>
      <c r="BD289" s="540"/>
      <c r="BE289" s="540"/>
      <c r="BF289" s="540"/>
      <c r="BG289" s="540"/>
      <c r="BH289" s="540"/>
      <c r="BI289" s="540"/>
      <c r="BJ289" s="540"/>
      <c r="BK289" s="540"/>
      <c r="BL289" s="540"/>
      <c r="BM289" s="540"/>
      <c r="BN289" s="195"/>
      <c r="BO289" s="599" t="str">
        <f ca="1">IF(IFERROR(INDEX('Корректировка НВВ'!$K$26:$L$129,MATCH($F289&amp;"8komm",'Корректировка НВВ'!$K$26:$K$129,0),2),"")=0,"",IFERROR(INDEX('Корректировка НВВ'!$K$26:$L$129,MATCH($F289&amp;"8komm",'Корректировка НВВ'!$K$26:$K$129,0),2),""))</f>
        <v/>
      </c>
      <c r="BP289" s="195"/>
      <c r="BS289" s="694" t="s">
        <v>1593</v>
      </c>
    </row>
    <row r="290" spans="1:75" ht="0" hidden="1" customHeight="1">
      <c r="C290" s="25"/>
      <c r="D290" s="25" t="str" cm="1">
        <f t="array" ref="D290">D289</f>
        <v>7</v>
      </c>
      <c r="E290" s="449">
        <v>15</v>
      </c>
      <c r="F290" s="3" t="str" cm="1">
        <f t="array" aca="1" ref="F290" ca="1">OFFSET(E290,-1,1)</f>
        <v>1</v>
      </c>
      <c r="G290" s="25" t="s">
        <v>308</v>
      </c>
      <c r="H290" s="25"/>
      <c r="I290" s="25" t="s">
        <v>1868</v>
      </c>
      <c r="J290" s="25"/>
      <c r="K290" s="72" t="s">
        <v>1868</v>
      </c>
      <c r="L290" s="25" t="s">
        <v>1867</v>
      </c>
      <c r="M290" s="25"/>
      <c r="N290" s="25"/>
      <c r="O290" s="25"/>
      <c r="P290" s="25"/>
      <c r="Q290" s="25"/>
      <c r="R290" s="25"/>
      <c r="S290" s="25"/>
      <c r="T290" s="351" t="b" cm="1">
        <f t="array" aca="1" ref="T290" ca="1">T289</f>
        <v>1</v>
      </c>
      <c r="U290" s="25"/>
      <c r="V290" s="25"/>
      <c r="W290" s="25"/>
      <c r="X290" s="1046"/>
      <c r="Z290" s="1008"/>
      <c r="AB290" s="7" t="str">
        <f>IF(B285,D286&amp;".8",D286&amp;".6")</f>
        <v>7.6</v>
      </c>
      <c r="AC290" s="548" t="s">
        <v>1594</v>
      </c>
      <c r="AD290" s="7" t="s">
        <v>859</v>
      </c>
      <c r="AE290" s="128"/>
      <c r="AF290" s="128"/>
      <c r="AG290" s="128"/>
      <c r="AH290" s="170">
        <f t="shared" si="73"/>
        <v>0</v>
      </c>
      <c r="AI290" s="128"/>
      <c r="AJ290" s="128">
        <f ca="1">SUMIFS('Корректировка НВВ'!$AF$25:$AF$129,'Корректировка НВВ'!$F$25:$F$129,$F290,'Корректировка НВВ'!$I$25:$I$129,$G290)</f>
        <v>0</v>
      </c>
      <c r="AK290" s="128"/>
      <c r="AL290" s="128"/>
      <c r="AM290" s="128"/>
      <c r="AN290" s="128"/>
      <c r="AO290" s="128"/>
      <c r="AP290" s="128"/>
      <c r="AQ290" s="128"/>
      <c r="AR290" s="128"/>
      <c r="AS290" s="128"/>
      <c r="AT290" s="128">
        <f ca="1">SUMIFS('Корректировка НВВ'!$AG$25:$AG$129,'Корректировка НВВ'!$F$25:$F$129,$F290,'Корректировка НВВ'!$I$25:$I$129,$G290)</f>
        <v>0</v>
      </c>
      <c r="AU290" s="128"/>
      <c r="AV290" s="128"/>
      <c r="AW290" s="128"/>
      <c r="AX290" s="128"/>
      <c r="AY290" s="128"/>
      <c r="AZ290" s="128"/>
      <c r="BA290" s="128"/>
      <c r="BB290" s="128"/>
      <c r="BC290" s="128"/>
      <c r="BD290" s="540"/>
      <c r="BE290" s="540"/>
      <c r="BF290" s="540"/>
      <c r="BG290" s="540"/>
      <c r="BH290" s="540"/>
      <c r="BI290" s="540"/>
      <c r="BJ290" s="540"/>
      <c r="BK290" s="540"/>
      <c r="BL290" s="540"/>
      <c r="BM290" s="540"/>
      <c r="BN290" s="195"/>
      <c r="BO290" s="599" t="str">
        <f ca="1">IF(IFERROR(INDEX('Корректировка НВВ'!$K$26:$L$129,MATCH($F290&amp;"9komm",'Корректировка НВВ'!$K$26:$K$129,0),2),"")=0,"",IFERROR(INDEX('Корректировка НВВ'!$K$26:$L$129,MATCH($F290&amp;"9komm",'Корректировка НВВ'!$K$26:$K$129,0),2),""))</f>
        <v/>
      </c>
      <c r="BP290" s="195"/>
      <c r="BS290" s="694" t="s">
        <v>2198</v>
      </c>
    </row>
    <row r="291" spans="1:75" ht="0" hidden="1" customHeight="1">
      <c r="C291" s="25"/>
      <c r="D291" s="25" t="str" cm="1">
        <f t="array" ref="D291">D290</f>
        <v>7</v>
      </c>
      <c r="E291" s="449">
        <v>15</v>
      </c>
      <c r="F291" s="3" t="str" cm="1">
        <f t="array" aca="1" ref="F291" ca="1">OFFSET(E291,-1,1)</f>
        <v>1</v>
      </c>
      <c r="G291" s="25" t="s">
        <v>2199</v>
      </c>
      <c r="H291" s="25"/>
      <c r="I291" s="25" t="s">
        <v>1869</v>
      </c>
      <c r="J291" s="25"/>
      <c r="K291" s="72" t="s">
        <v>1869</v>
      </c>
      <c r="L291" s="25" t="s">
        <v>1868</v>
      </c>
      <c r="M291" s="25"/>
      <c r="N291" s="25"/>
      <c r="O291" s="25"/>
      <c r="P291" s="25"/>
      <c r="Q291" s="25"/>
      <c r="R291" s="25"/>
      <c r="S291" s="25"/>
      <c r="T291" s="351" t="b" cm="1">
        <f t="array" aca="1" ref="T291" ca="1">T290</f>
        <v>1</v>
      </c>
      <c r="U291" s="25"/>
      <c r="V291" s="25"/>
      <c r="W291" s="25"/>
      <c r="X291" s="1046"/>
      <c r="Z291" s="1008"/>
      <c r="AB291" s="7" t="str">
        <f>IF(B285,D286&amp;".9",D286&amp;".7")</f>
        <v>7.7</v>
      </c>
      <c r="AC291" s="548" t="s">
        <v>1596</v>
      </c>
      <c r="AD291" s="7" t="s">
        <v>859</v>
      </c>
      <c r="AE291" s="128"/>
      <c r="AF291" s="128"/>
      <c r="AG291" s="128"/>
      <c r="AH291" s="170">
        <f t="shared" si="73"/>
        <v>0</v>
      </c>
      <c r="AI291" s="128"/>
      <c r="AJ291" s="128">
        <f ca="1">SUMIFS('Корректировка НВВ'!$AF$25:$AF$129,'Корректировка НВВ'!$F$25:$F$129,$F291,'Корректировка НВВ'!$I$25:$I$129,$G291)</f>
        <v>0</v>
      </c>
      <c r="AK291" s="128"/>
      <c r="AL291" s="128"/>
      <c r="AM291" s="128"/>
      <c r="AN291" s="128"/>
      <c r="AO291" s="128"/>
      <c r="AP291" s="128"/>
      <c r="AQ291" s="128"/>
      <c r="AR291" s="128"/>
      <c r="AS291" s="128"/>
      <c r="AT291" s="128">
        <f ca="1">SUMIFS('Корректировка НВВ'!$AG$25:$AG$129,'Корректировка НВВ'!$F$25:$F$129,$F291,'Корректировка НВВ'!$I$25:$I$129,$G291)</f>
        <v>0</v>
      </c>
      <c r="AU291" s="128"/>
      <c r="AV291" s="128"/>
      <c r="AW291" s="128"/>
      <c r="AX291" s="128"/>
      <c r="AY291" s="128"/>
      <c r="AZ291" s="128"/>
      <c r="BA291" s="128"/>
      <c r="BB291" s="128"/>
      <c r="BC291" s="128"/>
      <c r="BD291" s="540"/>
      <c r="BE291" s="540"/>
      <c r="BF291" s="540"/>
      <c r="BG291" s="540"/>
      <c r="BH291" s="540"/>
      <c r="BI291" s="540"/>
      <c r="BJ291" s="540"/>
      <c r="BK291" s="540"/>
      <c r="BL291" s="540"/>
      <c r="BM291" s="540"/>
      <c r="BN291" s="195"/>
      <c r="BO291" s="599" t="str">
        <f ca="1">IF(IFERROR(INDEX('Корректировка НВВ'!$K$26:$L$129,MATCH($F291&amp;"10komm",'Корректировка НВВ'!$K$26:$K$129,0),2),"")=0,"",IFERROR(INDEX('Корректировка НВВ'!$K$26:$L$129,MATCH($F291&amp;"10komm",'Корректировка НВВ'!$K$26:$K$129,0),2),""))</f>
        <v/>
      </c>
      <c r="BP291" s="195"/>
      <c r="BS291" s="694" t="s">
        <v>1597</v>
      </c>
    </row>
    <row r="292" spans="1:75" s="903" customFormat="1" ht="30.95" customHeight="1">
      <c r="A292" s="76"/>
      <c r="B292" s="331"/>
      <c r="C292" s="27"/>
      <c r="D292" s="27">
        <f>D291+1</f>
        <v>8</v>
      </c>
      <c r="E292" s="557">
        <v>21</v>
      </c>
      <c r="F292" s="3" t="str" cm="1">
        <f t="array" aca="1" ref="F292" ca="1">OFFSET(E292,-1,1)</f>
        <v>1</v>
      </c>
      <c r="G292" s="27"/>
      <c r="H292" s="27"/>
      <c r="I292" s="27" t="s">
        <v>635</v>
      </c>
      <c r="J292" s="27"/>
      <c r="K292" s="76" t="s">
        <v>635</v>
      </c>
      <c r="L292" s="27"/>
      <c r="M292" s="27"/>
      <c r="N292" s="27"/>
      <c r="O292" s="27"/>
      <c r="P292" s="27"/>
      <c r="Q292" s="27"/>
      <c r="R292" s="27"/>
      <c r="S292" s="27"/>
      <c r="T292" s="351" t="b" cm="1">
        <f t="array" aca="1" ref="T292" ca="1">T291</f>
        <v>1</v>
      </c>
      <c r="U292" s="27"/>
      <c r="V292" s="27"/>
      <c r="W292" s="27"/>
      <c r="X292" s="1046"/>
      <c r="Y292" s="76"/>
      <c r="Z292" s="1008"/>
      <c r="AA292" s="76"/>
      <c r="AB292" s="124" cm="1">
        <f t="array" ref="AB292">D292</f>
        <v>8</v>
      </c>
      <c r="AC292" s="125" t="s">
        <v>2200</v>
      </c>
      <c r="AD292" s="124" t="s">
        <v>859</v>
      </c>
      <c r="AE292" s="138"/>
      <c r="AF292" s="138"/>
      <c r="AG292" s="138"/>
      <c r="AH292" s="126">
        <f t="shared" si="73"/>
        <v>0</v>
      </c>
      <c r="AI292" s="138"/>
      <c r="AJ292" s="138"/>
      <c r="AK292" s="138"/>
      <c r="AL292" s="138"/>
      <c r="AM292" s="138"/>
      <c r="AN292" s="138"/>
      <c r="AO292" s="138"/>
      <c r="AP292" s="138"/>
      <c r="AQ292" s="138"/>
      <c r="AR292" s="138"/>
      <c r="AS292" s="138"/>
      <c r="AT292" s="138">
        <v>-14637.02</v>
      </c>
      <c r="AU292" s="138">
        <v>4993.1499999999996</v>
      </c>
      <c r="AV292" s="138">
        <v>9643.8700000000008</v>
      </c>
      <c r="AW292" s="138"/>
      <c r="AX292" s="138"/>
      <c r="AY292" s="138"/>
      <c r="AZ292" s="138"/>
      <c r="BA292" s="138"/>
      <c r="BB292" s="138"/>
      <c r="BC292" s="138"/>
      <c r="BD292" s="129"/>
      <c r="BE292" s="129"/>
      <c r="BF292" s="129"/>
      <c r="BG292" s="129"/>
      <c r="BH292" s="129"/>
      <c r="BI292" s="129"/>
      <c r="BJ292" s="129"/>
      <c r="BK292" s="129"/>
      <c r="BL292" s="129"/>
      <c r="BM292" s="129"/>
      <c r="BN292" s="554"/>
      <c r="BO292" s="554"/>
      <c r="BP292" s="554"/>
      <c r="BQ292" s="76"/>
      <c r="BR292" s="76"/>
      <c r="BS292" s="700" t="s">
        <v>2201</v>
      </c>
      <c r="BT292" s="700"/>
      <c r="BU292" s="700"/>
      <c r="BV292" s="509"/>
      <c r="BW292" s="509"/>
    </row>
    <row r="293" spans="1:75" ht="24.2" customHeight="1">
      <c r="C293" s="25"/>
      <c r="D293" s="27" cm="1">
        <f t="array" ref="D293">D292</f>
        <v>8</v>
      </c>
      <c r="E293" s="449">
        <v>15</v>
      </c>
      <c r="F293" s="3" t="str" cm="1">
        <f t="array" aca="1" ref="F293" ca="1">OFFSET(E293,-1,1)</f>
        <v>1</v>
      </c>
      <c r="G293" s="25"/>
      <c r="H293" s="25"/>
      <c r="I293" s="25" t="s">
        <v>638</v>
      </c>
      <c r="J293" s="25"/>
      <c r="K293" s="72" t="s">
        <v>638</v>
      </c>
      <c r="L293" s="25"/>
      <c r="M293" s="25"/>
      <c r="N293" s="25"/>
      <c r="O293" s="25"/>
      <c r="P293" s="25"/>
      <c r="Q293" s="25"/>
      <c r="R293" s="25"/>
      <c r="S293" s="25"/>
      <c r="T293" s="351" t="b" cm="1">
        <f t="array" aca="1" ref="T293" ca="1">T292</f>
        <v>1</v>
      </c>
      <c r="U293" s="25"/>
      <c r="V293" s="25"/>
      <c r="W293" s="25"/>
      <c r="X293" s="1046"/>
      <c r="Z293" s="1008"/>
      <c r="AB293" s="7" t="str">
        <f>D293&amp;".1"</f>
        <v>8.1</v>
      </c>
      <c r="AC293" s="127" t="s">
        <v>2202</v>
      </c>
      <c r="AD293" s="7" t="s">
        <v>501</v>
      </c>
      <c r="AE293" s="170">
        <f ca="1">IF(AE294=0,0,AE292/(AE294+AE279)*100)</f>
        <v>0</v>
      </c>
      <c r="AF293" s="170">
        <f ca="1">IF(AF294=0,0,AF292/(AF294+AF279)*100)</f>
        <v>0</v>
      </c>
      <c r="AG293" s="170">
        <f ca="1">IF(AG294=0,0,AG292/(AG294+AG279)*100)</f>
        <v>0</v>
      </c>
      <c r="AH293" s="170">
        <f t="shared" ca="1" si="73"/>
        <v>0</v>
      </c>
      <c r="AI293" s="170">
        <f t="shared" ref="AI293:BC293" ca="1" si="77">IF(AI294=0,0,AI292/(AI294+AI279)*100)</f>
        <v>0</v>
      </c>
      <c r="AJ293" s="170">
        <f t="shared" ca="1" si="77"/>
        <v>0</v>
      </c>
      <c r="AK293" s="170">
        <f t="shared" ca="1" si="77"/>
        <v>0</v>
      </c>
      <c r="AL293" s="170">
        <f t="shared" ca="1" si="77"/>
        <v>0</v>
      </c>
      <c r="AM293" s="170">
        <f t="shared" ca="1" si="77"/>
        <v>0</v>
      </c>
      <c r="AN293" s="170">
        <f t="shared" ca="1" si="77"/>
        <v>0</v>
      </c>
      <c r="AO293" s="170">
        <f t="shared" ca="1" si="77"/>
        <v>0</v>
      </c>
      <c r="AP293" s="170">
        <f t="shared" ca="1" si="77"/>
        <v>0</v>
      </c>
      <c r="AQ293" s="170">
        <f t="shared" ca="1" si="77"/>
        <v>0</v>
      </c>
      <c r="AR293" s="170">
        <f t="shared" ca="1" si="77"/>
        <v>0</v>
      </c>
      <c r="AS293" s="170">
        <f t="shared" ca="1" si="77"/>
        <v>0</v>
      </c>
      <c r="AT293" s="170">
        <f t="shared" ca="1" si="77"/>
        <v>-4.3725724906520016</v>
      </c>
      <c r="AU293" s="170">
        <f t="shared" ca="1" si="77"/>
        <v>1.4229770465191209</v>
      </c>
      <c r="AV293" s="170">
        <f t="shared" ca="1" si="77"/>
        <v>2.6579715620236235</v>
      </c>
      <c r="AW293" s="170">
        <f t="shared" ca="1" si="77"/>
        <v>0</v>
      </c>
      <c r="AX293" s="170">
        <f t="shared" ca="1" si="77"/>
        <v>0</v>
      </c>
      <c r="AY293" s="170">
        <f t="shared" ca="1" si="77"/>
        <v>0</v>
      </c>
      <c r="AZ293" s="170">
        <f t="shared" ca="1" si="77"/>
        <v>0</v>
      </c>
      <c r="BA293" s="170">
        <f t="shared" ca="1" si="77"/>
        <v>0</v>
      </c>
      <c r="BB293" s="170">
        <f t="shared" ca="1" si="77"/>
        <v>0</v>
      </c>
      <c r="BC293" s="170">
        <f t="shared" ca="1" si="77"/>
        <v>0</v>
      </c>
      <c r="BD293" s="540"/>
      <c r="BE293" s="540"/>
      <c r="BF293" s="540"/>
      <c r="BG293" s="540"/>
      <c r="BH293" s="540"/>
      <c r="BI293" s="540"/>
      <c r="BJ293" s="540"/>
      <c r="BK293" s="540"/>
      <c r="BL293" s="540"/>
      <c r="BM293" s="540"/>
      <c r="BN293" s="195"/>
      <c r="BO293" s="195"/>
      <c r="BP293" s="195"/>
      <c r="BS293" s="694" t="s">
        <v>2203</v>
      </c>
    </row>
    <row r="294" spans="1:75" s="903" customFormat="1" ht="39.200000000000003" customHeight="1">
      <c r="A294" s="76"/>
      <c r="B294" s="331"/>
      <c r="C294" s="27"/>
      <c r="D294" s="27">
        <f>D293+1</f>
        <v>9</v>
      </c>
      <c r="E294" s="557">
        <v>21</v>
      </c>
      <c r="F294" s="3" t="str" cm="1">
        <f t="array" aca="1" ref="F294" ca="1">OFFSET(E294,-1,1)</f>
        <v>1</v>
      </c>
      <c r="G294" s="27"/>
      <c r="H294" s="25"/>
      <c r="I294" s="25" t="s">
        <v>792</v>
      </c>
      <c r="J294" s="27"/>
      <c r="K294" s="72" t="s">
        <v>792</v>
      </c>
      <c r="L294" s="27" t="s">
        <v>1869</v>
      </c>
      <c r="M294" s="27"/>
      <c r="N294" s="27"/>
      <c r="O294" s="27"/>
      <c r="P294" s="27"/>
      <c r="Q294" s="27"/>
      <c r="R294" s="27"/>
      <c r="S294" s="27"/>
      <c r="T294" s="351" t="b" cm="1">
        <f t="array" aca="1" ref="T294" ca="1">T293</f>
        <v>1</v>
      </c>
      <c r="U294" s="27"/>
      <c r="V294" s="27"/>
      <c r="W294" s="27"/>
      <c r="X294" s="1046"/>
      <c r="Y294" s="76"/>
      <c r="Z294" s="1008"/>
      <c r="AA294" s="76"/>
      <c r="AB294" s="124" cm="1">
        <f t="array" ref="AB294">D294</f>
        <v>9</v>
      </c>
      <c r="AC294" s="125" t="s">
        <v>1870</v>
      </c>
      <c r="AD294" s="147" t="s">
        <v>859</v>
      </c>
      <c r="AE294" s="126">
        <f ca="1">AE172+AE222+AE258+AE259+AE261+AE266+AE267+AE270</f>
        <v>12357.3</v>
      </c>
      <c r="AF294" s="126">
        <f ca="1">AF172+AF222+AF258+AF259+AF261+AF266+AF267+AF270</f>
        <v>26660.003479999999</v>
      </c>
      <c r="AG294" s="126">
        <f ca="1">AG172+AG222+AG258+AG259+AG261+AG266+AG267+AG270</f>
        <v>26656.613420000001</v>
      </c>
      <c r="AH294" s="126">
        <f t="shared" ca="1" si="73"/>
        <v>-3.3900599999979022</v>
      </c>
      <c r="AI294" s="126">
        <f t="shared" ref="AI294:BC294" ca="1" si="78">AI172+AI222+AI258+AI259+AI261+AI266+AI267+AI270</f>
        <v>298629.83378867095</v>
      </c>
      <c r="AJ294" s="126">
        <f t="shared" ca="1" si="78"/>
        <v>361585.69094</v>
      </c>
      <c r="AK294" s="126">
        <f t="shared" ca="1" si="78"/>
        <v>380856.5347976</v>
      </c>
      <c r="AL294" s="126">
        <f t="shared" ca="1" si="78"/>
        <v>396096.45377350401</v>
      </c>
      <c r="AM294" s="126">
        <f t="shared" ca="1" si="78"/>
        <v>242025.19629350398</v>
      </c>
      <c r="AN294" s="126">
        <f t="shared" ca="1" si="78"/>
        <v>242025.19629350398</v>
      </c>
      <c r="AO294" s="126">
        <f t="shared" ca="1" si="78"/>
        <v>242025.19629350398</v>
      </c>
      <c r="AP294" s="126">
        <f t="shared" ca="1" si="78"/>
        <v>242025.19629350398</v>
      </c>
      <c r="AQ294" s="126">
        <f t="shared" ca="1" si="78"/>
        <v>242025.19629350398</v>
      </c>
      <c r="AR294" s="126">
        <f t="shared" ca="1" si="78"/>
        <v>242025.19629350398</v>
      </c>
      <c r="AS294" s="126">
        <f t="shared" ca="1" si="78"/>
        <v>242025.19629350398</v>
      </c>
      <c r="AT294" s="126">
        <f t="shared" ca="1" si="78"/>
        <v>334746.19417498668</v>
      </c>
      <c r="AU294" s="126">
        <f t="shared" ca="1" si="78"/>
        <v>350894.62702256633</v>
      </c>
      <c r="AV294" s="126">
        <f t="shared" ca="1" si="78"/>
        <v>362828.18589141429</v>
      </c>
      <c r="AW294" s="126">
        <f t="shared" ca="1" si="78"/>
        <v>213968.89288811432</v>
      </c>
      <c r="AX294" s="126">
        <f t="shared" ca="1" si="78"/>
        <v>213968.89288811432</v>
      </c>
      <c r="AY294" s="126">
        <f t="shared" ca="1" si="78"/>
        <v>213968.89288811432</v>
      </c>
      <c r="AZ294" s="126">
        <f t="shared" ca="1" si="78"/>
        <v>213968.89288811432</v>
      </c>
      <c r="BA294" s="126">
        <f t="shared" ca="1" si="78"/>
        <v>213968.89288811432</v>
      </c>
      <c r="BB294" s="126">
        <f t="shared" ca="1" si="78"/>
        <v>213968.89288811432</v>
      </c>
      <c r="BC294" s="126">
        <f t="shared" ca="1" si="78"/>
        <v>213968.89288811432</v>
      </c>
      <c r="BD294" s="126">
        <f ca="1">IF(AI294=0,0,(AT294-AI294)/AI294*100)</f>
        <v>12.094022867076944</v>
      </c>
      <c r="BE294" s="126">
        <f t="shared" ref="BE294:BM295" ca="1" si="79">IF(AT294=0,0,(AU294-AT294)/AT294*100)</f>
        <v>4.8240825821422622</v>
      </c>
      <c r="BF294" s="126">
        <f t="shared" ca="1" si="79"/>
        <v>3.4008952972883524</v>
      </c>
      <c r="BG294" s="126">
        <f t="shared" ca="1" si="79"/>
        <v>-41.02748871000059</v>
      </c>
      <c r="BH294" s="126">
        <f t="shared" ca="1" si="79"/>
        <v>0</v>
      </c>
      <c r="BI294" s="126">
        <f t="shared" ca="1" si="79"/>
        <v>0</v>
      </c>
      <c r="BJ294" s="126">
        <f t="shared" ca="1" si="79"/>
        <v>0</v>
      </c>
      <c r="BK294" s="126">
        <f t="shared" ca="1" si="79"/>
        <v>0</v>
      </c>
      <c r="BL294" s="126">
        <f t="shared" ca="1" si="79"/>
        <v>0</v>
      </c>
      <c r="BM294" s="126">
        <f t="shared" ca="1" si="79"/>
        <v>0</v>
      </c>
      <c r="BN294" s="195"/>
      <c r="BO294" s="195"/>
      <c r="BP294" s="195"/>
      <c r="BQ294" s="76"/>
      <c r="BR294" s="76"/>
      <c r="BS294" s="700" t="s">
        <v>1871</v>
      </c>
      <c r="BT294" s="700"/>
      <c r="BU294" s="700"/>
      <c r="BV294" s="509"/>
      <c r="BW294" s="509"/>
    </row>
    <row r="295" spans="1:75" s="903" customFormat="1" ht="36.200000000000003" customHeight="1">
      <c r="A295" s="76"/>
      <c r="B295" s="331"/>
      <c r="C295" s="27"/>
      <c r="D295" s="27">
        <f>D294+1</f>
        <v>10</v>
      </c>
      <c r="E295" s="557">
        <v>21</v>
      </c>
      <c r="F295" s="3" t="str" cm="1">
        <f t="array" aca="1" ref="F295" ca="1">OFFSET(E295,-1,1)</f>
        <v>1</v>
      </c>
      <c r="G295" s="27"/>
      <c r="H295" s="25"/>
      <c r="I295" s="25" t="s">
        <v>1880</v>
      </c>
      <c r="J295" s="27"/>
      <c r="K295" s="72" t="s">
        <v>1880</v>
      </c>
      <c r="L295" s="27"/>
      <c r="M295" s="27"/>
      <c r="N295" s="27"/>
      <c r="O295" s="27"/>
      <c r="P295" s="27"/>
      <c r="Q295" s="27"/>
      <c r="R295" s="27"/>
      <c r="S295" s="27"/>
      <c r="T295" s="351" t="b" cm="1">
        <f t="array" aca="1" ref="T295" ca="1">T294</f>
        <v>1</v>
      </c>
      <c r="U295" s="27"/>
      <c r="V295" s="27"/>
      <c r="W295" s="27"/>
      <c r="X295" s="1046"/>
      <c r="Y295" s="76"/>
      <c r="Z295" s="1008"/>
      <c r="AA295" s="76"/>
      <c r="AB295" s="124" cm="1">
        <f t="array" ref="AB295">D295</f>
        <v>10</v>
      </c>
      <c r="AC295" s="125" t="s">
        <v>2204</v>
      </c>
      <c r="AD295" s="124" t="s">
        <v>859</v>
      </c>
      <c r="AE295" s="126">
        <f t="shared" ref="AE295:BC295" ca="1" si="80">AE294+AE279+AE292</f>
        <v>12357.3</v>
      </c>
      <c r="AF295" s="126">
        <f t="shared" ca="1" si="80"/>
        <v>26660.003479999999</v>
      </c>
      <c r="AG295" s="126">
        <f t="shared" ca="1" si="80"/>
        <v>26656.613420000001</v>
      </c>
      <c r="AH295" s="126">
        <f t="shared" ca="1" si="80"/>
        <v>-3.3900599999979022</v>
      </c>
      <c r="AI295" s="126">
        <f t="shared" ca="1" si="80"/>
        <v>298629.83378867095</v>
      </c>
      <c r="AJ295" s="126">
        <f t="shared" ca="1" si="80"/>
        <v>375889.42093999998</v>
      </c>
      <c r="AK295" s="126">
        <f t="shared" ca="1" si="80"/>
        <v>380856.5347976</v>
      </c>
      <c r="AL295" s="126">
        <f t="shared" ca="1" si="80"/>
        <v>396096.45377350401</v>
      </c>
      <c r="AM295" s="126">
        <f t="shared" ca="1" si="80"/>
        <v>242025.19629350398</v>
      </c>
      <c r="AN295" s="126">
        <f t="shared" ca="1" si="80"/>
        <v>242025.19629350398</v>
      </c>
      <c r="AO295" s="126">
        <f t="shared" ca="1" si="80"/>
        <v>242025.19629350398</v>
      </c>
      <c r="AP295" s="126">
        <f t="shared" ca="1" si="80"/>
        <v>242025.19629350398</v>
      </c>
      <c r="AQ295" s="126">
        <f t="shared" ca="1" si="80"/>
        <v>242025.19629350398</v>
      </c>
      <c r="AR295" s="126">
        <f t="shared" ca="1" si="80"/>
        <v>242025.19629350398</v>
      </c>
      <c r="AS295" s="126">
        <f t="shared" ca="1" si="80"/>
        <v>242025.19629350398</v>
      </c>
      <c r="AT295" s="126">
        <f t="shared" ca="1" si="80"/>
        <v>320109.17417498666</v>
      </c>
      <c r="AU295" s="126">
        <f t="shared" ca="1" si="80"/>
        <v>355887.77702256636</v>
      </c>
      <c r="AV295" s="126">
        <f t="shared" ca="1" si="80"/>
        <v>372472.05589141429</v>
      </c>
      <c r="AW295" s="126">
        <f t="shared" ca="1" si="80"/>
        <v>213968.89288811432</v>
      </c>
      <c r="AX295" s="126">
        <f t="shared" ca="1" si="80"/>
        <v>213968.89288811432</v>
      </c>
      <c r="AY295" s="126">
        <f t="shared" ca="1" si="80"/>
        <v>213968.89288811432</v>
      </c>
      <c r="AZ295" s="126">
        <f t="shared" ca="1" si="80"/>
        <v>213968.89288811432</v>
      </c>
      <c r="BA295" s="126">
        <f t="shared" ca="1" si="80"/>
        <v>213968.89288811432</v>
      </c>
      <c r="BB295" s="126">
        <f t="shared" ca="1" si="80"/>
        <v>213968.89288811432</v>
      </c>
      <c r="BC295" s="126">
        <f t="shared" ca="1" si="80"/>
        <v>213968.89288811432</v>
      </c>
      <c r="BD295" s="126">
        <f ca="1">IF(AI295=0,0,(AT295-AI295)/AI295*100)</f>
        <v>7.1926304595259669</v>
      </c>
      <c r="BE295" s="126">
        <f t="shared" ca="1" si="79"/>
        <v>11.177000140589982</v>
      </c>
      <c r="BF295" s="126">
        <f t="shared" ca="1" si="79"/>
        <v>4.6599742782951346</v>
      </c>
      <c r="BG295" s="126">
        <f t="shared" ca="1" si="79"/>
        <v>-42.554377032114303</v>
      </c>
      <c r="BH295" s="126">
        <f t="shared" ca="1" si="79"/>
        <v>0</v>
      </c>
      <c r="BI295" s="126">
        <f t="shared" ca="1" si="79"/>
        <v>0</v>
      </c>
      <c r="BJ295" s="126">
        <f t="shared" ca="1" si="79"/>
        <v>0</v>
      </c>
      <c r="BK295" s="126">
        <f t="shared" ca="1" si="79"/>
        <v>0</v>
      </c>
      <c r="BL295" s="126">
        <f t="shared" ca="1" si="79"/>
        <v>0</v>
      </c>
      <c r="BM295" s="126">
        <f t="shared" ca="1" si="79"/>
        <v>0</v>
      </c>
      <c r="BN295" s="195"/>
      <c r="BO295" s="195"/>
      <c r="BP295" s="195"/>
      <c r="BQ295" s="76"/>
      <c r="BR295" s="76"/>
      <c r="BS295" s="700" t="s">
        <v>2205</v>
      </c>
      <c r="BT295" s="700"/>
      <c r="BU295" s="700"/>
      <c r="BV295" s="509"/>
      <c r="BW295" s="509"/>
    </row>
    <row r="296" spans="1:75" ht="14.25" hidden="1" customHeight="1">
      <c r="B296" s="340" t="b">
        <f>A171="двухставочный"</f>
        <v>0</v>
      </c>
      <c r="C296" s="25"/>
      <c r="D296" s="25" cm="1">
        <f t="array" ref="D296">D295</f>
        <v>10</v>
      </c>
      <c r="E296" s="449">
        <v>15</v>
      </c>
      <c r="F296" s="3" t="str" cm="1">
        <f t="array" aca="1" ref="F296" ca="1">OFFSET(E296,-1,1)</f>
        <v>1</v>
      </c>
      <c r="G296" s="25"/>
      <c r="H296" s="569"/>
      <c r="I296" s="569" t="s">
        <v>1883</v>
      </c>
      <c r="J296" s="25"/>
      <c r="K296" s="277" t="s">
        <v>1883</v>
      </c>
      <c r="L296" s="25" t="s">
        <v>1872</v>
      </c>
      <c r="M296" s="25"/>
      <c r="N296" s="25"/>
      <c r="O296" s="25"/>
      <c r="P296" s="25"/>
      <c r="Q296" s="25"/>
      <c r="R296" s="25"/>
      <c r="S296" s="25"/>
      <c r="T296" s="351" t="b" cm="1">
        <f t="array" aca="1" ref="T296" ca="1">T295</f>
        <v>1</v>
      </c>
      <c r="U296" s="25"/>
      <c r="V296" s="25"/>
      <c r="W296" s="25"/>
      <c r="X296" s="1046"/>
      <c r="Z296" s="1008"/>
      <c r="AB296" s="7" t="str">
        <f>D296&amp;".1"</f>
        <v>10.1</v>
      </c>
      <c r="AC296" s="548" t="s">
        <v>1874</v>
      </c>
      <c r="AD296" s="7" t="s">
        <v>859</v>
      </c>
      <c r="AE296" s="777"/>
      <c r="AF296" s="777"/>
      <c r="AG296" s="777"/>
      <c r="AH296" s="170">
        <f t="shared" ref="AH296:AH302" si="81">AG296-AF296</f>
        <v>0</v>
      </c>
      <c r="AI296" s="777"/>
      <c r="AJ296" s="128"/>
      <c r="AK296" s="128"/>
      <c r="AL296" s="128"/>
      <c r="AM296" s="777"/>
      <c r="AN296" s="777"/>
      <c r="AO296" s="777"/>
      <c r="AP296" s="777"/>
      <c r="AQ296" s="777"/>
      <c r="AR296" s="777"/>
      <c r="AS296" s="777"/>
      <c r="AT296" s="128"/>
      <c r="AU296" s="128"/>
      <c r="AV296" s="128"/>
      <c r="AW296" s="777"/>
      <c r="AX296" s="777"/>
      <c r="AY296" s="777"/>
      <c r="AZ296" s="777"/>
      <c r="BA296" s="777"/>
      <c r="BB296" s="777"/>
      <c r="BC296" s="777"/>
      <c r="BD296" s="540"/>
      <c r="BE296" s="540"/>
      <c r="BF296" s="540"/>
      <c r="BG296" s="540"/>
      <c r="BH296" s="540"/>
      <c r="BI296" s="540"/>
      <c r="BJ296" s="540"/>
      <c r="BK296" s="540"/>
      <c r="BL296" s="540"/>
      <c r="BM296" s="540"/>
      <c r="BN296" s="774"/>
      <c r="BO296" s="774"/>
      <c r="BP296" s="774"/>
      <c r="BS296" s="692" t="s">
        <v>1875</v>
      </c>
    </row>
    <row r="297" spans="1:75" ht="14.25" hidden="1" customHeight="1">
      <c r="B297" s="340" t="b">
        <f>A171="двухставочный"</f>
        <v>0</v>
      </c>
      <c r="C297" s="25"/>
      <c r="D297" s="25" cm="1">
        <f t="array" ref="D297">D296</f>
        <v>10</v>
      </c>
      <c r="E297" s="449">
        <v>15</v>
      </c>
      <c r="F297" s="3" t="str" cm="1">
        <f t="array" aca="1" ref="F297" ca="1">OFFSET(E297,-1,1)</f>
        <v>1</v>
      </c>
      <c r="G297" s="25"/>
      <c r="H297" s="569"/>
      <c r="I297" s="569" t="s">
        <v>1887</v>
      </c>
      <c r="J297" s="25"/>
      <c r="K297" s="277" t="s">
        <v>1887</v>
      </c>
      <c r="L297" s="25" t="s">
        <v>1876</v>
      </c>
      <c r="M297" s="25"/>
      <c r="N297" s="25"/>
      <c r="O297" s="25"/>
      <c r="P297" s="25"/>
      <c r="Q297" s="25"/>
      <c r="R297" s="25"/>
      <c r="S297" s="25"/>
      <c r="T297" s="351" t="b" cm="1">
        <f t="array" aca="1" ref="T297" ca="1">T296</f>
        <v>1</v>
      </c>
      <c r="U297" s="25"/>
      <c r="V297" s="25"/>
      <c r="W297" s="25"/>
      <c r="X297" s="1046"/>
      <c r="Z297" s="1008"/>
      <c r="AB297" s="7" t="str">
        <f>D297&amp;".2"</f>
        <v>10.2</v>
      </c>
      <c r="AC297" s="548" t="s">
        <v>1878</v>
      </c>
      <c r="AD297" s="7" t="s">
        <v>859</v>
      </c>
      <c r="AE297" s="777"/>
      <c r="AF297" s="777"/>
      <c r="AG297" s="777"/>
      <c r="AH297" s="170">
        <f t="shared" si="81"/>
        <v>0</v>
      </c>
      <c r="AI297" s="777"/>
      <c r="AJ297" s="128"/>
      <c r="AK297" s="128"/>
      <c r="AL297" s="128"/>
      <c r="AM297" s="777"/>
      <c r="AN297" s="777"/>
      <c r="AO297" s="777"/>
      <c r="AP297" s="777"/>
      <c r="AQ297" s="777"/>
      <c r="AR297" s="777"/>
      <c r="AS297" s="777"/>
      <c r="AT297" s="128"/>
      <c r="AU297" s="128"/>
      <c r="AV297" s="128"/>
      <c r="AW297" s="777"/>
      <c r="AX297" s="777"/>
      <c r="AY297" s="777"/>
      <c r="AZ297" s="777"/>
      <c r="BA297" s="777"/>
      <c r="BB297" s="777"/>
      <c r="BC297" s="777"/>
      <c r="BD297" s="540"/>
      <c r="BE297" s="540"/>
      <c r="BF297" s="540"/>
      <c r="BG297" s="540"/>
      <c r="BH297" s="540"/>
      <c r="BI297" s="540"/>
      <c r="BJ297" s="540"/>
      <c r="BK297" s="540"/>
      <c r="BL297" s="540"/>
      <c r="BM297" s="540"/>
      <c r="BN297" s="774"/>
      <c r="BO297" s="774"/>
      <c r="BP297" s="774"/>
      <c r="BS297" s="692" t="s">
        <v>1879</v>
      </c>
    </row>
    <row r="298" spans="1:75" s="903" customFormat="1" ht="53.25" customHeight="1">
      <c r="A298" s="76"/>
      <c r="B298" s="331"/>
      <c r="C298" s="27"/>
      <c r="D298" s="27">
        <f>D297+1</f>
        <v>11</v>
      </c>
      <c r="E298" s="557">
        <v>21</v>
      </c>
      <c r="F298" s="3" t="str" cm="1">
        <f t="array" aca="1" ref="F298" ca="1">OFFSET(E298,-1,1)</f>
        <v>1</v>
      </c>
      <c r="G298" s="25" t="s">
        <v>1656</v>
      </c>
      <c r="H298" s="25"/>
      <c r="I298" s="25" t="s">
        <v>1907</v>
      </c>
      <c r="J298" s="27"/>
      <c r="K298" s="72" t="s">
        <v>1907</v>
      </c>
      <c r="L298" s="27" t="s">
        <v>1880</v>
      </c>
      <c r="M298" s="27"/>
      <c r="N298" s="27"/>
      <c r="O298" s="27"/>
      <c r="P298" s="27"/>
      <c r="Q298" s="27"/>
      <c r="R298" s="27"/>
      <c r="S298" s="27"/>
      <c r="T298" s="351" t="b" cm="1">
        <f t="array" aca="1" ref="T298" ca="1">T297</f>
        <v>1</v>
      </c>
      <c r="U298" s="27"/>
      <c r="V298" s="27"/>
      <c r="W298" s="27"/>
      <c r="X298" s="1046"/>
      <c r="Y298" s="76"/>
      <c r="Z298" s="1008"/>
      <c r="AA298" s="76"/>
      <c r="AB298" s="124" cm="1">
        <f t="array" ref="AB298">D298</f>
        <v>11</v>
      </c>
      <c r="AC298" s="125" t="s">
        <v>1881</v>
      </c>
      <c r="AD298" s="124" t="s">
        <v>585</v>
      </c>
      <c r="AE298" s="550">
        <f ca="1">SUMIFS(Баланс!AE$26:AE$209,Баланс!$F$26:$F$209,$F298,Баланс!$G$26:$G$209,"ПО")</f>
        <v>195.71279000000001</v>
      </c>
      <c r="AF298" s="550">
        <f ca="1">SUMIFS(Баланс!AF$26:AF$209,Баланс!$F$26:$F$209,$F298,Баланс!$G$26:$G$209,"ПО")</f>
        <v>1200.8620000000001</v>
      </c>
      <c r="AG298" s="550">
        <f ca="1">SUMIFS(Баланс!AG$26:AG$209,Баланс!$F$26:$F$209,$F298,Баланс!$G$26:$G$209,"ПО")</f>
        <v>1200.8620000000001</v>
      </c>
      <c r="AH298" s="550">
        <f t="shared" ca="1" si="81"/>
        <v>0</v>
      </c>
      <c r="AI298" s="550">
        <f ca="1">SUMIFS(Баланс!AH$26:AH$209,Баланс!$F$26:$F$209,$F298,Баланс!$G$26:$G$209,"ПО")</f>
        <v>5046.9804537363998</v>
      </c>
      <c r="AJ298" s="550">
        <f ca="1">SUMIFS(Баланс!AI$26:AI$209,Баланс!$F$26:$F$209,$F298,Баланс!$G$26:$G$209,"ПО")</f>
        <v>4995.2669999999998</v>
      </c>
      <c r="AK298" s="550">
        <f ca="1">SUMIFS(Баланс!AJ$26:AJ$209,Баланс!$F$26:$F$209,$F298,Баланс!$G$26:$G$209,"ПО")</f>
        <v>4995.2669999999998</v>
      </c>
      <c r="AL298" s="550">
        <f ca="1">SUMIFS(Баланс!AK$26:AK$209,Баланс!$F$26:$F$209,$F298,Баланс!$G$26:$G$209,"ПО")</f>
        <v>4995.2669999999998</v>
      </c>
      <c r="AM298" s="550">
        <f ca="1">SUMIFS(Баланс!AL$26:AL$209,Баланс!$F$26:$F$209,$F298,Баланс!$G$26:$G$209,"ПО")</f>
        <v>0</v>
      </c>
      <c r="AN298" s="550">
        <f ca="1">SUMIFS(Баланс!AM$26:AM$209,Баланс!$F$26:$F$209,$F298,Баланс!$G$26:$G$209,"ПО")</f>
        <v>0</v>
      </c>
      <c r="AO298" s="550">
        <f ca="1">SUMIFS(Баланс!AN$26:AN$209,Баланс!$F$26:$F$209,$F298,Баланс!$G$26:$G$209,"ПО")</f>
        <v>0</v>
      </c>
      <c r="AP298" s="550">
        <f ca="1">SUMIFS(Баланс!AO$26:AO$209,Баланс!$F$26:$F$209,$F298,Баланс!$G$26:$G$209,"ПО")</f>
        <v>0</v>
      </c>
      <c r="AQ298" s="550">
        <f ca="1">SUMIFS(Баланс!AP$26:AP$209,Баланс!$F$26:$F$209,$F298,Баланс!$G$26:$G$209,"ПО")</f>
        <v>0</v>
      </c>
      <c r="AR298" s="550">
        <f ca="1">SUMIFS(Баланс!AQ$26:AQ$209,Баланс!$F$26:$F$209,$F298,Баланс!$G$26:$G$209,"ПО")</f>
        <v>0</v>
      </c>
      <c r="AS298" s="550">
        <f ca="1">SUMIFS(Баланс!AR$26:AR$209,Баланс!$F$26:$F$209,$F298,Баланс!$G$26:$G$209,"ПО")</f>
        <v>0</v>
      </c>
      <c r="AT298" s="550">
        <f ca="1">SUMIFS(Баланс!AS$26:AS$209,Баланс!$F$26:$F$209,$F298,Баланс!$G$26:$G$209,"ПО")</f>
        <v>4995.26667</v>
      </c>
      <c r="AU298" s="550">
        <f ca="1">SUMIFS(Баланс!AT$26:AT$209,Баланс!$F$26:$F$209,$F298,Баланс!$G$26:$G$209,"ПО")</f>
        <v>4995.26667</v>
      </c>
      <c r="AV298" s="550">
        <f ca="1">SUMIFS(Баланс!AU$26:AU$209,Баланс!$F$26:$F$209,$F298,Баланс!$G$26:$G$209,"ПО")</f>
        <v>4995.26667</v>
      </c>
      <c r="AW298" s="550">
        <f ca="1">SUMIFS(Баланс!AV$26:AV$209,Баланс!$F$26:$F$209,$F298,Баланс!$G$26:$G$209,"ПО")</f>
        <v>0</v>
      </c>
      <c r="AX298" s="550">
        <f ca="1">SUMIFS(Баланс!AW$26:AW$209,Баланс!$F$26:$F$209,$F298,Баланс!$G$26:$G$209,"ПО")</f>
        <v>0</v>
      </c>
      <c r="AY298" s="550">
        <f ca="1">SUMIFS(Баланс!AX$26:AX$209,Баланс!$F$26:$F$209,$F298,Баланс!$G$26:$G$209,"ПО")</f>
        <v>0</v>
      </c>
      <c r="AZ298" s="550">
        <f ca="1">SUMIFS(Баланс!AY$26:AY$209,Баланс!$F$26:$F$209,$F298,Баланс!$G$26:$G$209,"ПО")</f>
        <v>0</v>
      </c>
      <c r="BA298" s="550">
        <f ca="1">SUMIFS(Баланс!AZ$26:AZ$209,Баланс!$F$26:$F$209,$F298,Баланс!$G$26:$G$209,"ПО")</f>
        <v>0</v>
      </c>
      <c r="BB298" s="550">
        <f ca="1">SUMIFS(Баланс!BA$26:BA$209,Баланс!$F$26:$F$209,$F298,Баланс!$G$26:$G$209,"ПО")</f>
        <v>0</v>
      </c>
      <c r="BC298" s="550">
        <f ca="1">SUMIFS(Баланс!BB$26:BB$209,Баланс!$F$26:$F$209,$F298,Баланс!$G$26:$G$209,"ПО")</f>
        <v>0</v>
      </c>
      <c r="BD298" s="129"/>
      <c r="BE298" s="129"/>
      <c r="BF298" s="129"/>
      <c r="BG298" s="129"/>
      <c r="BH298" s="129"/>
      <c r="BI298" s="129"/>
      <c r="BJ298" s="129"/>
      <c r="BK298" s="129"/>
      <c r="BL298" s="129"/>
      <c r="BM298" s="129"/>
      <c r="BN298" s="195"/>
      <c r="BO298" s="195" t="s">
        <v>2261</v>
      </c>
      <c r="BP298" s="195" t="s">
        <v>2262</v>
      </c>
      <c r="BQ298" s="76"/>
      <c r="BR298" s="76"/>
      <c r="BS298" s="693" t="s">
        <v>1882</v>
      </c>
      <c r="BT298" s="700"/>
      <c r="BU298" s="700"/>
      <c r="BV298" s="509"/>
      <c r="BW298" s="509"/>
    </row>
    <row r="299" spans="1:75" ht="99.95" customHeight="1">
      <c r="C299" s="25"/>
      <c r="D299" s="25" cm="1">
        <f t="array" ref="D299">D298</f>
        <v>11</v>
      </c>
      <c r="E299" s="449">
        <v>15</v>
      </c>
      <c r="F299" s="3" t="str" cm="1">
        <f t="array" aca="1" ref="F299" ca="1">OFFSET(E299,-1,1)</f>
        <v>1</v>
      </c>
      <c r="G299" s="25" t="s">
        <v>1683</v>
      </c>
      <c r="H299" s="25"/>
      <c r="I299" s="25" t="s">
        <v>2206</v>
      </c>
      <c r="J299" s="25"/>
      <c r="K299" s="72" t="s">
        <v>2206</v>
      </c>
      <c r="L299" s="25" t="s">
        <v>1883</v>
      </c>
      <c r="M299" s="25"/>
      <c r="N299" s="25"/>
      <c r="O299" s="25"/>
      <c r="P299" s="25"/>
      <c r="Q299" s="25"/>
      <c r="R299" s="25"/>
      <c r="S299" s="25"/>
      <c r="T299" s="351" t="b" cm="1">
        <f t="array" aca="1" ref="T299" ca="1">T298</f>
        <v>1</v>
      </c>
      <c r="U299" s="25"/>
      <c r="V299" s="25"/>
      <c r="W299" s="25"/>
      <c r="X299" s="1046"/>
      <c r="Z299" s="1008"/>
      <c r="AB299" s="7" t="str">
        <f>D299&amp;".1"</f>
        <v>11.1</v>
      </c>
      <c r="AC299" s="127" t="s">
        <v>1885</v>
      </c>
      <c r="AD299" s="7" t="s">
        <v>585</v>
      </c>
      <c r="AE299" s="442">
        <v>0</v>
      </c>
      <c r="AF299" s="442">
        <v>0</v>
      </c>
      <c r="AG299" s="442">
        <v>0</v>
      </c>
      <c r="AH299" s="556">
        <f t="shared" si="81"/>
        <v>0</v>
      </c>
      <c r="AI299" s="442">
        <v>2523.4902268681999</v>
      </c>
      <c r="AJ299" s="442">
        <f ca="1">AJ298/2</f>
        <v>2497.6334999999999</v>
      </c>
      <c r="AK299" s="442">
        <f ca="1">IF(god=2025,AK298/12*9,AK298/2)</f>
        <v>2497.6334999999999</v>
      </c>
      <c r="AL299" s="442">
        <f t="shared" ref="AL299:AS299" ca="1" si="82">AL298/2</f>
        <v>2497.6334999999999</v>
      </c>
      <c r="AM299" s="442">
        <f t="shared" ca="1" si="82"/>
        <v>0</v>
      </c>
      <c r="AN299" s="442">
        <f t="shared" ca="1" si="82"/>
        <v>0</v>
      </c>
      <c r="AO299" s="442">
        <f t="shared" ca="1" si="82"/>
        <v>0</v>
      </c>
      <c r="AP299" s="442">
        <f t="shared" ca="1" si="82"/>
        <v>0</v>
      </c>
      <c r="AQ299" s="442">
        <f t="shared" ca="1" si="82"/>
        <v>0</v>
      </c>
      <c r="AR299" s="442">
        <f t="shared" ca="1" si="82"/>
        <v>0</v>
      </c>
      <c r="AS299" s="442">
        <f t="shared" ca="1" si="82"/>
        <v>0</v>
      </c>
      <c r="AT299" s="442">
        <f ca="1">IF(god=2026,AT298/12*9,AT298/2)</f>
        <v>3746.4500024999998</v>
      </c>
      <c r="AU299" s="442">
        <f ca="1">IF(god=2025,AU298/12*9,AU298/2)</f>
        <v>2497.633335</v>
      </c>
      <c r="AV299" s="442">
        <f t="shared" ref="AV299:BC299" ca="1" si="83">AV298/2</f>
        <v>2497.633335</v>
      </c>
      <c r="AW299" s="442">
        <f t="shared" ca="1" si="83"/>
        <v>0</v>
      </c>
      <c r="AX299" s="442">
        <f t="shared" ca="1" si="83"/>
        <v>0</v>
      </c>
      <c r="AY299" s="442">
        <f t="shared" ca="1" si="83"/>
        <v>0</v>
      </c>
      <c r="AZ299" s="442">
        <f t="shared" ca="1" si="83"/>
        <v>0</v>
      </c>
      <c r="BA299" s="442">
        <f t="shared" ca="1" si="83"/>
        <v>0</v>
      </c>
      <c r="BB299" s="442">
        <f t="shared" ca="1" si="83"/>
        <v>0</v>
      </c>
      <c r="BC299" s="442">
        <f t="shared" ca="1" si="83"/>
        <v>0</v>
      </c>
      <c r="BD299" s="540"/>
      <c r="BE299" s="540"/>
      <c r="BF299" s="540"/>
      <c r="BG299" s="540"/>
      <c r="BH299" s="540"/>
      <c r="BI299" s="540"/>
      <c r="BJ299" s="540"/>
      <c r="BK299" s="540"/>
      <c r="BL299" s="540"/>
      <c r="BM299" s="540"/>
      <c r="BN299" s="195"/>
      <c r="BO299" s="195"/>
      <c r="BP299" s="195" t="s">
        <v>2263</v>
      </c>
      <c r="BS299" s="692" t="s">
        <v>1886</v>
      </c>
    </row>
    <row r="300" spans="1:75" ht="78.95" customHeight="1">
      <c r="C300" s="25"/>
      <c r="D300" s="25" cm="1">
        <f t="array" ref="D300">D299</f>
        <v>11</v>
      </c>
      <c r="E300" s="449">
        <v>15</v>
      </c>
      <c r="F300" s="3" t="str" cm="1">
        <f t="array" aca="1" ref="F300" ca="1">OFFSET(E300,-1,1)</f>
        <v>1</v>
      </c>
      <c r="G300" s="25" t="s">
        <v>1644</v>
      </c>
      <c r="H300" s="25"/>
      <c r="I300" s="25" t="s">
        <v>2207</v>
      </c>
      <c r="J300" s="25"/>
      <c r="K300" s="72" t="s">
        <v>2207</v>
      </c>
      <c r="L300" s="25" t="s">
        <v>1887</v>
      </c>
      <c r="M300" s="25"/>
      <c r="N300" s="25"/>
      <c r="O300" s="25"/>
      <c r="P300" s="25"/>
      <c r="Q300" s="25"/>
      <c r="R300" s="25"/>
      <c r="S300" s="25"/>
      <c r="T300" s="351" t="b" cm="1">
        <f t="array" aca="1" ref="T300" ca="1">T299</f>
        <v>1</v>
      </c>
      <c r="U300" s="25"/>
      <c r="V300" s="25"/>
      <c r="W300" s="25"/>
      <c r="X300" s="1046"/>
      <c r="Z300" s="1008"/>
      <c r="AB300" s="7" t="str">
        <f>D300&amp;".2"</f>
        <v>11.2</v>
      </c>
      <c r="AC300" s="127" t="s">
        <v>1889</v>
      </c>
      <c r="AD300" s="7" t="s">
        <v>1647</v>
      </c>
      <c r="AE300" s="128">
        <v>0</v>
      </c>
      <c r="AF300" s="128">
        <v>0</v>
      </c>
      <c r="AG300" s="128">
        <v>0</v>
      </c>
      <c r="AH300" s="170">
        <f t="shared" si="81"/>
        <v>0</v>
      </c>
      <c r="AI300" s="128">
        <v>55.82</v>
      </c>
      <c r="AJ300" s="128">
        <v>62.52</v>
      </c>
      <c r="AK300" s="128">
        <v>76.239999999999995</v>
      </c>
      <c r="AL300" s="128">
        <v>76.25</v>
      </c>
      <c r="AM300" s="128"/>
      <c r="AN300" s="128"/>
      <c r="AO300" s="128"/>
      <c r="AP300" s="128"/>
      <c r="AQ300" s="128"/>
      <c r="AR300" s="128"/>
      <c r="AS300" s="128"/>
      <c r="AT300" s="128">
        <v>62.52</v>
      </c>
      <c r="AU300" s="128" cm="1">
        <f t="array" aca="1" ref="AU300" ca="1">AT302</f>
        <v>68.769998234097599</v>
      </c>
      <c r="AV300" s="128" cm="1">
        <f t="array" aca="1" ref="AV300" ca="1">AU302</f>
        <v>73.720003014450896</v>
      </c>
      <c r="AW300" s="128" cm="1">
        <f t="array" aca="1" ref="AW300" ca="1">AV302</f>
        <v>75.409995641422384</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0"/>
      <c r="BE300" s="540"/>
      <c r="BF300" s="540"/>
      <c r="BG300" s="540"/>
      <c r="BH300" s="540"/>
      <c r="BI300" s="540"/>
      <c r="BJ300" s="540"/>
      <c r="BK300" s="540"/>
      <c r="BL300" s="540"/>
      <c r="BM300" s="540"/>
      <c r="BN300" s="195"/>
      <c r="BO300" s="195" t="s">
        <v>2264</v>
      </c>
      <c r="BP300" s="195" t="s">
        <v>2265</v>
      </c>
      <c r="BS300" s="692" t="s">
        <v>1890</v>
      </c>
    </row>
    <row r="301" spans="1:75" ht="31.7" customHeight="1">
      <c r="C301" s="25"/>
      <c r="D301" s="25" cm="1">
        <f t="array" ref="D301">D300</f>
        <v>11</v>
      </c>
      <c r="E301" s="449">
        <v>15</v>
      </c>
      <c r="F301" s="3" t="str" cm="1">
        <f t="array" aca="1" ref="F301" ca="1">OFFSET(E301,-1,1)</f>
        <v>1</v>
      </c>
      <c r="G301" s="25" t="s">
        <v>1696</v>
      </c>
      <c r="H301" s="25"/>
      <c r="I301" s="25" t="s">
        <v>2208</v>
      </c>
      <c r="J301" s="25"/>
      <c r="K301" s="72" t="s">
        <v>2208</v>
      </c>
      <c r="L301" s="25" t="s">
        <v>1891</v>
      </c>
      <c r="M301" s="25"/>
      <c r="N301" s="25"/>
      <c r="O301" s="25"/>
      <c r="P301" s="25"/>
      <c r="Q301" s="25"/>
      <c r="R301" s="25"/>
      <c r="S301" s="25"/>
      <c r="T301" s="351" t="b" cm="1">
        <f t="array" aca="1" ref="T301" ca="1">T300</f>
        <v>1</v>
      </c>
      <c r="U301" s="25"/>
      <c r="V301" s="25"/>
      <c r="W301" s="25"/>
      <c r="X301" s="1046"/>
      <c r="Z301" s="1008"/>
      <c r="AB301" s="7" t="str">
        <f>D301&amp;".3"</f>
        <v>11.3</v>
      </c>
      <c r="AC301" s="127" t="s">
        <v>2209</v>
      </c>
      <c r="AD301" s="7" t="s">
        <v>585</v>
      </c>
      <c r="AE301" s="556">
        <f ca="1">AE298-AE299</f>
        <v>195.71279000000001</v>
      </c>
      <c r="AF301" s="556">
        <f ca="1">AF298-AF299</f>
        <v>1200.8620000000001</v>
      </c>
      <c r="AG301" s="556">
        <f ca="1">AG298-AG299</f>
        <v>1200.8620000000001</v>
      </c>
      <c r="AH301" s="556">
        <f t="shared" ca="1" si="81"/>
        <v>0</v>
      </c>
      <c r="AI301" s="556">
        <f t="shared" ref="AI301:BC301" ca="1" si="84">AI298-AI299</f>
        <v>2523.4902268681999</v>
      </c>
      <c r="AJ301" s="556">
        <f t="shared" ca="1" si="84"/>
        <v>2497.6334999999999</v>
      </c>
      <c r="AK301" s="556">
        <f t="shared" ca="1" si="84"/>
        <v>2497.6334999999999</v>
      </c>
      <c r="AL301" s="556">
        <f t="shared" ca="1" si="84"/>
        <v>2497.6334999999999</v>
      </c>
      <c r="AM301" s="556">
        <f t="shared" ca="1" si="84"/>
        <v>0</v>
      </c>
      <c r="AN301" s="556">
        <f t="shared" ca="1" si="84"/>
        <v>0</v>
      </c>
      <c r="AO301" s="556">
        <f t="shared" ca="1" si="84"/>
        <v>0</v>
      </c>
      <c r="AP301" s="556">
        <f t="shared" ca="1" si="84"/>
        <v>0</v>
      </c>
      <c r="AQ301" s="556">
        <f t="shared" ca="1" si="84"/>
        <v>0</v>
      </c>
      <c r="AR301" s="556">
        <f t="shared" ca="1" si="84"/>
        <v>0</v>
      </c>
      <c r="AS301" s="556">
        <f t="shared" ca="1" si="84"/>
        <v>0</v>
      </c>
      <c r="AT301" s="556">
        <f t="shared" ca="1" si="84"/>
        <v>1248.8166675000002</v>
      </c>
      <c r="AU301" s="556">
        <f t="shared" ca="1" si="84"/>
        <v>2497.633335</v>
      </c>
      <c r="AV301" s="556">
        <f t="shared" ca="1" si="84"/>
        <v>2497.633335</v>
      </c>
      <c r="AW301" s="556">
        <f t="shared" ca="1" si="84"/>
        <v>0</v>
      </c>
      <c r="AX301" s="556">
        <f t="shared" ca="1" si="84"/>
        <v>0</v>
      </c>
      <c r="AY301" s="556">
        <f t="shared" ca="1" si="84"/>
        <v>0</v>
      </c>
      <c r="AZ301" s="556">
        <f t="shared" ca="1" si="84"/>
        <v>0</v>
      </c>
      <c r="BA301" s="556">
        <f t="shared" ca="1" si="84"/>
        <v>0</v>
      </c>
      <c r="BB301" s="556">
        <f t="shared" ca="1" si="84"/>
        <v>0</v>
      </c>
      <c r="BC301" s="556">
        <f t="shared" ca="1" si="84"/>
        <v>0</v>
      </c>
      <c r="BD301" s="540"/>
      <c r="BE301" s="540"/>
      <c r="BF301" s="540"/>
      <c r="BG301" s="540"/>
      <c r="BH301" s="540"/>
      <c r="BI301" s="540"/>
      <c r="BJ301" s="540"/>
      <c r="BK301" s="540"/>
      <c r="BL301" s="540"/>
      <c r="BM301" s="540"/>
      <c r="BN301" s="195"/>
      <c r="BO301" s="195"/>
      <c r="BP301" s="195"/>
      <c r="BS301" s="692" t="s">
        <v>1894</v>
      </c>
    </row>
    <row r="302" spans="1:75" ht="37.700000000000003" customHeight="1">
      <c r="C302" s="25"/>
      <c r="D302" s="25" cm="1">
        <f t="array" ref="D302">D301</f>
        <v>11</v>
      </c>
      <c r="E302" s="449">
        <v>15</v>
      </c>
      <c r="F302" s="3" t="str" cm="1">
        <f t="array" aca="1" ref="F302" ca="1">OFFSET(E302,-1,1)</f>
        <v>1</v>
      </c>
      <c r="G302" s="25" t="s">
        <v>1649</v>
      </c>
      <c r="H302" s="25"/>
      <c r="I302" s="25" t="s">
        <v>2210</v>
      </c>
      <c r="J302" s="25"/>
      <c r="K302" s="72" t="s">
        <v>2210</v>
      </c>
      <c r="L302" s="25" t="s">
        <v>1895</v>
      </c>
      <c r="M302" s="25"/>
      <c r="N302" s="25"/>
      <c r="O302" s="25"/>
      <c r="P302" s="25"/>
      <c r="Q302" s="25"/>
      <c r="R302" s="25"/>
      <c r="S302" s="25"/>
      <c r="T302" s="351" t="b" cm="1">
        <f t="array" aca="1" ref="T302" ca="1">T301</f>
        <v>1</v>
      </c>
      <c r="U302" s="25"/>
      <c r="V302" s="25"/>
      <c r="W302" s="25"/>
      <c r="X302" s="1046"/>
      <c r="Z302" s="1008"/>
      <c r="AB302" s="7" t="str">
        <f>D302&amp;".4"</f>
        <v>11.4</v>
      </c>
      <c r="AC302" s="127" t="s">
        <v>1897</v>
      </c>
      <c r="AD302" s="7" t="s">
        <v>1647</v>
      </c>
      <c r="AE302" s="128">
        <f ca="1">IF(AE301=0,0,(AE295-AE299*AE300)/AE301)</f>
        <v>63.139971587958037</v>
      </c>
      <c r="AF302" s="128">
        <f ca="1">IF(AF301=0,0,(AF295-AF299*AF300)/AF301)</f>
        <v>22.200722047995523</v>
      </c>
      <c r="AG302" s="128">
        <f ca="1">IF(AG301=0,0,(AG295-AG299*AG300)/AG301)</f>
        <v>22.19789902586642</v>
      </c>
      <c r="AH302" s="170">
        <f t="shared" ca="1" si="81"/>
        <v>-2.8230221291032365E-3</v>
      </c>
      <c r="AI302" s="128">
        <v>62.519999546000001</v>
      </c>
      <c r="AJ302" s="128">
        <f t="shared" ref="AJ302:BC302" ca="1" si="85">IF(AJ301=0,0,(AJ295-AJ299*AJ300)/AJ301)</f>
        <v>87.978230000518494</v>
      </c>
      <c r="AK302" s="128">
        <f t="shared" ca="1" si="85"/>
        <v>76.246958073552435</v>
      </c>
      <c r="AL302" s="128">
        <f t="shared" ca="1" si="85"/>
        <v>82.338701574311841</v>
      </c>
      <c r="AM302" s="128">
        <f t="shared" ca="1" si="85"/>
        <v>0</v>
      </c>
      <c r="AN302" s="128">
        <f t="shared" ca="1" si="85"/>
        <v>0</v>
      </c>
      <c r="AO302" s="128">
        <f t="shared" ca="1" si="85"/>
        <v>0</v>
      </c>
      <c r="AP302" s="128">
        <f t="shared" ca="1" si="85"/>
        <v>0</v>
      </c>
      <c r="AQ302" s="128">
        <f t="shared" ca="1" si="85"/>
        <v>0</v>
      </c>
      <c r="AR302" s="128">
        <f t="shared" ca="1" si="85"/>
        <v>0</v>
      </c>
      <c r="AS302" s="128">
        <f t="shared" ca="1" si="85"/>
        <v>0</v>
      </c>
      <c r="AT302" s="128">
        <f t="shared" ca="1" si="85"/>
        <v>68.769998234097599</v>
      </c>
      <c r="AU302" s="128">
        <f t="shared" ca="1" si="85"/>
        <v>73.720003014450896</v>
      </c>
      <c r="AV302" s="128">
        <f t="shared" ca="1" si="85"/>
        <v>75.409995641422384</v>
      </c>
      <c r="AW302" s="128">
        <f t="shared" ca="1" si="85"/>
        <v>0</v>
      </c>
      <c r="AX302" s="128">
        <f t="shared" ca="1" si="85"/>
        <v>0</v>
      </c>
      <c r="AY302" s="128">
        <f t="shared" ca="1" si="85"/>
        <v>0</v>
      </c>
      <c r="AZ302" s="128">
        <f t="shared" ca="1" si="85"/>
        <v>0</v>
      </c>
      <c r="BA302" s="128">
        <f t="shared" ca="1" si="85"/>
        <v>0</v>
      </c>
      <c r="BB302" s="128">
        <f t="shared" ca="1" si="85"/>
        <v>0</v>
      </c>
      <c r="BC302" s="128">
        <f t="shared" ca="1" si="85"/>
        <v>0</v>
      </c>
      <c r="BD302" s="540"/>
      <c r="BE302" s="540"/>
      <c r="BF302" s="540"/>
      <c r="BG302" s="540"/>
      <c r="BH302" s="540"/>
      <c r="BI302" s="540"/>
      <c r="BJ302" s="540"/>
      <c r="BK302" s="540"/>
      <c r="BL302" s="540"/>
      <c r="BM302" s="540"/>
      <c r="BN302" s="195"/>
      <c r="BO302" s="195"/>
      <c r="BP302" s="195"/>
      <c r="BS302" s="692" t="s">
        <v>1898</v>
      </c>
    </row>
    <row r="303" spans="1:75" ht="29.45" customHeight="1">
      <c r="C303" s="25"/>
      <c r="D303" s="25" cm="1">
        <f t="array" ref="D303">D302</f>
        <v>11</v>
      </c>
      <c r="E303" s="449">
        <v>15</v>
      </c>
      <c r="F303" s="3" t="str" cm="1">
        <f t="array" aca="1" ref="F303" ca="1">OFFSET(E303,-1,1)</f>
        <v>1</v>
      </c>
      <c r="G303" s="25"/>
      <c r="H303" s="25"/>
      <c r="I303" s="25" t="s">
        <v>2211</v>
      </c>
      <c r="J303" s="25"/>
      <c r="K303" s="72" t="s">
        <v>2211</v>
      </c>
      <c r="L303" s="25" t="s">
        <v>1899</v>
      </c>
      <c r="M303" s="25"/>
      <c r="N303" s="25"/>
      <c r="O303" s="25"/>
      <c r="P303" s="25"/>
      <c r="Q303" s="25"/>
      <c r="R303" s="25"/>
      <c r="S303" s="25"/>
      <c r="T303" s="351" t="b" cm="1">
        <f t="array" aca="1" ref="T303" ca="1">T302</f>
        <v>1</v>
      </c>
      <c r="U303" s="25"/>
      <c r="V303" s="25"/>
      <c r="W303" s="25"/>
      <c r="X303" s="1046"/>
      <c r="Z303" s="1008"/>
      <c r="AB303" s="7" t="str">
        <f>D303&amp;".5"</f>
        <v>11.5</v>
      </c>
      <c r="AC303" s="127" t="s">
        <v>1901</v>
      </c>
      <c r="AD303" s="7" t="s">
        <v>501</v>
      </c>
      <c r="AE303" s="170">
        <f>IF(AE300=0,0,AE302/AE300*100)</f>
        <v>0</v>
      </c>
      <c r="AF303" s="170">
        <f>IF(AF300=0,0,AF302/AF300*100)</f>
        <v>0</v>
      </c>
      <c r="AG303" s="170">
        <f>IF(AG300=0,0,AG302/AG300*100)</f>
        <v>0</v>
      </c>
      <c r="AH303" s="540"/>
      <c r="AI303" s="170">
        <f t="shared" ref="AI303:BC303" si="86">IF(AI300=0,0,AI302/AI300*100)</f>
        <v>112.0028655428162</v>
      </c>
      <c r="AJ303" s="170">
        <f t="shared" ca="1" si="86"/>
        <v>140.72013755681141</v>
      </c>
      <c r="AK303" s="170">
        <f t="shared" ca="1" si="86"/>
        <v>100.00912653928704</v>
      </c>
      <c r="AL303" s="170">
        <f t="shared" ca="1" si="86"/>
        <v>107.98518239254011</v>
      </c>
      <c r="AM303" s="170">
        <f t="shared" si="86"/>
        <v>0</v>
      </c>
      <c r="AN303" s="170">
        <f t="shared" si="86"/>
        <v>0</v>
      </c>
      <c r="AO303" s="170">
        <f t="shared" si="86"/>
        <v>0</v>
      </c>
      <c r="AP303" s="170">
        <f t="shared" si="86"/>
        <v>0</v>
      </c>
      <c r="AQ303" s="170">
        <f t="shared" si="86"/>
        <v>0</v>
      </c>
      <c r="AR303" s="170">
        <f t="shared" si="86"/>
        <v>0</v>
      </c>
      <c r="AS303" s="170">
        <f t="shared" si="86"/>
        <v>0</v>
      </c>
      <c r="AT303" s="170">
        <f t="shared" ca="1" si="86"/>
        <v>109.99679819913244</v>
      </c>
      <c r="AU303" s="170">
        <f t="shared" ca="1" si="86"/>
        <v>107.19791319974033</v>
      </c>
      <c r="AV303" s="170">
        <f t="shared" ca="1" si="86"/>
        <v>102.2924478538616</v>
      </c>
      <c r="AW303" s="170">
        <f t="shared" ca="1" si="86"/>
        <v>0</v>
      </c>
      <c r="AX303" s="170">
        <f t="shared" ca="1" si="86"/>
        <v>0</v>
      </c>
      <c r="AY303" s="170">
        <f t="shared" ca="1" si="86"/>
        <v>0</v>
      </c>
      <c r="AZ303" s="170">
        <f t="shared" ca="1" si="86"/>
        <v>0</v>
      </c>
      <c r="BA303" s="170">
        <f t="shared" ca="1" si="86"/>
        <v>0</v>
      </c>
      <c r="BB303" s="170">
        <f t="shared" ca="1" si="86"/>
        <v>0</v>
      </c>
      <c r="BC303" s="170">
        <f t="shared" ca="1" si="86"/>
        <v>0</v>
      </c>
      <c r="BD303" s="540"/>
      <c r="BE303" s="540"/>
      <c r="BF303" s="540"/>
      <c r="BG303" s="540"/>
      <c r="BH303" s="540"/>
      <c r="BI303" s="540"/>
      <c r="BJ303" s="540"/>
      <c r="BK303" s="540"/>
      <c r="BL303" s="540"/>
      <c r="BM303" s="540"/>
      <c r="BN303" s="195"/>
      <c r="BO303" s="195"/>
      <c r="BP303" s="195"/>
      <c r="BS303" s="692" t="s">
        <v>1902</v>
      </c>
    </row>
    <row r="304" spans="1:75" ht="30.2" customHeight="1">
      <c r="C304" s="25"/>
      <c r="D304" s="25" cm="1">
        <f t="array" ref="D304">D303</f>
        <v>11</v>
      </c>
      <c r="E304" s="449">
        <v>15</v>
      </c>
      <c r="F304" s="3" t="str" cm="1">
        <f t="array" aca="1" ref="F304" ca="1">OFFSET(E304,-1,1)</f>
        <v>1</v>
      </c>
      <c r="G304" s="25"/>
      <c r="H304" s="25"/>
      <c r="I304" s="25" t="s">
        <v>2212</v>
      </c>
      <c r="J304" s="25"/>
      <c r="K304" s="72" t="s">
        <v>2212</v>
      </c>
      <c r="L304" s="25" t="s">
        <v>1903</v>
      </c>
      <c r="M304" s="25"/>
      <c r="N304" s="25"/>
      <c r="O304" s="25"/>
      <c r="P304" s="25"/>
      <c r="Q304" s="25"/>
      <c r="R304" s="25"/>
      <c r="S304" s="25"/>
      <c r="T304" s="351" t="b" cm="1">
        <f t="array" aca="1" ref="T304" ca="1">T303</f>
        <v>1</v>
      </c>
      <c r="U304" s="25"/>
      <c r="V304" s="25"/>
      <c r="W304" s="25"/>
      <c r="X304" s="1046"/>
      <c r="Z304" s="1008"/>
      <c r="AB304" s="7" t="str">
        <f>D304&amp;".6"</f>
        <v>11.6</v>
      </c>
      <c r="AC304" s="127" t="s">
        <v>1905</v>
      </c>
      <c r="AD304" s="7" t="s">
        <v>1647</v>
      </c>
      <c r="AE304" s="128">
        <f ca="1">IF(AE298=0,0,AE295/AE298)</f>
        <v>63.139971587958037</v>
      </c>
      <c r="AF304" s="128">
        <f ca="1">IF(AF298=0,0,AF295/AF298)</f>
        <v>22.200722047995523</v>
      </c>
      <c r="AG304" s="128">
        <f ca="1">IF(AG298=0,0,AG295/AG298)</f>
        <v>22.19789902586642</v>
      </c>
      <c r="AH304" s="170">
        <f ca="1">AG304-AF304</f>
        <v>-2.8230221291032365E-3</v>
      </c>
      <c r="AI304" s="128">
        <v>59.169999773000001</v>
      </c>
      <c r="AJ304" s="128">
        <f t="shared" ref="AJ304:BC304" ca="1" si="87">IF(AJ298=0,0,AJ295/AJ298)</f>
        <v>75.249115000259238</v>
      </c>
      <c r="AK304" s="128">
        <f t="shared" ca="1" si="87"/>
        <v>76.243479036776222</v>
      </c>
      <c r="AL304" s="128">
        <f t="shared" ca="1" si="87"/>
        <v>79.294350787155921</v>
      </c>
      <c r="AM304" s="128">
        <f t="shared" ca="1" si="87"/>
        <v>0</v>
      </c>
      <c r="AN304" s="128">
        <f t="shared" ca="1" si="87"/>
        <v>0</v>
      </c>
      <c r="AO304" s="128">
        <f t="shared" ca="1" si="87"/>
        <v>0</v>
      </c>
      <c r="AP304" s="128">
        <f t="shared" ca="1" si="87"/>
        <v>0</v>
      </c>
      <c r="AQ304" s="128">
        <f t="shared" ca="1" si="87"/>
        <v>0</v>
      </c>
      <c r="AR304" s="128">
        <f t="shared" ca="1" si="87"/>
        <v>0</v>
      </c>
      <c r="AS304" s="128">
        <f t="shared" ca="1" si="87"/>
        <v>0</v>
      </c>
      <c r="AT304" s="128">
        <f t="shared" ca="1" si="87"/>
        <v>64.082499558524404</v>
      </c>
      <c r="AU304" s="128">
        <f t="shared" ca="1" si="87"/>
        <v>71.245000624274255</v>
      </c>
      <c r="AV304" s="128">
        <f t="shared" ca="1" si="87"/>
        <v>74.564999327936633</v>
      </c>
      <c r="AW304" s="128">
        <f t="shared" ca="1" si="87"/>
        <v>0</v>
      </c>
      <c r="AX304" s="128">
        <f t="shared" ca="1" si="87"/>
        <v>0</v>
      </c>
      <c r="AY304" s="128">
        <f t="shared" ca="1" si="87"/>
        <v>0</v>
      </c>
      <c r="AZ304" s="128">
        <f t="shared" ca="1" si="87"/>
        <v>0</v>
      </c>
      <c r="BA304" s="128">
        <f t="shared" ca="1" si="87"/>
        <v>0</v>
      </c>
      <c r="BB304" s="128">
        <f t="shared" ca="1" si="87"/>
        <v>0</v>
      </c>
      <c r="BC304" s="128">
        <f t="shared" ca="1" si="87"/>
        <v>0</v>
      </c>
      <c r="BD304" s="540"/>
      <c r="BE304" s="540"/>
      <c r="BF304" s="540"/>
      <c r="BG304" s="540"/>
      <c r="BH304" s="540"/>
      <c r="BI304" s="540"/>
      <c r="BJ304" s="540"/>
      <c r="BK304" s="540"/>
      <c r="BL304" s="540"/>
      <c r="BM304" s="540"/>
      <c r="BN304" s="195"/>
      <c r="BO304" s="195"/>
      <c r="BP304" s="195"/>
      <c r="BS304" s="692" t="s">
        <v>1906</v>
      </c>
    </row>
    <row r="305" spans="1:75" s="903" customFormat="1" ht="31.7" customHeight="1">
      <c r="A305" s="76"/>
      <c r="B305" s="331"/>
      <c r="C305" s="27"/>
      <c r="D305" s="27">
        <f>D304+1</f>
        <v>12</v>
      </c>
      <c r="E305" s="557">
        <v>21</v>
      </c>
      <c r="F305" s="3" t="str" cm="1">
        <f t="array" aca="1" ref="F305" ca="1">OFFSET(E305,-1,1)</f>
        <v>1</v>
      </c>
      <c r="G305" s="27"/>
      <c r="H305" s="25"/>
      <c r="I305" s="25" t="s">
        <v>1910</v>
      </c>
      <c r="J305" s="27"/>
      <c r="K305" s="72" t="s">
        <v>1910</v>
      </c>
      <c r="L305" s="27" t="s">
        <v>1907</v>
      </c>
      <c r="M305" s="27"/>
      <c r="N305" s="27"/>
      <c r="O305" s="27"/>
      <c r="P305" s="27"/>
      <c r="Q305" s="27"/>
      <c r="R305" s="27"/>
      <c r="S305" s="27"/>
      <c r="T305" s="351" t="b" cm="1">
        <f t="array" aca="1" ref="T305" ca="1">T304</f>
        <v>1</v>
      </c>
      <c r="U305" s="27"/>
      <c r="V305" s="27"/>
      <c r="W305" s="27"/>
      <c r="X305" s="1046"/>
      <c r="Y305" s="76"/>
      <c r="Z305" s="1008"/>
      <c r="AA305" s="76"/>
      <c r="AB305" s="124" cm="1">
        <f t="array" ref="AB305">D305</f>
        <v>12</v>
      </c>
      <c r="AC305" s="125" t="s">
        <v>1908</v>
      </c>
      <c r="AD305" s="124" t="s">
        <v>859</v>
      </c>
      <c r="AE305" s="138">
        <f ca="1">IF(AE298=0,0,AE295/AE298*AE306)</f>
        <v>8240.5473336770665</v>
      </c>
      <c r="AF305" s="138">
        <f ca="1">IF(AF298=0,0,AF295/AF298*AF306)</f>
        <v>21677.76183943294</v>
      </c>
      <c r="AG305" s="138">
        <f ca="1">IF(AG298=0,0,AG295/AG298*AG306)</f>
        <v>21675.00531641311</v>
      </c>
      <c r="AH305" s="126">
        <f ca="1">AH307*AH308+AH309*AH310</f>
        <v>0</v>
      </c>
      <c r="AI305" s="138">
        <v>220181.87893614799</v>
      </c>
      <c r="AJ305" s="138">
        <f t="shared" ref="AJ305:BC305" ca="1" si="88">IF(AJ298=0,0,AJ295/AJ298*AJ306)</f>
        <v>263304.55454298208</v>
      </c>
      <c r="AK305" s="138">
        <f t="shared" ca="1" si="88"/>
        <v>266783.93871497887</v>
      </c>
      <c r="AL305" s="138">
        <f t="shared" ca="1" si="88"/>
        <v>277459.25931109121</v>
      </c>
      <c r="AM305" s="138">
        <f t="shared" ca="1" si="88"/>
        <v>0</v>
      </c>
      <c r="AN305" s="138">
        <f t="shared" ca="1" si="88"/>
        <v>0</v>
      </c>
      <c r="AO305" s="138">
        <f t="shared" ca="1" si="88"/>
        <v>0</v>
      </c>
      <c r="AP305" s="138">
        <f t="shared" ca="1" si="88"/>
        <v>0</v>
      </c>
      <c r="AQ305" s="138">
        <f t="shared" ca="1" si="88"/>
        <v>0</v>
      </c>
      <c r="AR305" s="138">
        <f t="shared" ca="1" si="88"/>
        <v>0</v>
      </c>
      <c r="AS305" s="138">
        <f t="shared" ca="1" si="88"/>
        <v>0</v>
      </c>
      <c r="AT305" s="138">
        <f t="shared" ca="1" si="88"/>
        <v>224231.41576495537</v>
      </c>
      <c r="AU305" s="138">
        <f t="shared" ca="1" si="88"/>
        <v>249293.76142025137</v>
      </c>
      <c r="AV305" s="138">
        <f t="shared" ca="1" si="88"/>
        <v>260910.78657982947</v>
      </c>
      <c r="AW305" s="138">
        <f t="shared" ca="1" si="88"/>
        <v>0</v>
      </c>
      <c r="AX305" s="138">
        <f t="shared" ca="1" si="88"/>
        <v>0</v>
      </c>
      <c r="AY305" s="138">
        <f t="shared" ca="1" si="88"/>
        <v>0</v>
      </c>
      <c r="AZ305" s="138">
        <f t="shared" ca="1" si="88"/>
        <v>0</v>
      </c>
      <c r="BA305" s="138">
        <f t="shared" ca="1" si="88"/>
        <v>0</v>
      </c>
      <c r="BB305" s="138">
        <f t="shared" ca="1" si="88"/>
        <v>0</v>
      </c>
      <c r="BC305" s="138">
        <f t="shared" ca="1" si="88"/>
        <v>0</v>
      </c>
      <c r="BD305" s="126">
        <f ca="1">IF(AI305=0,0,(AT305-AI305)/AI305*100)</f>
        <v>1.839178068773649</v>
      </c>
      <c r="BE305" s="126">
        <f t="shared" ref="BE305:BM305" ca="1" si="89">IF(AT305=0,0,(AU305-AT305)/AT305*100)</f>
        <v>11.177000140589994</v>
      </c>
      <c r="BF305" s="126">
        <f t="shared" ca="1" si="89"/>
        <v>4.6599742782951132</v>
      </c>
      <c r="BG305" s="126">
        <f t="shared" ca="1" si="89"/>
        <v>-100</v>
      </c>
      <c r="BH305" s="126">
        <f t="shared" ca="1" si="89"/>
        <v>0</v>
      </c>
      <c r="BI305" s="126">
        <f t="shared" ca="1" si="89"/>
        <v>0</v>
      </c>
      <c r="BJ305" s="126">
        <f t="shared" ca="1" si="89"/>
        <v>0</v>
      </c>
      <c r="BK305" s="126">
        <f t="shared" ca="1" si="89"/>
        <v>0</v>
      </c>
      <c r="BL305" s="126">
        <f t="shared" ca="1" si="89"/>
        <v>0</v>
      </c>
      <c r="BM305" s="126">
        <f t="shared" ca="1" si="89"/>
        <v>0</v>
      </c>
      <c r="BN305" s="195"/>
      <c r="BO305" s="195"/>
      <c r="BP305" s="195"/>
      <c r="BQ305" s="76"/>
      <c r="BR305" s="76"/>
      <c r="BS305" s="693" t="s">
        <v>1909</v>
      </c>
      <c r="BT305" s="700"/>
      <c r="BU305" s="700"/>
      <c r="BV305" s="509"/>
      <c r="BW305" s="509"/>
    </row>
    <row r="306" spans="1:75" s="903" customFormat="1" ht="33.200000000000003" customHeight="1">
      <c r="A306" s="76"/>
      <c r="B306" s="331"/>
      <c r="C306" s="27"/>
      <c r="D306" s="27">
        <f>D305+1</f>
        <v>13</v>
      </c>
      <c r="E306" s="557">
        <v>21</v>
      </c>
      <c r="F306" s="3" t="str" cm="1">
        <f t="array" aca="1" ref="F306" ca="1">OFFSET(E306,-1,1)</f>
        <v>1</v>
      </c>
      <c r="G306" s="25" t="s">
        <v>1669</v>
      </c>
      <c r="H306" s="25"/>
      <c r="I306" s="25" t="s">
        <v>2213</v>
      </c>
      <c r="J306" s="27"/>
      <c r="K306" s="72" t="s">
        <v>2213</v>
      </c>
      <c r="L306" s="27" t="s">
        <v>1910</v>
      </c>
      <c r="M306" s="27"/>
      <c r="N306" s="27"/>
      <c r="O306" s="27"/>
      <c r="P306" s="27"/>
      <c r="Q306" s="27"/>
      <c r="R306" s="27"/>
      <c r="S306" s="27"/>
      <c r="T306" s="351" t="b" cm="1">
        <f t="array" aca="1" ref="T306" ca="1">T305</f>
        <v>1</v>
      </c>
      <c r="U306" s="27"/>
      <c r="V306" s="27"/>
      <c r="W306" s="27"/>
      <c r="X306" s="1046"/>
      <c r="Y306" s="76"/>
      <c r="Z306" s="1008"/>
      <c r="AA306" s="76"/>
      <c r="AB306" s="124" cm="1">
        <f t="array" ref="AB306">D306</f>
        <v>13</v>
      </c>
      <c r="AC306" s="125" t="s">
        <v>1911</v>
      </c>
      <c r="AD306" s="124" t="s">
        <v>585</v>
      </c>
      <c r="AE306" s="550">
        <f ca="1">SUMIFS(Баланс!AE$26:AE$209,Баланс!$F$26:$F$209,$F306,Баланс!$G$26:$G$209,"население")</f>
        <v>130.51237</v>
      </c>
      <c r="AF306" s="550">
        <f ca="1">SUMIFS(Баланс!AF$26:AF$209,Баланс!$F$26:$F$209,$F306,Баланс!$G$26:$G$209,"население")</f>
        <v>976.44399999999996</v>
      </c>
      <c r="AG306" s="550">
        <f ca="1">SUMIFS(Баланс!AG$26:AG$209,Баланс!$F$26:$F$209,$F306,Баланс!$G$26:$G$209,"население")</f>
        <v>976.44399999999996</v>
      </c>
      <c r="AH306" s="550">
        <f t="shared" ref="AH306:AH314" ca="1" si="90">AG306-AF306</f>
        <v>0</v>
      </c>
      <c r="AI306" s="550">
        <f ca="1">SUMIFS(Баланс!AH$26:AH$209,Баланс!$F$26:$F$209,$F306,Баланс!$G$26:$G$209,"население")</f>
        <v>3721.1742399999998</v>
      </c>
      <c r="AJ306" s="550">
        <f ca="1">SUMIFS(Баланс!AI$26:AI$209,Баланс!$F$26:$F$209,$F306,Баланс!$G$26:$G$209,"население")</f>
        <v>3499.105</v>
      </c>
      <c r="AK306" s="550">
        <f ca="1">SUMIFS(Баланс!AJ$26:AJ$209,Баланс!$F$26:$F$209,$F306,Баланс!$G$26:$G$209,"население")</f>
        <v>3499.105</v>
      </c>
      <c r="AL306" s="550">
        <f ca="1">SUMIFS(Баланс!AK$26:AK$209,Баланс!$F$26:$F$209,$F306,Баланс!$G$26:$G$209,"население")</f>
        <v>3499.105</v>
      </c>
      <c r="AM306" s="550">
        <f ca="1">SUMIFS(Баланс!AL$26:AL$209,Баланс!$F$26:$F$209,$F306,Баланс!$G$26:$G$209,"население")</f>
        <v>0</v>
      </c>
      <c r="AN306" s="550">
        <f ca="1">SUMIFS(Баланс!AM$26:AM$209,Баланс!$F$26:$F$209,$F306,Баланс!$G$26:$G$209,"население")</f>
        <v>0</v>
      </c>
      <c r="AO306" s="550">
        <f ca="1">SUMIFS(Баланс!AN$26:AN$209,Баланс!$F$26:$F$209,$F306,Баланс!$G$26:$G$209,"население")</f>
        <v>0</v>
      </c>
      <c r="AP306" s="550">
        <f ca="1">SUMIFS(Баланс!AO$26:AO$209,Баланс!$F$26:$F$209,$F306,Баланс!$G$26:$G$209,"население")</f>
        <v>0</v>
      </c>
      <c r="AQ306" s="550">
        <f ca="1">SUMIFS(Баланс!AP$26:AP$209,Баланс!$F$26:$F$209,$F306,Баланс!$G$26:$G$209,"население")</f>
        <v>0</v>
      </c>
      <c r="AR306" s="550">
        <f ca="1">SUMIFS(Баланс!AQ$26:AQ$209,Баланс!$F$26:$F$209,$F306,Баланс!$G$26:$G$209,"население")</f>
        <v>0</v>
      </c>
      <c r="AS306" s="550">
        <f ca="1">SUMIFS(Баланс!AR$26:AR$209,Баланс!$F$26:$F$209,$F306,Баланс!$G$26:$G$209,"население")</f>
        <v>0</v>
      </c>
      <c r="AT306" s="550">
        <f ca="1">SUMIFS(Баланс!AS$26:AS$209,Баланс!$F$26:$F$209,$F306,Баланс!$G$26:$G$209,"население")</f>
        <v>3499.1053299999999</v>
      </c>
      <c r="AU306" s="550">
        <f ca="1">SUMIFS(Баланс!AT$26:AT$209,Баланс!$F$26:$F$209,$F306,Баланс!$G$26:$G$209,"население")</f>
        <v>3499.1053299999999</v>
      </c>
      <c r="AV306" s="550">
        <f ca="1">SUMIFS(Баланс!AU$26:AU$209,Баланс!$F$26:$F$209,$F306,Баланс!$G$26:$G$209,"население")</f>
        <v>3499.1053299999999</v>
      </c>
      <c r="AW306" s="550">
        <f ca="1">SUMIFS(Баланс!AV$26:AV$209,Баланс!$F$26:$F$209,$F306,Баланс!$G$26:$G$209,"население")</f>
        <v>0</v>
      </c>
      <c r="AX306" s="550">
        <f ca="1">SUMIFS(Баланс!AW$26:AW$209,Баланс!$F$26:$F$209,$F306,Баланс!$G$26:$G$209,"население")</f>
        <v>0</v>
      </c>
      <c r="AY306" s="550">
        <f ca="1">SUMIFS(Баланс!AX$26:AX$209,Баланс!$F$26:$F$209,$F306,Баланс!$G$26:$G$209,"население")</f>
        <v>0</v>
      </c>
      <c r="AZ306" s="550">
        <f ca="1">SUMIFS(Баланс!AY$26:AY$209,Баланс!$F$26:$F$209,$F306,Баланс!$G$26:$G$209,"население")</f>
        <v>0</v>
      </c>
      <c r="BA306" s="550">
        <f ca="1">SUMIFS(Баланс!AZ$26:AZ$209,Баланс!$F$26:$F$209,$F306,Баланс!$G$26:$G$209,"население")</f>
        <v>0</v>
      </c>
      <c r="BB306" s="550">
        <f ca="1">SUMIFS(Баланс!BA$26:BA$209,Баланс!$F$26:$F$209,$F306,Баланс!$G$26:$G$209,"население")</f>
        <v>0</v>
      </c>
      <c r="BC306" s="550">
        <f ca="1">SUMIFS(Баланс!BB$26:BB$209,Баланс!$F$26:$F$209,$F306,Баланс!$G$26:$G$209,"население")</f>
        <v>0</v>
      </c>
      <c r="BD306" s="129"/>
      <c r="BE306" s="129"/>
      <c r="BF306" s="129"/>
      <c r="BG306" s="129"/>
      <c r="BH306" s="129"/>
      <c r="BI306" s="129"/>
      <c r="BJ306" s="129"/>
      <c r="BK306" s="129"/>
      <c r="BL306" s="129"/>
      <c r="BM306" s="129"/>
      <c r="BN306" s="195"/>
      <c r="BO306" s="195"/>
      <c r="BP306" s="195"/>
      <c r="BQ306" s="76"/>
      <c r="BR306" s="76"/>
      <c r="BS306" s="693" t="s">
        <v>1912</v>
      </c>
      <c r="BT306" s="700"/>
      <c r="BU306" s="700"/>
      <c r="BV306" s="509"/>
      <c r="BW306" s="509"/>
    </row>
    <row r="307" spans="1:75" ht="39.200000000000003" customHeight="1">
      <c r="C307" s="25"/>
      <c r="D307" s="25" cm="1">
        <f t="array" ref="D307">D306</f>
        <v>13</v>
      </c>
      <c r="E307" s="449">
        <v>15</v>
      </c>
      <c r="F307" s="3" t="str" cm="1">
        <f t="array" aca="1" ref="F307" ca="1">OFFSET(E307,-1,1)</f>
        <v>1</v>
      </c>
      <c r="G307" s="25" t="s">
        <v>1703</v>
      </c>
      <c r="H307" s="25"/>
      <c r="I307" s="25" t="s">
        <v>2214</v>
      </c>
      <c r="J307" s="25"/>
      <c r="K307" s="72" t="s">
        <v>2214</v>
      </c>
      <c r="L307" s="25" t="s">
        <v>1913</v>
      </c>
      <c r="M307" s="25"/>
      <c r="N307" s="25"/>
      <c r="O307" s="25"/>
      <c r="P307" s="25"/>
      <c r="Q307" s="25"/>
      <c r="R307" s="25"/>
      <c r="S307" s="25"/>
      <c r="T307" s="351" t="b" cm="1">
        <f t="array" aca="1" ref="T307" ca="1">T306</f>
        <v>1</v>
      </c>
      <c r="U307" s="25"/>
      <c r="V307" s="25"/>
      <c r="W307" s="25"/>
      <c r="X307" s="1046"/>
      <c r="Z307" s="1008"/>
      <c r="AB307" s="7" t="str">
        <f>D307&amp;".1"</f>
        <v>13.1</v>
      </c>
      <c r="AC307" s="127" t="s">
        <v>1915</v>
      </c>
      <c r="AD307" s="7" t="s">
        <v>585</v>
      </c>
      <c r="AE307" s="442">
        <f ca="1">AE306/2</f>
        <v>65.256185000000002</v>
      </c>
      <c r="AF307" s="442">
        <f ca="1">AF306/2</f>
        <v>488.22199999999998</v>
      </c>
      <c r="AG307" s="442">
        <f ca="1">AG306/2</f>
        <v>488.22199999999998</v>
      </c>
      <c r="AH307" s="556">
        <f t="shared" ca="1" si="90"/>
        <v>0</v>
      </c>
      <c r="AI307" s="442">
        <v>1860.5871199999999</v>
      </c>
      <c r="AJ307" s="442">
        <f ca="1">IF(god=2026,AJ306/12*9,AJ306/2)</f>
        <v>2624.3287500000001</v>
      </c>
      <c r="AK307" s="442">
        <f ca="1">IF(god=2025,AK306/12*9,AK306/2)</f>
        <v>1749.5525</v>
      </c>
      <c r="AL307" s="442">
        <f t="shared" ref="AL307:AS307" ca="1" si="91">AL306/2</f>
        <v>1749.5525</v>
      </c>
      <c r="AM307" s="442">
        <f t="shared" ca="1" si="91"/>
        <v>0</v>
      </c>
      <c r="AN307" s="442">
        <f t="shared" ca="1" si="91"/>
        <v>0</v>
      </c>
      <c r="AO307" s="442">
        <f t="shared" ca="1" si="91"/>
        <v>0</v>
      </c>
      <c r="AP307" s="442">
        <f t="shared" ca="1" si="91"/>
        <v>0</v>
      </c>
      <c r="AQ307" s="442">
        <f t="shared" ca="1" si="91"/>
        <v>0</v>
      </c>
      <c r="AR307" s="442">
        <f t="shared" ca="1" si="91"/>
        <v>0</v>
      </c>
      <c r="AS307" s="442">
        <f t="shared" ca="1" si="91"/>
        <v>0</v>
      </c>
      <c r="AT307" s="442">
        <f ca="1">IF(god=2026,AT306/12*9,AT306/2)</f>
        <v>2624.3289974999998</v>
      </c>
      <c r="AU307" s="442">
        <f ca="1">IF(god=2025,AU306/12*9,AU306/2)</f>
        <v>1749.5526649999999</v>
      </c>
      <c r="AV307" s="442">
        <f t="shared" ref="AV307:BC307" ca="1" si="92">AV306/2</f>
        <v>1749.5526649999999</v>
      </c>
      <c r="AW307" s="442">
        <f t="shared" ca="1" si="92"/>
        <v>0</v>
      </c>
      <c r="AX307" s="442">
        <f t="shared" ca="1" si="92"/>
        <v>0</v>
      </c>
      <c r="AY307" s="442">
        <f t="shared" ca="1" si="92"/>
        <v>0</v>
      </c>
      <c r="AZ307" s="442">
        <f t="shared" ca="1" si="92"/>
        <v>0</v>
      </c>
      <c r="BA307" s="442">
        <f t="shared" ca="1" si="92"/>
        <v>0</v>
      </c>
      <c r="BB307" s="442">
        <f t="shared" ca="1" si="92"/>
        <v>0</v>
      </c>
      <c r="BC307" s="442">
        <f t="shared" ca="1" si="92"/>
        <v>0</v>
      </c>
      <c r="BD307" s="540"/>
      <c r="BE307" s="540"/>
      <c r="BF307" s="540"/>
      <c r="BG307" s="540"/>
      <c r="BH307" s="540"/>
      <c r="BI307" s="540"/>
      <c r="BJ307" s="540"/>
      <c r="BK307" s="540"/>
      <c r="BL307" s="540"/>
      <c r="BM307" s="540"/>
      <c r="BN307" s="195"/>
      <c r="BO307" s="195"/>
      <c r="BP307" s="195"/>
      <c r="BS307" s="692" t="s">
        <v>1916</v>
      </c>
    </row>
    <row r="308" spans="1:75" ht="36.950000000000003" customHeight="1">
      <c r="C308" s="25"/>
      <c r="D308" s="25" cm="1">
        <f t="array" ref="D308">D307</f>
        <v>13</v>
      </c>
      <c r="E308" s="449">
        <v>15</v>
      </c>
      <c r="F308" s="3" t="str" cm="1">
        <f t="array" aca="1" ref="F308" ca="1">OFFSET(E308,-1,1)</f>
        <v>1</v>
      </c>
      <c r="G308" s="25" t="s">
        <v>1659</v>
      </c>
      <c r="H308" s="25"/>
      <c r="I308" s="25" t="s">
        <v>2215</v>
      </c>
      <c r="J308" s="25"/>
      <c r="K308" s="72" t="s">
        <v>2215</v>
      </c>
      <c r="L308" s="25" t="s">
        <v>1917</v>
      </c>
      <c r="M308" s="25"/>
      <c r="N308" s="25"/>
      <c r="O308" s="25"/>
      <c r="P308" s="25"/>
      <c r="Q308" s="25"/>
      <c r="R308" s="25"/>
      <c r="S308" s="25"/>
      <c r="T308" s="351" t="b" cm="1">
        <f t="array" aca="1" ref="T308" ca="1">T307</f>
        <v>1</v>
      </c>
      <c r="U308" s="25"/>
      <c r="V308" s="25"/>
      <c r="W308" s="25"/>
      <c r="X308" s="1046"/>
      <c r="Z308" s="1008"/>
      <c r="AB308" s="7" t="str">
        <f>D308&amp;".2"</f>
        <v>13.2</v>
      </c>
      <c r="AC308" s="127" t="s">
        <v>1919</v>
      </c>
      <c r="AD308" s="7" t="s">
        <v>1647</v>
      </c>
      <c r="AE308" s="128">
        <f ca="1">IF(AE306=0,0,AE300*(1+Сценарии!AE$26))</f>
        <v>0</v>
      </c>
      <c r="AF308" s="128">
        <f ca="1">IF(AF306=0,0,AF300*(1+Сценарии!AF$26))</f>
        <v>0</v>
      </c>
      <c r="AG308" s="128">
        <f ca="1">IF(AG306=0,0,AG300*(1+Сценарии!AG$26))</f>
        <v>0</v>
      </c>
      <c r="AH308" s="170">
        <f t="shared" ca="1" si="90"/>
        <v>0</v>
      </c>
      <c r="AI308" s="128">
        <v>66.983999999999995</v>
      </c>
      <c r="AJ308" s="128">
        <f ca="1">IF(AJ306=0,0,AJ300*(1+Сценарии!AJ$26))</f>
        <v>75.024000000000001</v>
      </c>
      <c r="AK308" s="128">
        <f ca="1">IF(AK306=0,0,AK300*(1+Сценарии!AO$26))</f>
        <v>76.239999999999995</v>
      </c>
      <c r="AL308" s="128">
        <f ca="1">IF(AL306=0,0,AL300*(1+Сценарии!AP$26))</f>
        <v>76.25</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 ca="1">IF(AT306=0,0,AT300*(1+Сценарии!AK$26))</f>
        <v>76.2744</v>
      </c>
      <c r="AU308" s="128">
        <f ca="1">IF(AU306=0,0,AU300*(1+Сценарии!AX$26))</f>
        <v>83.899397845599069</v>
      </c>
      <c r="AV308" s="128">
        <f ca="1">IF(AV306=0,0,AV300*(1+Сценарии!AY$26))</f>
        <v>89.938403677630092</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0"/>
      <c r="BE308" s="540"/>
      <c r="BF308" s="540"/>
      <c r="BG308" s="540"/>
      <c r="BH308" s="540"/>
      <c r="BI308" s="540"/>
      <c r="BJ308" s="540"/>
      <c r="BK308" s="540"/>
      <c r="BL308" s="540"/>
      <c r="BM308" s="540"/>
      <c r="BN308" s="195"/>
      <c r="BO308" s="195"/>
      <c r="BP308" s="195"/>
      <c r="BS308" s="692" t="s">
        <v>1920</v>
      </c>
    </row>
    <row r="309" spans="1:75" ht="38.450000000000003" customHeight="1">
      <c r="C309" s="25"/>
      <c r="D309" s="25" cm="1">
        <f t="array" ref="D309">D308</f>
        <v>13</v>
      </c>
      <c r="E309" s="449">
        <v>15</v>
      </c>
      <c r="F309" s="3" t="str" cm="1">
        <f t="array" aca="1" ref="F309" ca="1">OFFSET(E309,-1,1)</f>
        <v>1</v>
      </c>
      <c r="G309" s="25" t="s">
        <v>1710</v>
      </c>
      <c r="H309" s="25"/>
      <c r="I309" s="25" t="s">
        <v>2216</v>
      </c>
      <c r="J309" s="25"/>
      <c r="K309" s="25" t="s">
        <v>2216</v>
      </c>
      <c r="L309" s="25" t="s">
        <v>1921</v>
      </c>
      <c r="M309" s="25"/>
      <c r="N309" s="25"/>
      <c r="O309" s="25"/>
      <c r="P309" s="25"/>
      <c r="Q309" s="25"/>
      <c r="R309" s="25"/>
      <c r="S309" s="25"/>
      <c r="T309" s="351" t="b" cm="1">
        <f t="array" aca="1" ref="T309" ca="1">T308</f>
        <v>1</v>
      </c>
      <c r="U309" s="25"/>
      <c r="V309" s="25"/>
      <c r="W309" s="25"/>
      <c r="X309" s="1046"/>
      <c r="Z309" s="1008"/>
      <c r="AB309" s="7" t="str">
        <f>D309&amp;".3"</f>
        <v>13.3</v>
      </c>
      <c r="AC309" s="127" t="s">
        <v>1893</v>
      </c>
      <c r="AD309" s="7" t="s">
        <v>585</v>
      </c>
      <c r="AE309" s="556">
        <f ca="1">AE306-AE307</f>
        <v>65.256185000000002</v>
      </c>
      <c r="AF309" s="556">
        <f ca="1">AF306-AF307</f>
        <v>488.22199999999998</v>
      </c>
      <c r="AG309" s="556">
        <f ca="1">AG306-AG307</f>
        <v>488.22199999999998</v>
      </c>
      <c r="AH309" s="556">
        <f t="shared" ca="1" si="90"/>
        <v>0</v>
      </c>
      <c r="AI309" s="556">
        <f t="shared" ref="AI309:BC309" ca="1" si="93">AI306-AI307</f>
        <v>1860.5871199999999</v>
      </c>
      <c r="AJ309" s="556">
        <f t="shared" ca="1" si="93"/>
        <v>874.77624999999989</v>
      </c>
      <c r="AK309" s="556">
        <f t="shared" ca="1" si="93"/>
        <v>1749.5525</v>
      </c>
      <c r="AL309" s="556">
        <f t="shared" ca="1" si="93"/>
        <v>1749.5525</v>
      </c>
      <c r="AM309" s="556">
        <f t="shared" ca="1" si="93"/>
        <v>0</v>
      </c>
      <c r="AN309" s="556">
        <f t="shared" ca="1" si="93"/>
        <v>0</v>
      </c>
      <c r="AO309" s="556">
        <f t="shared" ca="1" si="93"/>
        <v>0</v>
      </c>
      <c r="AP309" s="556">
        <f t="shared" ca="1" si="93"/>
        <v>0</v>
      </c>
      <c r="AQ309" s="556">
        <f t="shared" ca="1" si="93"/>
        <v>0</v>
      </c>
      <c r="AR309" s="556">
        <f t="shared" ca="1" si="93"/>
        <v>0</v>
      </c>
      <c r="AS309" s="556">
        <f t="shared" ca="1" si="93"/>
        <v>0</v>
      </c>
      <c r="AT309" s="556">
        <f t="shared" ca="1" si="93"/>
        <v>874.77633250000008</v>
      </c>
      <c r="AU309" s="556">
        <f t="shared" ca="1" si="93"/>
        <v>1749.5526649999999</v>
      </c>
      <c r="AV309" s="556">
        <f t="shared" ca="1" si="93"/>
        <v>1749.5526649999999</v>
      </c>
      <c r="AW309" s="556">
        <f t="shared" ca="1" si="93"/>
        <v>0</v>
      </c>
      <c r="AX309" s="556">
        <f t="shared" ca="1" si="93"/>
        <v>0</v>
      </c>
      <c r="AY309" s="556">
        <f t="shared" ca="1" si="93"/>
        <v>0</v>
      </c>
      <c r="AZ309" s="556">
        <f t="shared" ca="1" si="93"/>
        <v>0</v>
      </c>
      <c r="BA309" s="556">
        <f t="shared" ca="1" si="93"/>
        <v>0</v>
      </c>
      <c r="BB309" s="556">
        <f t="shared" ca="1" si="93"/>
        <v>0</v>
      </c>
      <c r="BC309" s="556">
        <f t="shared" ca="1" si="93"/>
        <v>0</v>
      </c>
      <c r="BD309" s="540"/>
      <c r="BE309" s="540"/>
      <c r="BF309" s="540"/>
      <c r="BG309" s="540"/>
      <c r="BH309" s="540"/>
      <c r="BI309" s="540"/>
      <c r="BJ309" s="540"/>
      <c r="BK309" s="540"/>
      <c r="BL309" s="540"/>
      <c r="BM309" s="540"/>
      <c r="BN309" s="195"/>
      <c r="BO309" s="195"/>
      <c r="BP309" s="195"/>
      <c r="BS309" s="692" t="s">
        <v>1923</v>
      </c>
    </row>
    <row r="310" spans="1:75" ht="33.950000000000003" customHeight="1">
      <c r="C310" s="25"/>
      <c r="D310" s="25" cm="1">
        <f t="array" ref="D310">D309</f>
        <v>13</v>
      </c>
      <c r="E310" s="449">
        <v>15</v>
      </c>
      <c r="F310" s="3" t="str" cm="1">
        <f t="array" aca="1" ref="F310" ca="1">OFFSET(E310,-1,1)</f>
        <v>1</v>
      </c>
      <c r="G310" s="25" t="s">
        <v>1663</v>
      </c>
      <c r="H310" s="25"/>
      <c r="I310" s="25" t="s">
        <v>2217</v>
      </c>
      <c r="J310" s="25"/>
      <c r="K310" s="25" t="s">
        <v>2217</v>
      </c>
      <c r="L310" s="25" t="s">
        <v>1924</v>
      </c>
      <c r="M310" s="25"/>
      <c r="N310" s="25"/>
      <c r="O310" s="25"/>
      <c r="P310" s="25"/>
      <c r="Q310" s="25"/>
      <c r="R310" s="25"/>
      <c r="S310" s="25"/>
      <c r="T310" s="351" t="b" cm="1">
        <f t="array" aca="1" ref="T310" ca="1">T309</f>
        <v>1</v>
      </c>
      <c r="U310" s="25"/>
      <c r="V310" s="25"/>
      <c r="W310" s="25"/>
      <c r="X310" s="1046"/>
      <c r="Z310" s="1008"/>
      <c r="AB310" s="7" t="str">
        <f>D310&amp;".4"</f>
        <v>13.4</v>
      </c>
      <c r="AC310" s="127" t="s">
        <v>1897</v>
      </c>
      <c r="AD310" s="7" t="s">
        <v>1647</v>
      </c>
      <c r="AE310" s="128">
        <f ca="1">IF(AE306=0,0,AE302*(1+Сценарии!AE$26))</f>
        <v>75.767965905549644</v>
      </c>
      <c r="AF310" s="128">
        <f ca="1">IF(AF306=0,0,AF302*(1+Сценарии!AF$26))</f>
        <v>26.640866457594626</v>
      </c>
      <c r="AG310" s="128">
        <f ca="1">IF(AG306=0,0,AG302*(1+Сценарии!AG$26))</f>
        <v>26.637478831039704</v>
      </c>
      <c r="AH310" s="170">
        <f t="shared" ca="1" si="90"/>
        <v>-3.3876265549217521E-3</v>
      </c>
      <c r="AI310" s="128">
        <v>75.023999455199998</v>
      </c>
      <c r="AJ310" s="128">
        <f ca="1">IF(AJ306=0,0,AJ302*(1+Сценарии!AJ$26))</f>
        <v>105.57387600062219</v>
      </c>
      <c r="AK310" s="128">
        <f ca="1">IF(AK306=0,0,AK302*(1+Сценарии!AO$26))</f>
        <v>76.246958073552435</v>
      </c>
      <c r="AL310" s="128">
        <f ca="1">IF(AL306=0,0,AL302*(1+Сценарии!AP$26))</f>
        <v>82.338701574311841</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 ca="1">IF(AT306=0,0,AT302*(1+Сценарии!AK$26))</f>
        <v>83.899397845599069</v>
      </c>
      <c r="AU310" s="128">
        <f ca="1">IF(AU306=0,0,AU302*(1+Сценарии!AX$26))</f>
        <v>89.938403677630092</v>
      </c>
      <c r="AV310" s="128">
        <f ca="1">IF(AV306=0,0,AV302*(1+Сценарии!AY$26))</f>
        <v>92.000194682535309</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0"/>
      <c r="BE310" s="540"/>
      <c r="BF310" s="540"/>
      <c r="BG310" s="540"/>
      <c r="BH310" s="540"/>
      <c r="BI310" s="540"/>
      <c r="BJ310" s="540"/>
      <c r="BK310" s="540"/>
      <c r="BL310" s="540"/>
      <c r="BM310" s="540"/>
      <c r="BN310" s="195"/>
      <c r="BO310" s="195"/>
      <c r="BP310" s="195"/>
      <c r="BS310" s="692" t="s">
        <v>1927</v>
      </c>
    </row>
    <row r="311" spans="1:75" ht="16.7" customHeight="1">
      <c r="C311" s="25"/>
      <c r="D311" s="25">
        <f>D310+1</f>
        <v>14</v>
      </c>
      <c r="E311" s="449">
        <v>15</v>
      </c>
      <c r="F311" s="3" t="str" cm="1">
        <f t="array" aca="1" ref="F311" ca="1">OFFSET(E311,-1,1)</f>
        <v>1</v>
      </c>
      <c r="G311" s="25"/>
      <c r="H311" s="25"/>
      <c r="I311" s="25"/>
      <c r="J311" s="25"/>
      <c r="K311" s="25"/>
      <c r="L311" s="25"/>
      <c r="M311" s="25"/>
      <c r="N311" s="25"/>
      <c r="O311" s="25"/>
      <c r="P311" s="25"/>
      <c r="Q311" s="25"/>
      <c r="R311" s="25"/>
      <c r="S311" s="25"/>
      <c r="T311" s="351" t="b" cm="1">
        <f t="array" aca="1" ref="T311" ca="1">T310</f>
        <v>1</v>
      </c>
      <c r="U311" s="25"/>
      <c r="V311" s="25"/>
      <c r="W311" s="25"/>
      <c r="X311" s="1046"/>
      <c r="Z311" s="1008"/>
      <c r="AB311" s="124" cm="1">
        <f t="array" ref="AB311">D311</f>
        <v>14</v>
      </c>
      <c r="AC311" s="125" t="s">
        <v>1928</v>
      </c>
      <c r="AD311" s="124" t="s">
        <v>859</v>
      </c>
      <c r="AE311" s="128"/>
      <c r="AF311" s="128"/>
      <c r="AG311" s="128"/>
      <c r="AH311" s="170">
        <f t="shared" si="90"/>
        <v>0</v>
      </c>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540"/>
      <c r="BE311" s="540"/>
      <c r="BF311" s="540"/>
      <c r="BG311" s="540"/>
      <c r="BH311" s="540"/>
      <c r="BI311" s="540"/>
      <c r="BJ311" s="540"/>
      <c r="BK311" s="540"/>
      <c r="BL311" s="540"/>
      <c r="BM311" s="540"/>
      <c r="BN311" s="195"/>
      <c r="BO311" s="195"/>
      <c r="BP311" s="195"/>
      <c r="BS311" s="692" t="s">
        <v>1929</v>
      </c>
    </row>
    <row r="312" spans="1:75" s="374" customFormat="1" ht="20.25" customHeight="1">
      <c r="B312" s="535"/>
      <c r="C312" s="25"/>
      <c r="D312" s="25" cm="1">
        <f t="array" ref="D312">D311</f>
        <v>14</v>
      </c>
      <c r="E312" s="449">
        <v>21</v>
      </c>
      <c r="F312" s="3" t="str" cm="1">
        <f t="array" aca="1" ref="F312" ca="1">OFFSET(E312,-1,1)</f>
        <v>1</v>
      </c>
      <c r="G312" s="25"/>
      <c r="H312" s="25"/>
      <c r="I312" s="25"/>
      <c r="J312" s="25"/>
      <c r="K312" s="25"/>
      <c r="L312" s="25"/>
      <c r="M312" s="25"/>
      <c r="N312" s="25"/>
      <c r="O312" s="25"/>
      <c r="P312" s="25"/>
      <c r="Q312" s="25"/>
      <c r="R312" s="25"/>
      <c r="S312" s="25"/>
      <c r="T312" s="351" t="b" cm="1">
        <f t="array" aca="1" ref="T312" ca="1">T311</f>
        <v>1</v>
      </c>
      <c r="U312" s="25"/>
      <c r="V312" s="25"/>
      <c r="W312" s="25"/>
      <c r="X312" s="1046"/>
      <c r="Z312" s="1008"/>
      <c r="AB312" s="7" t="str">
        <f>D312&amp;".1"</f>
        <v>14.1</v>
      </c>
      <c r="AC312" s="127" t="s">
        <v>1931</v>
      </c>
      <c r="AD312" s="7" t="s">
        <v>859</v>
      </c>
      <c r="AE312" s="128"/>
      <c r="AF312" s="128"/>
      <c r="AG312" s="128"/>
      <c r="AH312" s="170">
        <f t="shared" si="90"/>
        <v>0</v>
      </c>
      <c r="AI312" s="128"/>
      <c r="AJ312" s="128"/>
      <c r="AK312" s="128"/>
      <c r="AL312" s="128"/>
      <c r="AM312" s="128"/>
      <c r="AN312" s="128"/>
      <c r="AO312" s="128"/>
      <c r="AP312" s="128"/>
      <c r="AQ312" s="128"/>
      <c r="AR312" s="128"/>
      <c r="AS312" s="128"/>
      <c r="AT312" s="128"/>
      <c r="AU312" s="128"/>
      <c r="AV312" s="128"/>
      <c r="AW312" s="128"/>
      <c r="AX312" s="128"/>
      <c r="AY312" s="128"/>
      <c r="AZ312" s="128"/>
      <c r="BA312" s="128"/>
      <c r="BB312" s="128"/>
      <c r="BC312" s="128"/>
      <c r="BD312" s="540"/>
      <c r="BE312" s="540"/>
      <c r="BF312" s="540"/>
      <c r="BG312" s="540"/>
      <c r="BH312" s="540"/>
      <c r="BI312" s="540"/>
      <c r="BJ312" s="540"/>
      <c r="BK312" s="540"/>
      <c r="BL312" s="540"/>
      <c r="BM312" s="540"/>
      <c r="BN312" s="195"/>
      <c r="BO312" s="195"/>
      <c r="BP312" s="195"/>
      <c r="BS312" s="692" t="s">
        <v>1932</v>
      </c>
      <c r="BT312" s="701"/>
      <c r="BU312" s="701"/>
      <c r="BV312" s="702"/>
      <c r="BW312" s="702"/>
    </row>
    <row r="313" spans="1:75" s="374" customFormat="1" ht="64.5" customHeight="1">
      <c r="B313" s="535"/>
      <c r="C313" s="25"/>
      <c r="D313" s="25" cm="1">
        <f t="array" ref="D313">D312</f>
        <v>14</v>
      </c>
      <c r="E313" s="449">
        <v>66.599999999999994</v>
      </c>
      <c r="F313" s="3" t="str" cm="1">
        <f t="array" aca="1" ref="F313" ca="1">OFFSET(E313,-1,1)</f>
        <v>1</v>
      </c>
      <c r="G313" s="25"/>
      <c r="H313" s="25"/>
      <c r="I313" s="25"/>
      <c r="J313" s="25"/>
      <c r="K313" s="25"/>
      <c r="L313" s="25"/>
      <c r="M313" s="25"/>
      <c r="N313" s="25"/>
      <c r="O313" s="25"/>
      <c r="P313" s="25"/>
      <c r="Q313" s="25"/>
      <c r="R313" s="25"/>
      <c r="S313" s="25"/>
      <c r="T313" s="351" t="b" cm="1">
        <f t="array" aca="1" ref="T313" ca="1">T312</f>
        <v>1</v>
      </c>
      <c r="U313" s="25"/>
      <c r="V313" s="25"/>
      <c r="W313" s="25"/>
      <c r="X313" s="1046"/>
      <c r="Z313" s="1008"/>
      <c r="AB313" s="7" t="str">
        <f>D313&amp;".2"</f>
        <v>14.2</v>
      </c>
      <c r="AC313" s="127" t="s">
        <v>1934</v>
      </c>
      <c r="AD313" s="7" t="s">
        <v>859</v>
      </c>
      <c r="AE313" s="128"/>
      <c r="AF313" s="128"/>
      <c r="AG313" s="128"/>
      <c r="AH313" s="170">
        <f t="shared" si="90"/>
        <v>0</v>
      </c>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540"/>
      <c r="BE313" s="540"/>
      <c r="BF313" s="540"/>
      <c r="BG313" s="540"/>
      <c r="BH313" s="540"/>
      <c r="BI313" s="540"/>
      <c r="BJ313" s="540"/>
      <c r="BK313" s="540"/>
      <c r="BL313" s="540"/>
      <c r="BM313" s="540"/>
      <c r="BN313" s="195"/>
      <c r="BO313" s="195"/>
      <c r="BP313" s="195"/>
      <c r="BS313" s="692" t="s">
        <v>1935</v>
      </c>
      <c r="BT313" s="701"/>
      <c r="BU313" s="701"/>
      <c r="BV313" s="702"/>
      <c r="BW313" s="702"/>
    </row>
    <row r="314" spans="1:75" s="374" customFormat="1" ht="44.25" customHeight="1">
      <c r="B314" s="535"/>
      <c r="C314" s="25"/>
      <c r="D314" s="25" cm="1">
        <f t="array" ref="D314">D313</f>
        <v>14</v>
      </c>
      <c r="E314" s="449">
        <v>45.6</v>
      </c>
      <c r="F314" s="3" t="str" cm="1">
        <f t="array" aca="1" ref="F314" ca="1">OFFSET(E314,-1,1)</f>
        <v>1</v>
      </c>
      <c r="G314" s="25"/>
      <c r="H314" s="25"/>
      <c r="I314" s="25"/>
      <c r="J314" s="25"/>
      <c r="K314" s="25"/>
      <c r="L314" s="25"/>
      <c r="M314" s="25"/>
      <c r="N314" s="25"/>
      <c r="O314" s="25"/>
      <c r="P314" s="25"/>
      <c r="Q314" s="25"/>
      <c r="R314" s="25"/>
      <c r="S314" s="25"/>
      <c r="T314" s="351" t="b" cm="1">
        <f t="array" aca="1" ref="T314" ca="1">T313</f>
        <v>1</v>
      </c>
      <c r="U314" s="25"/>
      <c r="V314" s="25"/>
      <c r="W314" s="25"/>
      <c r="X314" s="1046"/>
      <c r="Z314" s="1008"/>
      <c r="AB314" s="7" t="str">
        <f>D314&amp;".3"</f>
        <v>14.3</v>
      </c>
      <c r="AC314" s="127" t="s">
        <v>2218</v>
      </c>
      <c r="AD314" s="7" t="s">
        <v>859</v>
      </c>
      <c r="AE314" s="540"/>
      <c r="AF314" s="128"/>
      <c r="AG314" s="128"/>
      <c r="AH314" s="170">
        <f t="shared" si="90"/>
        <v>0</v>
      </c>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c r="BJ314" s="540"/>
      <c r="BK314" s="540"/>
      <c r="BL314" s="540"/>
      <c r="BM314" s="540"/>
      <c r="BN314" s="195"/>
      <c r="BO314" s="195"/>
      <c r="BP314" s="195"/>
      <c r="BS314" s="701" t="s">
        <v>2219</v>
      </c>
      <c r="BT314" s="701"/>
      <c r="BU314" s="701"/>
      <c r="BV314" s="702"/>
      <c r="BW314" s="702"/>
    </row>
    <row r="315" spans="1:75" ht="10.9" customHeight="1">
      <c r="A315"/>
      <c r="B315" s="326"/>
      <c r="C315"/>
      <c r="D315"/>
      <c r="E315" s="452">
        <v>11.25</v>
      </c>
      <c r="F315" s="4"/>
      <c r="G315"/>
      <c r="H315"/>
      <c r="I315"/>
      <c r="J315"/>
      <c r="K315"/>
      <c r="L315"/>
      <c r="M315"/>
      <c r="N315"/>
      <c r="O315"/>
      <c r="P315"/>
      <c r="Q315"/>
      <c r="R315"/>
      <c r="S315"/>
      <c r="T315"/>
      <c r="U315" t="s">
        <v>175</v>
      </c>
      <c r="V315" s="504" t="s">
        <v>2266</v>
      </c>
      <c r="W315"/>
      <c r="X315"/>
      <c r="Y315"/>
      <c r="Z315"/>
      <c r="AA315"/>
      <c r="AB315" s="314"/>
      <c r="AC315" s="18"/>
      <c r="AD315" s="18"/>
      <c r="AE315" s="314"/>
      <c r="AF315" s="314"/>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Q315"/>
      <c r="BR315"/>
      <c r="BS315" s="659"/>
      <c r="BT315" s="659"/>
      <c r="BU315" s="659"/>
      <c r="BV315" s="452"/>
      <c r="BW315" s="452"/>
    </row>
    <row r="316" spans="1:75" ht="14.65" customHeight="1">
      <c r="C316" s="25"/>
      <c r="D316" s="25"/>
      <c r="E316" s="449">
        <v>15</v>
      </c>
      <c r="F316" s="25"/>
      <c r="G316" s="25"/>
      <c r="H316" s="25"/>
      <c r="I316" s="25"/>
      <c r="J316" s="25"/>
      <c r="K316" s="25"/>
      <c r="L316" s="25"/>
      <c r="M316" s="25"/>
      <c r="N316" s="25"/>
      <c r="O316" s="25"/>
      <c r="P316" s="25"/>
      <c r="Q316" s="25"/>
      <c r="R316" s="25"/>
      <c r="S316" s="25"/>
      <c r="T316" s="25"/>
      <c r="U316" s="25"/>
      <c r="V316" s="25"/>
      <c r="W316" s="25"/>
      <c r="X316" s="25"/>
      <c r="AB316" s="1028" t="s">
        <v>396</v>
      </c>
      <c r="AC316" s="1028"/>
      <c r="AD316" s="1028"/>
      <c r="AE316" s="1028"/>
      <c r="AF316" s="1028"/>
      <c r="AG316" s="1028"/>
      <c r="AH316" s="1028"/>
      <c r="AI316" s="1028"/>
      <c r="AJ316" s="1028"/>
      <c r="AK316" s="1028"/>
      <c r="AL316" s="1028"/>
      <c r="AM316" s="1028"/>
      <c r="AN316" s="1028"/>
      <c r="AO316" s="1028"/>
      <c r="AP316" s="1028"/>
      <c r="AQ316" s="1028"/>
      <c r="AR316" s="1028"/>
      <c r="AS316" s="1028"/>
      <c r="AT316" s="1028"/>
      <c r="AU316" s="1028"/>
      <c r="AV316" s="1028"/>
      <c r="AW316" s="1028"/>
      <c r="AX316" s="1028"/>
      <c r="AY316" s="1028"/>
      <c r="AZ316" s="1028"/>
      <c r="BA316" s="1028"/>
      <c r="BB316" s="1028"/>
      <c r="BC316" s="1028"/>
      <c r="BD316" s="1028"/>
      <c r="BE316" s="1028"/>
      <c r="BF316" s="1028"/>
      <c r="BG316" s="1028"/>
      <c r="BH316" s="1028"/>
      <c r="BI316" s="1028"/>
      <c r="BJ316" s="1028"/>
      <c r="BK316" s="1028"/>
      <c r="BL316" s="1028"/>
      <c r="BM316" s="1028"/>
      <c r="BN316" s="1028"/>
      <c r="BO316" s="1028"/>
      <c r="BP316" s="1028"/>
    </row>
    <row r="317" spans="1:75" ht="31.7" customHeight="1">
      <c r="E317" s="505">
        <v>15</v>
      </c>
      <c r="AA317" s="87"/>
      <c r="AB317" s="1095" t="s">
        <v>2267</v>
      </c>
      <c r="AC317" s="1100"/>
      <c r="AD317" s="1100"/>
      <c r="AE317" s="1100"/>
      <c r="AF317" s="1100"/>
      <c r="AG317" s="1100"/>
      <c r="AH317" s="1100"/>
      <c r="AI317" s="1100"/>
      <c r="AJ317" s="1100"/>
      <c r="AK317" s="1100"/>
      <c r="AL317" s="1100"/>
      <c r="AM317" s="1100"/>
      <c r="AN317" s="1100"/>
      <c r="AO317" s="1100"/>
      <c r="AP317" s="1100"/>
      <c r="AQ317" s="1100"/>
      <c r="AR317" s="1100"/>
      <c r="AS317" s="1100"/>
      <c r="AT317" s="1100"/>
      <c r="AU317" s="1100"/>
      <c r="AV317" s="1100"/>
      <c r="AW317" s="1100"/>
      <c r="AX317" s="1100"/>
      <c r="AY317" s="1100"/>
      <c r="AZ317" s="1100"/>
      <c r="BA317" s="1100"/>
      <c r="BB317" s="1100"/>
      <c r="BC317" s="1100"/>
      <c r="BD317" s="1100"/>
      <c r="BE317" s="1100"/>
      <c r="BF317" s="1100"/>
      <c r="BG317" s="1100"/>
      <c r="BH317" s="1100"/>
      <c r="BI317" s="1100"/>
      <c r="BJ317" s="1100"/>
      <c r="BK317" s="1100"/>
      <c r="BL317" s="1100"/>
      <c r="BM317" s="1100"/>
      <c r="BN317" s="1100"/>
      <c r="BO317" s="1100"/>
      <c r="BP317" s="1100"/>
    </row>
    <row r="318" spans="1:75" ht="14.65" hidden="1" customHeight="1">
      <c r="E318" s="505">
        <v>15</v>
      </c>
      <c r="T318" s="351" t="b">
        <f t="shared" ref="T318:T328" si="94">ROW(W318)&gt;ROW(W$318)</f>
        <v>0</v>
      </c>
      <c r="W318" s="72" t="s">
        <v>171</v>
      </c>
      <c r="AA318" s="319" t="s">
        <v>172</v>
      </c>
      <c r="AB318" s="1096" t="s">
        <v>124</v>
      </c>
      <c r="AC318" s="1100"/>
      <c r="AD318" s="1100"/>
      <c r="AE318" s="1100"/>
      <c r="AF318" s="1100"/>
      <c r="AG318" s="1100"/>
      <c r="AH318" s="1100"/>
      <c r="AI318" s="1100"/>
      <c r="AJ318" s="1100"/>
      <c r="AK318" s="1100"/>
      <c r="AL318" s="1100"/>
      <c r="AM318" s="1100"/>
      <c r="AN318" s="1100"/>
      <c r="AO318" s="1100"/>
      <c r="AP318" s="1100"/>
      <c r="AQ318" s="1100"/>
      <c r="AR318" s="1100"/>
      <c r="AS318" s="1100"/>
      <c r="AT318" s="1100"/>
      <c r="AU318" s="1100"/>
      <c r="AV318" s="1100"/>
      <c r="AW318" s="1100"/>
      <c r="AX318" s="1100"/>
      <c r="AY318" s="1100"/>
      <c r="AZ318" s="1100"/>
      <c r="BA318" s="1100"/>
      <c r="BB318" s="1100"/>
      <c r="BC318" s="1100"/>
      <c r="BD318" s="1100"/>
      <c r="BE318" s="1100"/>
      <c r="BF318" s="1100"/>
      <c r="BG318" s="1100"/>
      <c r="BH318" s="1100"/>
      <c r="BI318" s="1100"/>
      <c r="BJ318" s="1100"/>
      <c r="BK318" s="1100"/>
      <c r="BL318" s="1100"/>
      <c r="BM318" s="1100"/>
      <c r="BN318" s="1100"/>
      <c r="BO318" s="1100"/>
      <c r="BP318" s="1100"/>
    </row>
    <row r="319" spans="1:75" ht="38.450000000000003" customHeight="1">
      <c r="E319" s="505">
        <v>15</v>
      </c>
      <c r="T319" s="351" t="b">
        <f t="shared" si="94"/>
        <v>1</v>
      </c>
      <c r="Y319" s="72" t="s">
        <v>124</v>
      </c>
      <c r="AA319" s="319" t="s">
        <v>172</v>
      </c>
      <c r="AB319" s="1095" t="s">
        <v>2268</v>
      </c>
      <c r="AC319" s="1100"/>
      <c r="AD319" s="1100"/>
      <c r="AE319" s="1100"/>
      <c r="AF319" s="1100"/>
      <c r="AG319" s="1100"/>
      <c r="AH319" s="1100"/>
      <c r="AI319" s="1100"/>
      <c r="AJ319" s="1100"/>
      <c r="AK319" s="1100"/>
      <c r="AL319" s="1100"/>
      <c r="AM319" s="1100"/>
      <c r="AN319" s="1100"/>
      <c r="AO319" s="1100"/>
      <c r="AP319" s="1100"/>
      <c r="AQ319" s="1100"/>
      <c r="AR319" s="1100"/>
      <c r="AS319" s="1100"/>
      <c r="AT319" s="1100"/>
      <c r="AU319" s="1100"/>
      <c r="AV319" s="1100"/>
      <c r="AW319" s="1100"/>
      <c r="AX319" s="1100"/>
      <c r="AY319" s="1100"/>
      <c r="AZ319" s="1100"/>
      <c r="BA319" s="1100"/>
      <c r="BB319" s="1100"/>
      <c r="BC319" s="1100"/>
      <c r="BD319" s="1100"/>
      <c r="BE319" s="1100"/>
      <c r="BF319" s="1100"/>
      <c r="BG319" s="1100"/>
      <c r="BH319" s="1100"/>
      <c r="BI319" s="1100"/>
      <c r="BJ319" s="1100"/>
      <c r="BK319" s="1100"/>
      <c r="BL319" s="1100"/>
      <c r="BM319" s="1100"/>
      <c r="BN319" s="1100"/>
      <c r="BO319" s="1100"/>
      <c r="BP319" s="1100"/>
    </row>
    <row r="320" spans="1:75" ht="37.700000000000003" customHeight="1">
      <c r="E320" s="505">
        <v>15</v>
      </c>
      <c r="T320" s="351" t="b">
        <f t="shared" si="94"/>
        <v>1</v>
      </c>
      <c r="Y320" s="72" t="s">
        <v>124</v>
      </c>
      <c r="AA320" s="319" t="s">
        <v>172</v>
      </c>
      <c r="AB320" s="1095" t="s">
        <v>829</v>
      </c>
      <c r="AC320" s="1100"/>
      <c r="AD320" s="1100"/>
      <c r="AE320" s="1100"/>
      <c r="AF320" s="1100"/>
      <c r="AG320" s="1100"/>
      <c r="AH320" s="1100"/>
      <c r="AI320" s="1100"/>
      <c r="AJ320" s="1100"/>
      <c r="AK320" s="1100"/>
      <c r="AL320" s="1100"/>
      <c r="AM320" s="1100"/>
      <c r="AN320" s="1100"/>
      <c r="AO320" s="1100"/>
      <c r="AP320" s="1100"/>
      <c r="AQ320" s="1100"/>
      <c r="AR320" s="1100"/>
      <c r="AS320" s="1100"/>
      <c r="AT320" s="1100"/>
      <c r="AU320" s="1100"/>
      <c r="AV320" s="1100"/>
      <c r="AW320" s="1100"/>
      <c r="AX320" s="1100"/>
      <c r="AY320" s="1100"/>
      <c r="AZ320" s="1100"/>
      <c r="BA320" s="1100"/>
      <c r="BB320" s="1100"/>
      <c r="BC320" s="1100"/>
      <c r="BD320" s="1100"/>
      <c r="BE320" s="1100"/>
      <c r="BF320" s="1100"/>
      <c r="BG320" s="1100"/>
      <c r="BH320" s="1100"/>
      <c r="BI320" s="1100"/>
      <c r="BJ320" s="1100"/>
      <c r="BK320" s="1100"/>
      <c r="BL320" s="1100"/>
      <c r="BM320" s="1100"/>
      <c r="BN320" s="1100"/>
      <c r="BO320" s="1100"/>
      <c r="BP320" s="1100"/>
    </row>
    <row r="321" spans="5:69" ht="31.7" customHeight="1">
      <c r="E321" s="505">
        <v>15</v>
      </c>
      <c r="T321" s="351" t="b">
        <f t="shared" si="94"/>
        <v>1</v>
      </c>
      <c r="Y321" s="72" t="s">
        <v>124</v>
      </c>
      <c r="AA321" s="319" t="s">
        <v>172</v>
      </c>
      <c r="AB321" s="1095" t="s">
        <v>2269</v>
      </c>
      <c r="AC321" s="1100"/>
      <c r="AD321" s="1100"/>
      <c r="AE321" s="1100"/>
      <c r="AF321" s="1100"/>
      <c r="AG321" s="1100"/>
      <c r="AH321" s="1100"/>
      <c r="AI321" s="1100"/>
      <c r="AJ321" s="1100"/>
      <c r="AK321" s="1100"/>
      <c r="AL321" s="1100"/>
      <c r="AM321" s="1100"/>
      <c r="AN321" s="1100"/>
      <c r="AO321" s="1100"/>
      <c r="AP321" s="1100"/>
      <c r="AQ321" s="1100"/>
      <c r="AR321" s="1100"/>
      <c r="AS321" s="1100"/>
      <c r="AT321" s="1100"/>
      <c r="AU321" s="1100"/>
      <c r="AV321" s="1100"/>
      <c r="AW321" s="1100"/>
      <c r="AX321" s="1100"/>
      <c r="AY321" s="1100"/>
      <c r="AZ321" s="1100"/>
      <c r="BA321" s="1100"/>
      <c r="BB321" s="1100"/>
      <c r="BC321" s="1100"/>
      <c r="BD321" s="1100"/>
      <c r="BE321" s="1100"/>
      <c r="BF321" s="1100"/>
      <c r="BG321" s="1100"/>
      <c r="BH321" s="1100"/>
      <c r="BI321" s="1100"/>
      <c r="BJ321" s="1100"/>
      <c r="BK321" s="1100"/>
      <c r="BL321" s="1100"/>
      <c r="BM321" s="1100"/>
      <c r="BN321" s="1100"/>
      <c r="BO321" s="1100"/>
      <c r="BP321" s="1100"/>
    </row>
    <row r="322" spans="5:69" ht="53.45" customHeight="1">
      <c r="E322" s="505">
        <v>15</v>
      </c>
      <c r="T322" s="351" t="b">
        <f t="shared" si="94"/>
        <v>1</v>
      </c>
      <c r="Y322" s="72" t="s">
        <v>124</v>
      </c>
      <c r="AA322" s="319" t="s">
        <v>172</v>
      </c>
      <c r="AB322" s="1095" t="s">
        <v>2270</v>
      </c>
      <c r="AC322" s="1100"/>
      <c r="AD322" s="1100"/>
      <c r="AE322" s="1100"/>
      <c r="AF322" s="1100"/>
      <c r="AG322" s="1100"/>
      <c r="AH322" s="1100"/>
      <c r="AI322" s="1100"/>
      <c r="AJ322" s="1100"/>
      <c r="AK322" s="1100"/>
      <c r="AL322" s="1100"/>
      <c r="AM322" s="1100"/>
      <c r="AN322" s="1100"/>
      <c r="AO322" s="1100"/>
      <c r="AP322" s="1100"/>
      <c r="AQ322" s="1100"/>
      <c r="AR322" s="1100"/>
      <c r="AS322" s="1100"/>
      <c r="AT322" s="1100"/>
      <c r="AU322" s="1100"/>
      <c r="AV322" s="1100"/>
      <c r="AW322" s="1100"/>
      <c r="AX322" s="1100"/>
      <c r="AY322" s="1100"/>
      <c r="AZ322" s="1100"/>
      <c r="BA322" s="1100"/>
      <c r="BB322" s="1100"/>
      <c r="BC322" s="1100"/>
      <c r="BD322" s="1100"/>
      <c r="BE322" s="1100"/>
      <c r="BF322" s="1100"/>
      <c r="BG322" s="1100"/>
      <c r="BH322" s="1100"/>
      <c r="BI322" s="1100"/>
      <c r="BJ322" s="1100"/>
      <c r="BK322" s="1100"/>
      <c r="BL322" s="1100"/>
      <c r="BM322" s="1100"/>
      <c r="BN322" s="1100"/>
      <c r="BO322" s="1100"/>
      <c r="BP322" s="1100"/>
    </row>
    <row r="323" spans="5:69" ht="27.95" customHeight="1">
      <c r="E323" s="505">
        <v>15</v>
      </c>
      <c r="T323" s="351" t="b">
        <f t="shared" si="94"/>
        <v>1</v>
      </c>
      <c r="Y323" s="72" t="s">
        <v>124</v>
      </c>
      <c r="AA323" s="319" t="s">
        <v>172</v>
      </c>
      <c r="AB323" s="1095" t="s">
        <v>2271</v>
      </c>
      <c r="AC323" s="1100"/>
      <c r="AD323" s="1100"/>
      <c r="AE323" s="1100"/>
      <c r="AF323" s="1100"/>
      <c r="AG323" s="1100"/>
      <c r="AH323" s="1100"/>
      <c r="AI323" s="1100"/>
      <c r="AJ323" s="1100"/>
      <c r="AK323" s="1100"/>
      <c r="AL323" s="1100"/>
      <c r="AM323" s="1100"/>
      <c r="AN323" s="1100"/>
      <c r="AO323" s="1100"/>
      <c r="AP323" s="1100"/>
      <c r="AQ323" s="1100"/>
      <c r="AR323" s="1100"/>
      <c r="AS323" s="1100"/>
      <c r="AT323" s="1100"/>
      <c r="AU323" s="1100"/>
      <c r="AV323" s="1100"/>
      <c r="AW323" s="1100"/>
      <c r="AX323" s="1100"/>
      <c r="AY323" s="1100"/>
      <c r="AZ323" s="1100"/>
      <c r="BA323" s="1100"/>
      <c r="BB323" s="1100"/>
      <c r="BC323" s="1100"/>
      <c r="BD323" s="1100"/>
      <c r="BE323" s="1100"/>
      <c r="BF323" s="1100"/>
      <c r="BG323" s="1100"/>
      <c r="BH323" s="1100"/>
      <c r="BI323" s="1100"/>
      <c r="BJ323" s="1100"/>
      <c r="BK323" s="1100"/>
      <c r="BL323" s="1100"/>
      <c r="BM323" s="1100"/>
      <c r="BN323" s="1100"/>
      <c r="BO323" s="1100"/>
      <c r="BP323" s="1100"/>
    </row>
    <row r="324" spans="5:69" ht="40.700000000000003" customHeight="1">
      <c r="E324" s="505">
        <v>15</v>
      </c>
      <c r="T324" s="351" t="b">
        <f t="shared" si="94"/>
        <v>1</v>
      </c>
      <c r="Y324" s="72" t="s">
        <v>124</v>
      </c>
      <c r="AA324" s="319" t="s">
        <v>172</v>
      </c>
      <c r="AB324" s="1095" t="s">
        <v>2272</v>
      </c>
      <c r="AC324" s="1100"/>
      <c r="AD324" s="1100"/>
      <c r="AE324" s="1100"/>
      <c r="AF324" s="1100"/>
      <c r="AG324" s="1100"/>
      <c r="AH324" s="1100"/>
      <c r="AI324" s="1100"/>
      <c r="AJ324" s="1100"/>
      <c r="AK324" s="1100"/>
      <c r="AL324" s="1100"/>
      <c r="AM324" s="1100"/>
      <c r="AN324" s="1100"/>
      <c r="AO324" s="1100"/>
      <c r="AP324" s="1100"/>
      <c r="AQ324" s="1100"/>
      <c r="AR324" s="1100"/>
      <c r="AS324" s="1100"/>
      <c r="AT324" s="1100"/>
      <c r="AU324" s="1100"/>
      <c r="AV324" s="1100"/>
      <c r="AW324" s="1100"/>
      <c r="AX324" s="1100"/>
      <c r="AY324" s="1100"/>
      <c r="AZ324" s="1100"/>
      <c r="BA324" s="1100"/>
      <c r="BB324" s="1100"/>
      <c r="BC324" s="1100"/>
      <c r="BD324" s="1100"/>
      <c r="BE324" s="1100"/>
      <c r="BF324" s="1100"/>
      <c r="BG324" s="1100"/>
      <c r="BH324" s="1100"/>
      <c r="BI324" s="1100"/>
      <c r="BJ324" s="1100"/>
      <c r="BK324" s="1100"/>
      <c r="BL324" s="1100"/>
      <c r="BM324" s="1100"/>
      <c r="BN324" s="1100"/>
      <c r="BO324" s="1100"/>
      <c r="BP324" s="1100"/>
    </row>
    <row r="325" spans="5:69" ht="35.25" customHeight="1">
      <c r="E325" s="505">
        <v>15</v>
      </c>
      <c r="T325" s="351" t="b">
        <f t="shared" si="94"/>
        <v>1</v>
      </c>
      <c r="Y325" s="72" t="s">
        <v>124</v>
      </c>
      <c r="AA325" s="319" t="s">
        <v>172</v>
      </c>
      <c r="AB325" s="1095" t="s">
        <v>4769</v>
      </c>
      <c r="AC325" s="1100"/>
      <c r="AD325" s="1100"/>
      <c r="AE325" s="1100"/>
      <c r="AF325" s="1100"/>
      <c r="AG325" s="1100"/>
      <c r="AH325" s="1100"/>
      <c r="AI325" s="1100"/>
      <c r="AJ325" s="1100"/>
      <c r="AK325" s="1100"/>
      <c r="AL325" s="1100"/>
      <c r="AM325" s="1100"/>
      <c r="AN325" s="1100"/>
      <c r="AO325" s="1100"/>
      <c r="AP325" s="1100"/>
      <c r="AQ325" s="1100"/>
      <c r="AR325" s="1100"/>
      <c r="AS325" s="1100"/>
      <c r="AT325" s="1100"/>
      <c r="AU325" s="1100"/>
      <c r="AV325" s="1100"/>
      <c r="AW325" s="1100"/>
      <c r="AX325" s="1100"/>
      <c r="AY325" s="1100"/>
      <c r="AZ325" s="1100"/>
      <c r="BA325" s="1100"/>
      <c r="BB325" s="1100"/>
      <c r="BC325" s="1100"/>
      <c r="BD325" s="1100"/>
      <c r="BE325" s="1100"/>
      <c r="BF325" s="1100"/>
      <c r="BG325" s="1100"/>
      <c r="BH325" s="1100"/>
      <c r="BI325" s="1100"/>
      <c r="BJ325" s="1100"/>
      <c r="BK325" s="1100"/>
      <c r="BL325" s="1100"/>
      <c r="BM325" s="1100"/>
      <c r="BN325" s="1100"/>
      <c r="BO325" s="1100"/>
      <c r="BP325" s="1100"/>
    </row>
    <row r="326" spans="5:69" ht="31.7" customHeight="1">
      <c r="E326" s="505">
        <v>15</v>
      </c>
      <c r="T326" s="351" t="b">
        <f t="shared" si="94"/>
        <v>1</v>
      </c>
      <c r="Y326" s="72" t="s">
        <v>124</v>
      </c>
      <c r="AA326" s="319" t="s">
        <v>172</v>
      </c>
      <c r="AB326" s="1095" t="s">
        <v>2273</v>
      </c>
      <c r="AC326" s="1100"/>
      <c r="AD326" s="1100"/>
      <c r="AE326" s="1100"/>
      <c r="AF326" s="1100"/>
      <c r="AG326" s="1100"/>
      <c r="AH326" s="1100"/>
      <c r="AI326" s="1100"/>
      <c r="AJ326" s="1100"/>
      <c r="AK326" s="1100"/>
      <c r="AL326" s="1100"/>
      <c r="AM326" s="1100"/>
      <c r="AN326" s="1100"/>
      <c r="AO326" s="1100"/>
      <c r="AP326" s="1100"/>
      <c r="AQ326" s="1100"/>
      <c r="AR326" s="1100"/>
      <c r="AS326" s="1100"/>
      <c r="AT326" s="1100"/>
      <c r="AU326" s="1100"/>
      <c r="AV326" s="1100"/>
      <c r="AW326" s="1100"/>
      <c r="AX326" s="1100"/>
      <c r="AY326" s="1100"/>
      <c r="AZ326" s="1100"/>
      <c r="BA326" s="1100"/>
      <c r="BB326" s="1100"/>
      <c r="BC326" s="1100"/>
      <c r="BD326" s="1100"/>
      <c r="BE326" s="1100"/>
      <c r="BF326" s="1100"/>
      <c r="BG326" s="1100"/>
      <c r="BH326" s="1100"/>
      <c r="BI326" s="1100"/>
      <c r="BJ326" s="1100"/>
      <c r="BK326" s="1100"/>
      <c r="BL326" s="1100"/>
      <c r="BM326" s="1100"/>
      <c r="BN326" s="1100"/>
      <c r="BO326" s="1100"/>
      <c r="BP326" s="1100"/>
    </row>
    <row r="327" spans="5:69" ht="27.2" customHeight="1">
      <c r="E327" s="505">
        <v>15</v>
      </c>
      <c r="T327" s="351" t="b">
        <f t="shared" si="94"/>
        <v>1</v>
      </c>
      <c r="Y327" s="72" t="s">
        <v>124</v>
      </c>
      <c r="AA327" s="319" t="s">
        <v>172</v>
      </c>
      <c r="AB327" s="1095" t="s">
        <v>2274</v>
      </c>
      <c r="AC327" s="1100"/>
      <c r="AD327" s="1100"/>
      <c r="AE327" s="1100"/>
      <c r="AF327" s="1100"/>
      <c r="AG327" s="1100"/>
      <c r="AH327" s="1100"/>
      <c r="AI327" s="1100"/>
      <c r="AJ327" s="1100"/>
      <c r="AK327" s="1100"/>
      <c r="AL327" s="1100"/>
      <c r="AM327" s="1100"/>
      <c r="AN327" s="1100"/>
      <c r="AO327" s="1100"/>
      <c r="AP327" s="1100"/>
      <c r="AQ327" s="1100"/>
      <c r="AR327" s="1100"/>
      <c r="AS327" s="1100"/>
      <c r="AT327" s="1100"/>
      <c r="AU327" s="1100"/>
      <c r="AV327" s="1100"/>
      <c r="AW327" s="1100"/>
      <c r="AX327" s="1100"/>
      <c r="AY327" s="1100"/>
      <c r="AZ327" s="1100"/>
      <c r="BA327" s="1100"/>
      <c r="BB327" s="1100"/>
      <c r="BC327" s="1100"/>
      <c r="BD327" s="1100"/>
      <c r="BE327" s="1100"/>
      <c r="BF327" s="1100"/>
      <c r="BG327" s="1100"/>
      <c r="BH327" s="1100"/>
      <c r="BI327" s="1100"/>
      <c r="BJ327" s="1100"/>
      <c r="BK327" s="1100"/>
      <c r="BL327" s="1100"/>
      <c r="BM327" s="1100"/>
      <c r="BN327" s="1100"/>
      <c r="BO327" s="1100"/>
      <c r="BP327" s="1100"/>
    </row>
    <row r="328" spans="5:69" ht="14.25" customHeight="1">
      <c r="E328" s="505">
        <v>15</v>
      </c>
      <c r="T328" s="351" t="b">
        <f t="shared" si="94"/>
        <v>1</v>
      </c>
      <c r="Y328" s="72" t="s">
        <v>124</v>
      </c>
      <c r="AA328" s="319" t="s">
        <v>172</v>
      </c>
      <c r="AB328" s="1095" t="s">
        <v>124</v>
      </c>
      <c r="AC328" s="1100"/>
      <c r="AD328" s="1100"/>
      <c r="AE328" s="1100"/>
      <c r="AF328" s="1100"/>
      <c r="AG328" s="1100"/>
      <c r="AH328" s="1100"/>
      <c r="AI328" s="1100"/>
      <c r="AJ328" s="1100"/>
      <c r="AK328" s="1100"/>
      <c r="AL328" s="1100"/>
      <c r="AM328" s="1100"/>
      <c r="AN328" s="1100"/>
      <c r="AO328" s="1100"/>
      <c r="AP328" s="1100"/>
      <c r="AQ328" s="1100"/>
      <c r="AR328" s="1100"/>
      <c r="AS328" s="1100"/>
      <c r="AT328" s="1100"/>
      <c r="AU328" s="1100"/>
      <c r="AV328" s="1100"/>
      <c r="AW328" s="1100"/>
      <c r="AX328" s="1100"/>
      <c r="AY328" s="1100"/>
      <c r="AZ328" s="1100"/>
      <c r="BA328" s="1100"/>
      <c r="BB328" s="1100"/>
      <c r="BC328" s="1100"/>
      <c r="BD328" s="1100"/>
      <c r="BE328" s="1100"/>
      <c r="BF328" s="1100"/>
      <c r="BG328" s="1100"/>
      <c r="BH328" s="1100"/>
      <c r="BI328" s="1100"/>
      <c r="BJ328" s="1100"/>
      <c r="BK328" s="1100"/>
      <c r="BL328" s="1100"/>
      <c r="BM328" s="1100"/>
      <c r="BN328" s="1100"/>
      <c r="BO328" s="1100"/>
      <c r="BP328" s="1100"/>
    </row>
    <row r="329" spans="5:69" ht="14.65" customHeight="1">
      <c r="E329" s="505">
        <v>15</v>
      </c>
      <c r="W329" s="504" t="s">
        <v>407</v>
      </c>
      <c r="AB329" s="483"/>
      <c r="AC329" s="380" t="s">
        <v>408</v>
      </c>
      <c r="AD329" s="217"/>
      <c r="AE329" s="217"/>
      <c r="AF329" s="217"/>
      <c r="AG329" s="217"/>
      <c r="AH329" s="217"/>
      <c r="AI329" s="217"/>
      <c r="AJ329" s="217"/>
      <c r="AK329" s="217"/>
      <c r="AL329" s="217"/>
      <c r="AM329" s="217"/>
      <c r="AN329" s="217"/>
      <c r="AO329" s="217"/>
      <c r="AP329" s="217"/>
      <c r="AQ329" s="217"/>
      <c r="AR329" s="217"/>
      <c r="AS329" s="217"/>
      <c r="AT329" s="217"/>
      <c r="AU329" s="217"/>
      <c r="AV329" s="217"/>
      <c r="AW329" s="217"/>
      <c r="AX329" s="217"/>
      <c r="AY329" s="217"/>
      <c r="AZ329" s="217"/>
      <c r="BA329" s="217"/>
      <c r="BB329" s="217"/>
      <c r="BC329" s="217"/>
      <c r="BD329" s="217"/>
      <c r="BE329" s="217"/>
      <c r="BF329" s="217"/>
      <c r="BG329" s="217"/>
      <c r="BH329" s="217"/>
      <c r="BI329" s="217"/>
      <c r="BJ329" s="217"/>
      <c r="BK329" s="217"/>
      <c r="BL329" s="217"/>
      <c r="BM329" s="217"/>
      <c r="BN329" s="217"/>
      <c r="BO329" s="217"/>
      <c r="BP329" s="186"/>
    </row>
    <row r="330" spans="5:69" ht="10.9" customHeight="1">
      <c r="E330" s="505">
        <v>11.25</v>
      </c>
      <c r="BQ330" s="22"/>
    </row>
  </sheetData>
  <sheetProtection formatColumns="0" formatRows="0" insertRows="0" deleteColumns="0" deleteRows="0" sort="0" autoFilter="0"/>
  <mergeCells count="24">
    <mergeCell ref="AB324:BP324"/>
    <mergeCell ref="AB325:BP325"/>
    <mergeCell ref="AB326:BP326"/>
    <mergeCell ref="AB327:BP327"/>
    <mergeCell ref="AB328:BP328"/>
    <mergeCell ref="AB319:BP319"/>
    <mergeCell ref="AB320:BP320"/>
    <mergeCell ref="AB321:BP321"/>
    <mergeCell ref="AB322:BP322"/>
    <mergeCell ref="AB323:BP323"/>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xr:uid="{00000000-0002-0000-1C00-000000000000}">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xr:uid="{00000000-0002-0000-1C00-000001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B5B58-2F38-7C68-15FE-9F4891AEBC88}">
  <sheetPr>
    <tabColor theme="6" tint="0.39997558519241921"/>
  </sheetPr>
  <dimension ref="A1:AE26"/>
  <sheetViews>
    <sheetView showGridLines="0" topLeftCell="AA21" workbookViewId="0">
      <selection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c r="E1" s="38"/>
    </row>
    <row r="2" spans="1:5" s="43" customFormat="1" ht="11.25" hidden="1" customHeight="1">
      <c r="B2" s="341" t="s">
        <v>18</v>
      </c>
    </row>
    <row r="3" spans="1:5" ht="11.25" hidden="1" customHeight="1">
      <c r="E3" s="38"/>
    </row>
    <row r="4" spans="1:5" ht="11.25" hidden="1" customHeight="1">
      <c r="E4" s="38"/>
    </row>
    <row r="5" spans="1:5" s="446" customFormat="1" ht="11.25" hidden="1" customHeight="1">
      <c r="A5" s="38"/>
      <c r="B5" s="43"/>
      <c r="C5" s="38"/>
      <c r="D5" s="38"/>
      <c r="E5" s="445"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0" ht="11.25" hidden="1" customHeight="1"/>
    <row r="18" spans="2:30" ht="11.25" hidden="1" customHeight="1"/>
    <row r="19" spans="2:30" ht="11.25" hidden="1" customHeight="1"/>
    <row r="20" spans="2:30" ht="11.25" hidden="1" customHeight="1"/>
    <row r="21" spans="2:30" ht="11.25" customHeight="1">
      <c r="AA21" s="324"/>
    </row>
    <row r="22" spans="2:30" ht="20.25" customHeight="1">
      <c r="AB22" s="168" t="s">
        <v>20</v>
      </c>
      <c r="AC22" s="150"/>
      <c r="AD22" s="150"/>
    </row>
    <row r="24" spans="2:30" s="62" customFormat="1" ht="30" customHeight="1">
      <c r="B24" s="325"/>
      <c r="E24" s="178"/>
      <c r="AB24" s="10" t="s">
        <v>21</v>
      </c>
      <c r="AC24" s="10" t="s">
        <v>22</v>
      </c>
      <c r="AD24" s="10" t="s">
        <v>23</v>
      </c>
    </row>
    <row r="25" spans="2:30" ht="33.75" customHeight="1">
      <c r="AB25" s="10">
        <v>1</v>
      </c>
      <c r="AC25" s="169" t="s">
        <v>24</v>
      </c>
      <c r="AD25" s="169" t="s">
        <v>25</v>
      </c>
    </row>
    <row r="26" spans="2:30" ht="69" customHeight="1">
      <c r="AB26" s="10">
        <v>2</v>
      </c>
      <c r="AC26" s="169" t="s">
        <v>26</v>
      </c>
      <c r="AD26" s="169"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B2B8-7698-D8A2-5E78-FCAC10446AD8}">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3.5703125" style="72" hidden="1" customWidth="1"/>
    <col min="2" max="2" width="8.5703125" style="328" hidden="1" customWidth="1"/>
    <col min="3" max="4" width="3.5703125" style="72" hidden="1" customWidth="1"/>
    <col min="5" max="5" width="3.5703125" style="505"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11" style="422" customWidth="1"/>
    <col min="29" max="29" width="75" style="71" customWidth="1"/>
    <col min="30" max="30" width="12" style="422" customWidth="1"/>
    <col min="31" max="33" width="12.5703125" style="72" customWidth="1"/>
    <col min="34" max="34" width="21" style="72" customWidth="1"/>
    <col min="35" max="38" width="12.5703125" style="72" customWidth="1"/>
    <col min="39" max="45" width="12.5703125" style="72" hidden="1" customWidth="1"/>
    <col min="46" max="48" width="12.5703125" style="72" customWidth="1"/>
    <col min="49" max="55" width="12.5703125" style="72" hidden="1" customWidth="1"/>
    <col min="56" max="58" width="12.5703125" style="72" customWidth="1"/>
    <col min="59" max="65" width="12.5703125" style="72" hidden="1" customWidth="1"/>
    <col min="66" max="67" width="20" style="72" customWidth="1"/>
    <col min="68" max="68" width="42" style="72" customWidth="1"/>
    <col min="69" max="69" width="3" style="72" customWidth="1"/>
    <col min="70" max="70" width="9.140625" style="72" hidden="1"/>
    <col min="71" max="73" width="9.140625" style="694" hidden="1"/>
    <col min="74" max="75" width="9.140625" style="505" hidden="1"/>
  </cols>
  <sheetData>
    <row r="1" spans="1:75" ht="11.25" hidden="1" customHeight="1">
      <c r="E1" s="72"/>
      <c r="F1" s="72" t="s">
        <v>309</v>
      </c>
      <c r="I1" s="72" t="s">
        <v>1938</v>
      </c>
      <c r="J1" s="72" t="s">
        <v>346</v>
      </c>
      <c r="K1" s="72" t="s">
        <v>1939</v>
      </c>
      <c r="L1" s="72" t="s">
        <v>1940</v>
      </c>
      <c r="M1" s="72" t="s">
        <v>1941</v>
      </c>
      <c r="T1" s="351" t="s">
        <v>92</v>
      </c>
      <c r="U1" s="351" t="s">
        <v>97</v>
      </c>
      <c r="V1" s="351" t="s">
        <v>93</v>
      </c>
      <c r="W1" s="351" t="s">
        <v>94</v>
      </c>
      <c r="X1" s="351" t="s">
        <v>95</v>
      </c>
      <c r="Y1" s="353" t="s">
        <v>311</v>
      </c>
      <c r="Z1" s="351" t="s">
        <v>99</v>
      </c>
      <c r="AA1" s="352" t="s">
        <v>96</v>
      </c>
      <c r="AB1" s="4"/>
      <c r="AC1" s="352" t="s">
        <v>98</v>
      </c>
      <c r="BS1" s="694" t="s">
        <v>312</v>
      </c>
      <c r="BT1" s="694" t="s">
        <v>313</v>
      </c>
      <c r="BU1" s="694" t="s">
        <v>314</v>
      </c>
      <c r="BV1" s="505" t="s">
        <v>317</v>
      </c>
      <c r="BW1" s="505" t="s">
        <v>318</v>
      </c>
    </row>
    <row r="2" spans="1:75" s="328" customFormat="1" ht="11.25" hidden="1" customHeight="1">
      <c r="B2" s="340" t="s">
        <v>18</v>
      </c>
      <c r="AC2" s="329"/>
      <c r="AJ2" s="341" t="b">
        <f t="shared" ref="AJ2:BM2" si="0">AJ6&lt;=last_year_vis</f>
        <v>1</v>
      </c>
      <c r="AK2" s="341" t="b">
        <f t="shared" si="0"/>
        <v>1</v>
      </c>
      <c r="AL2" s="341" t="b">
        <f t="shared" si="0"/>
        <v>1</v>
      </c>
      <c r="AM2" s="341" t="b">
        <f t="shared" si="0"/>
        <v>0</v>
      </c>
      <c r="AN2" s="341" t="b">
        <f t="shared" si="0"/>
        <v>0</v>
      </c>
      <c r="AO2" s="341" t="b">
        <f t="shared" si="0"/>
        <v>0</v>
      </c>
      <c r="AP2" s="341" t="b">
        <f t="shared" si="0"/>
        <v>0</v>
      </c>
      <c r="AQ2" s="341" t="b">
        <f t="shared" si="0"/>
        <v>0</v>
      </c>
      <c r="AR2" s="341" t="b">
        <f t="shared" si="0"/>
        <v>0</v>
      </c>
      <c r="AS2" s="341" t="b">
        <f t="shared" si="0"/>
        <v>0</v>
      </c>
      <c r="AT2" s="341" t="b">
        <f t="shared" si="0"/>
        <v>1</v>
      </c>
      <c r="AU2" s="341" t="b">
        <f t="shared" si="0"/>
        <v>1</v>
      </c>
      <c r="AV2" s="341" t="b">
        <f t="shared" si="0"/>
        <v>1</v>
      </c>
      <c r="AW2" s="341" t="b">
        <f t="shared" si="0"/>
        <v>0</v>
      </c>
      <c r="AX2" s="341" t="b">
        <f t="shared" si="0"/>
        <v>0</v>
      </c>
      <c r="AY2" s="341" t="b">
        <f t="shared" si="0"/>
        <v>0</v>
      </c>
      <c r="AZ2" s="341" t="b">
        <f t="shared" si="0"/>
        <v>0</v>
      </c>
      <c r="BA2" s="341" t="b">
        <f t="shared" si="0"/>
        <v>0</v>
      </c>
      <c r="BB2" s="341" t="b">
        <f t="shared" si="0"/>
        <v>0</v>
      </c>
      <c r="BC2" s="341" t="b">
        <f t="shared" si="0"/>
        <v>0</v>
      </c>
      <c r="BD2" s="341" t="b">
        <f t="shared" si="0"/>
        <v>1</v>
      </c>
      <c r="BE2" s="341" t="b">
        <f t="shared" si="0"/>
        <v>1</v>
      </c>
      <c r="BF2" s="341" t="b">
        <f t="shared" si="0"/>
        <v>1</v>
      </c>
      <c r="BG2" s="341" t="b">
        <f t="shared" si="0"/>
        <v>0</v>
      </c>
      <c r="BH2" s="341" t="b">
        <f t="shared" si="0"/>
        <v>0</v>
      </c>
      <c r="BI2" s="341" t="b">
        <f t="shared" si="0"/>
        <v>0</v>
      </c>
      <c r="BJ2" s="341" t="b">
        <f t="shared" si="0"/>
        <v>0</v>
      </c>
      <c r="BK2" s="341" t="b">
        <f t="shared" si="0"/>
        <v>0</v>
      </c>
      <c r="BL2" s="341" t="b">
        <f t="shared" si="0"/>
        <v>0</v>
      </c>
      <c r="BM2" s="341" t="b">
        <f t="shared" si="0"/>
        <v>0</v>
      </c>
      <c r="BS2" s="695"/>
      <c r="BT2" s="695"/>
      <c r="BU2" s="695"/>
      <c r="BV2" s="450"/>
      <c r="BW2" s="450"/>
    </row>
    <row r="3" spans="1:75" ht="11.25" hidden="1" customHeight="1">
      <c r="E3" s="72"/>
      <c r="R3" s="340" t="b">
        <v>0</v>
      </c>
    </row>
    <row r="4" spans="1:75" ht="11.25" hidden="1" customHeight="1">
      <c r="E4" s="72"/>
    </row>
    <row r="5" spans="1:75" s="505" customFormat="1" ht="11.25" hidden="1" customHeight="1">
      <c r="A5" s="72"/>
      <c r="B5" s="328"/>
      <c r="C5" s="72"/>
      <c r="D5" s="72"/>
      <c r="E5" s="505" t="s">
        <v>19</v>
      </c>
      <c r="AA5" s="505">
        <v>3</v>
      </c>
      <c r="AB5" s="510">
        <v>11</v>
      </c>
      <c r="AC5" s="506">
        <v>75</v>
      </c>
      <c r="AD5" s="510">
        <v>12</v>
      </c>
      <c r="AE5" s="505">
        <v>12.57</v>
      </c>
      <c r="AF5" s="505">
        <v>12.57</v>
      </c>
      <c r="AG5" s="505">
        <v>12.57</v>
      </c>
      <c r="AH5" s="505">
        <v>21</v>
      </c>
      <c r="AI5" s="505">
        <v>12.57</v>
      </c>
      <c r="AJ5" s="505">
        <v>12.57</v>
      </c>
      <c r="AK5" s="505">
        <v>12.57</v>
      </c>
      <c r="AL5" s="505">
        <v>12.57</v>
      </c>
      <c r="AM5" s="505">
        <v>12.57</v>
      </c>
      <c r="AN5" s="505">
        <v>12.57</v>
      </c>
      <c r="AO5" s="505">
        <v>12.57</v>
      </c>
      <c r="AP5" s="505">
        <v>12.57</v>
      </c>
      <c r="AQ5" s="505">
        <v>12.57</v>
      </c>
      <c r="AR5" s="505">
        <v>12.57</v>
      </c>
      <c r="AS5" s="505">
        <v>12.57</v>
      </c>
      <c r="AT5" s="505">
        <v>12.57</v>
      </c>
      <c r="AU5" s="505">
        <v>12.57</v>
      </c>
      <c r="AV5" s="505">
        <v>12.57</v>
      </c>
      <c r="AW5" s="505">
        <v>12.57</v>
      </c>
      <c r="AX5" s="505">
        <v>12.57</v>
      </c>
      <c r="AY5" s="505">
        <v>12.57</v>
      </c>
      <c r="AZ5" s="505">
        <v>12.57</v>
      </c>
      <c r="BA5" s="505">
        <v>12.57</v>
      </c>
      <c r="BB5" s="505">
        <v>12.57</v>
      </c>
      <c r="BC5" s="505">
        <v>12.57</v>
      </c>
      <c r="BD5" s="505">
        <v>12.57</v>
      </c>
      <c r="BE5" s="505">
        <v>12.57</v>
      </c>
      <c r="BF5" s="505">
        <v>12.57</v>
      </c>
      <c r="BG5" s="505">
        <v>12.57</v>
      </c>
      <c r="BH5" s="505">
        <v>12.57</v>
      </c>
      <c r="BI5" s="505">
        <v>12.57</v>
      </c>
      <c r="BJ5" s="505">
        <v>12.57</v>
      </c>
      <c r="BK5" s="505">
        <v>12.57</v>
      </c>
      <c r="BL5" s="505">
        <v>12.57</v>
      </c>
      <c r="BM5" s="505">
        <v>12.57</v>
      </c>
      <c r="BN5" s="505">
        <v>20</v>
      </c>
      <c r="BO5" s="505">
        <v>20</v>
      </c>
      <c r="BP5" s="505">
        <v>42</v>
      </c>
      <c r="BQ5" s="505">
        <v>3</v>
      </c>
      <c r="BS5" s="694"/>
      <c r="BT5" s="694"/>
      <c r="BU5" s="694"/>
    </row>
    <row r="6" spans="1:75" ht="11.25" hidden="1" customHeight="1">
      <c r="A6" s="72" t="s">
        <v>349</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350</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4" customFormat="1" ht="11.25" hidden="1" customHeight="1">
      <c r="A9" s="654" t="s">
        <v>354</v>
      </c>
      <c r="B9" s="692"/>
      <c r="C9" s="692"/>
      <c r="D9" s="692"/>
      <c r="E9" s="692"/>
      <c r="F9" s="692"/>
      <c r="G9" s="692"/>
      <c r="H9" s="692"/>
      <c r="I9" s="692"/>
      <c r="J9" s="692"/>
      <c r="K9" s="692"/>
      <c r="L9" s="692"/>
      <c r="M9" s="692"/>
      <c r="N9" s="692"/>
      <c r="O9" s="692"/>
      <c r="P9" s="692"/>
      <c r="Q9" s="692"/>
      <c r="R9" s="692"/>
      <c r="S9" s="692"/>
      <c r="T9" s="692"/>
      <c r="U9" s="692"/>
      <c r="V9" s="692"/>
      <c r="W9" s="692"/>
      <c r="X9" s="692"/>
      <c r="Y9" s="692"/>
      <c r="Z9" s="692"/>
      <c r="AA9" s="692"/>
      <c r="AB9" s="692"/>
      <c r="AC9" s="692"/>
      <c r="AD9" s="692"/>
      <c r="AE9" s="669" cm="1">
        <f t="array" ref="AE9">AE6</f>
        <v>2024</v>
      </c>
      <c r="AF9" s="669" cm="1">
        <f t="array" ref="AF9">AF6</f>
        <v>2024</v>
      </c>
      <c r="AG9" s="669" cm="1">
        <f t="array" ref="AG9">AG6</f>
        <v>2024</v>
      </c>
      <c r="AH9" s="669" cm="1">
        <f t="array" ref="AH9">AH6</f>
        <v>2024</v>
      </c>
      <c r="AI9" s="669" cm="1">
        <f t="array" ref="AI9">AI6</f>
        <v>2025</v>
      </c>
      <c r="AJ9" s="669" cm="1">
        <f t="array" ref="AJ9">AJ6</f>
        <v>2026</v>
      </c>
      <c r="AK9" s="669" cm="1">
        <f t="array" ref="AK9">AK6</f>
        <v>2027</v>
      </c>
      <c r="AL9" s="669" cm="1">
        <f t="array" ref="AL9">AL6</f>
        <v>2028</v>
      </c>
      <c r="AM9" s="669" cm="1">
        <f t="array" ref="AM9">AM6</f>
        <v>2029</v>
      </c>
      <c r="AN9" s="669" cm="1">
        <f t="array" ref="AN9">AN6</f>
        <v>2030</v>
      </c>
      <c r="AO9" s="669" cm="1">
        <f t="array" ref="AO9">AO6</f>
        <v>2031</v>
      </c>
      <c r="AP9" s="669" cm="1">
        <f t="array" ref="AP9">AP6</f>
        <v>2032</v>
      </c>
      <c r="AQ9" s="669" cm="1">
        <f t="array" ref="AQ9">AQ6</f>
        <v>2033</v>
      </c>
      <c r="AR9" s="669" cm="1">
        <f t="array" ref="AR9">AR6</f>
        <v>2034</v>
      </c>
      <c r="AS9" s="669" cm="1">
        <f t="array" ref="AS9">AS6</f>
        <v>2035</v>
      </c>
      <c r="AT9" s="669" cm="1">
        <f t="array" ref="AT9">AT6</f>
        <v>2026</v>
      </c>
      <c r="AU9" s="669" cm="1">
        <f t="array" ref="AU9">AU6</f>
        <v>2027</v>
      </c>
      <c r="AV9" s="669" cm="1">
        <f t="array" ref="AV9">AV6</f>
        <v>2028</v>
      </c>
      <c r="AW9" s="669" cm="1">
        <f t="array" ref="AW9">AW6</f>
        <v>2029</v>
      </c>
      <c r="AX9" s="669" cm="1">
        <f t="array" ref="AX9">AX6</f>
        <v>2030</v>
      </c>
      <c r="AY9" s="669" cm="1">
        <f t="array" ref="AY9">AY6</f>
        <v>2031</v>
      </c>
      <c r="AZ9" s="669" cm="1">
        <f t="array" ref="AZ9">AZ6</f>
        <v>2032</v>
      </c>
      <c r="BA9" s="669" cm="1">
        <f t="array" ref="BA9">BA6</f>
        <v>2033</v>
      </c>
      <c r="BB9" s="669" cm="1">
        <f t="array" ref="BB9">BB6</f>
        <v>2034</v>
      </c>
      <c r="BC9" s="669" cm="1">
        <f t="array" ref="BC9">BC6</f>
        <v>2035</v>
      </c>
      <c r="BD9" s="669" cm="1">
        <f t="array" ref="BD9">BD6</f>
        <v>2026</v>
      </c>
      <c r="BE9" s="669" cm="1">
        <f t="array" ref="BE9">BE6</f>
        <v>2027</v>
      </c>
      <c r="BF9" s="669" cm="1">
        <f t="array" ref="BF9">BF6</f>
        <v>2028</v>
      </c>
      <c r="BG9" s="669" cm="1">
        <f t="array" ref="BG9">BG6</f>
        <v>2029</v>
      </c>
      <c r="BH9" s="669" cm="1">
        <f t="array" ref="BH9">BH6</f>
        <v>2030</v>
      </c>
      <c r="BI9" s="669" cm="1">
        <f t="array" ref="BI9">BI6</f>
        <v>2031</v>
      </c>
      <c r="BJ9" s="669" cm="1">
        <f t="array" ref="BJ9">BJ6</f>
        <v>2032</v>
      </c>
      <c r="BK9" s="669" cm="1">
        <f t="array" ref="BK9">BK6</f>
        <v>2033</v>
      </c>
      <c r="BL9" s="669" cm="1">
        <f t="array" ref="BL9">BL6</f>
        <v>2034</v>
      </c>
      <c r="BM9" s="669" cm="1">
        <f t="array" ref="BM9">BM6</f>
        <v>2035</v>
      </c>
      <c r="BV9" s="505"/>
      <c r="BW9" s="505"/>
    </row>
    <row r="10" spans="1:75" s="694" customFormat="1" ht="11.25" hidden="1" customHeight="1">
      <c r="A10" s="654" t="s">
        <v>355</v>
      </c>
      <c r="B10" s="692"/>
      <c r="C10" s="692"/>
      <c r="D10" s="692"/>
      <c r="E10" s="692"/>
      <c r="F10" s="692"/>
      <c r="G10" s="692"/>
      <c r="H10" s="692"/>
      <c r="I10" s="692"/>
      <c r="J10" s="692"/>
      <c r="K10" s="692"/>
      <c r="L10" s="692"/>
      <c r="M10" s="692"/>
      <c r="N10" s="692"/>
      <c r="O10" s="692"/>
      <c r="P10" s="692"/>
      <c r="Q10" s="692"/>
      <c r="R10" s="692"/>
      <c r="S10" s="692"/>
      <c r="T10" s="692"/>
      <c r="U10" s="692"/>
      <c r="V10" s="692"/>
      <c r="W10" s="692"/>
      <c r="X10" s="692"/>
      <c r="Y10" s="692"/>
      <c r="Z10" s="692"/>
      <c r="AA10" s="692"/>
      <c r="AB10" s="692"/>
      <c r="AC10" s="692"/>
      <c r="AD10" s="692"/>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отклонение факта по данным организации к факту принятому органом регулирования</v>
      </c>
      <c r="AI10" s="669" t="str" cm="1">
        <f t="array" ref="AI10">AI25</f>
        <v>Принято органом регулирования</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Предложение организации</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9" t="str" cm="1">
        <f t="array" ref="BC10">BC25</f>
        <v>Принято органом регулирования</v>
      </c>
      <c r="BD10" s="66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9" cm="1">
        <f t="array" ref="BE10">BE25</f>
        <v>0</v>
      </c>
      <c r="BF10" s="669" cm="1">
        <f t="array" ref="BF10">BF25</f>
        <v>0</v>
      </c>
      <c r="BG10" s="669" cm="1">
        <f t="array" ref="BG10">BG25</f>
        <v>0</v>
      </c>
      <c r="BH10" s="669" cm="1">
        <f t="array" ref="BH10">BH25</f>
        <v>0</v>
      </c>
      <c r="BI10" s="669" cm="1">
        <f t="array" ref="BI10">BI25</f>
        <v>0</v>
      </c>
      <c r="BJ10" s="669" cm="1">
        <f t="array" ref="BJ10">BJ25</f>
        <v>0</v>
      </c>
      <c r="BK10" s="669" cm="1">
        <f t="array" ref="BK10">BK25</f>
        <v>0</v>
      </c>
      <c r="BL10" s="669" cm="1">
        <f t="array" ref="BL10">BL25</f>
        <v>0</v>
      </c>
      <c r="BM10" s="669" cm="1">
        <f t="array" ref="BM10">BM25</f>
        <v>0</v>
      </c>
      <c r="BV10" s="505"/>
      <c r="BW10" s="505"/>
    </row>
    <row r="11" spans="1:75" s="694" customFormat="1" ht="11.25" hidden="1" customHeight="1">
      <c r="A11" s="654" t="s">
        <v>356</v>
      </c>
      <c r="B11" s="692"/>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2"/>
      <c r="AB11" s="692"/>
      <c r="AC11" s="692"/>
      <c r="AD11" s="692"/>
      <c r="AE11" s="669"/>
      <c r="BN11" s="694" t="str" cm="1">
        <f t="array" ref="BN11">BN24</f>
        <v>Указание на подтверждающие документы / URL-ссылка на копии подтверждающих документов</v>
      </c>
      <c r="BO11" s="694" t="str" cm="1">
        <f t="array" ref="BO11">BO24</f>
        <v>Ссылка на правовую норму (основание для принятия показателя в расчет тарифа)</v>
      </c>
      <c r="BP11" s="69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5"/>
      <c r="BW11" s="505"/>
    </row>
    <row r="12" spans="1:75" s="694" customFormat="1" ht="11.25" hidden="1" customHeight="1">
      <c r="A12" s="692" t="s">
        <v>327</v>
      </c>
      <c r="B12" s="692"/>
      <c r="C12" s="692"/>
      <c r="D12" s="692"/>
      <c r="E12" s="692"/>
      <c r="F12" s="692"/>
      <c r="G12" s="692"/>
      <c r="H12" s="692"/>
      <c r="I12" s="692"/>
      <c r="J12" s="692"/>
      <c r="K12" s="692"/>
      <c r="L12" s="692"/>
      <c r="M12" s="692"/>
      <c r="N12" s="692"/>
      <c r="O12" s="692"/>
      <c r="P12" s="692"/>
      <c r="Q12" s="692"/>
      <c r="R12" s="692"/>
      <c r="S12" s="692"/>
      <c r="T12" s="692"/>
      <c r="U12" s="692"/>
      <c r="V12" s="692"/>
      <c r="W12" s="692"/>
      <c r="X12" s="692"/>
      <c r="Y12" s="692"/>
      <c r="Z12" s="692"/>
      <c r="AA12" s="692"/>
      <c r="AB12" s="692"/>
      <c r="AC12" s="692" t="s">
        <v>314</v>
      </c>
      <c r="AD12" s="692"/>
      <c r="AE12" s="669"/>
      <c r="BV12" s="505"/>
      <c r="BW12" s="505"/>
    </row>
    <row r="13" spans="1:75" ht="11.25" hidden="1" customHeight="1">
      <c r="A13" s="72" t="s">
        <v>1733</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357</v>
      </c>
      <c r="AC18" s="71" t="s">
        <v>358</v>
      </c>
    </row>
    <row r="19" spans="1:75" ht="11.25" hidden="1" customHeight="1"/>
    <row r="20" spans="1:75" ht="11.25" hidden="1" customHeight="1"/>
    <row r="21" spans="1:75" ht="14.65" customHeight="1">
      <c r="E21" s="505">
        <v>15</v>
      </c>
      <c r="AA21" s="324"/>
      <c r="AB21" s="72"/>
      <c r="AC21" s="3" t="str" cm="1">
        <f t="array" ref="AC21">tpl_title</f>
        <v>Кемеровская область / 2026 / МУП "Водоканал" (ИНН:4202043124, КПП:420201001) / ДПР: 2026-2028</v>
      </c>
      <c r="AD21" s="72"/>
    </row>
    <row r="22" spans="1:75" s="25" customFormat="1" ht="19.5" customHeight="1">
      <c r="B22" s="328"/>
      <c r="E22" s="449">
        <v>20</v>
      </c>
      <c r="AB22" s="225" t="s">
        <v>79</v>
      </c>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S22" s="696"/>
      <c r="BT22" s="696"/>
      <c r="BU22" s="696"/>
      <c r="BV22" s="449"/>
      <c r="BW22" s="449"/>
    </row>
    <row r="23" spans="1:75" s="25" customFormat="1" ht="10.15" customHeight="1">
      <c r="B23" s="328"/>
      <c r="E23" s="449">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6"/>
      <c r="BT23" s="696"/>
      <c r="BU23" s="696"/>
      <c r="BV23" s="449"/>
      <c r="BW23" s="449"/>
    </row>
    <row r="24" spans="1:75" s="71" customFormat="1" ht="24.2" customHeight="1">
      <c r="B24" s="329"/>
      <c r="E24" s="506">
        <v>24.75</v>
      </c>
      <c r="AB24" s="1031" t="s">
        <v>21</v>
      </c>
      <c r="AC24" s="1031" t="s">
        <v>358</v>
      </c>
      <c r="AD24" s="1031" t="s">
        <v>359</v>
      </c>
      <c r="AE24" s="10" t="str">
        <f>god-2&amp;" год"</f>
        <v>2024 год</v>
      </c>
      <c r="AF24" s="726" t="str">
        <f>god-2&amp;" год"</f>
        <v>2024 год</v>
      </c>
      <c r="AG24" s="10" t="str">
        <f>god-2&amp;" год"</f>
        <v>2024 год</v>
      </c>
      <c r="AH24" s="10" t="str">
        <f>god-2&amp;" год"</f>
        <v>2024 год</v>
      </c>
      <c r="AI24" s="10" t="str">
        <f>god-1&amp;" год"</f>
        <v>2025 год</v>
      </c>
      <c r="AJ24" s="724" t="str">
        <f>god&amp;" год"</f>
        <v>2026 год</v>
      </c>
      <c r="AK24" s="724" t="str">
        <f>god+1&amp;" год"</f>
        <v>2027 год</v>
      </c>
      <c r="AL24" s="724" t="str">
        <f>god+2&amp;" год"</f>
        <v>2028 год</v>
      </c>
      <c r="AM24" s="724" t="str">
        <f>god+3&amp;" год"</f>
        <v>2029 год</v>
      </c>
      <c r="AN24" s="724" t="str">
        <f>god+4&amp;" год"</f>
        <v>2030 год</v>
      </c>
      <c r="AO24" s="724" t="str">
        <f>god+5&amp;" год"</f>
        <v>2031 год</v>
      </c>
      <c r="AP24" s="724" t="str">
        <f>god+6&amp;" год"</f>
        <v>2032 год</v>
      </c>
      <c r="AQ24" s="724" t="str">
        <f>god+7&amp;" год"</f>
        <v>2033 год</v>
      </c>
      <c r="AR24" s="724" t="str">
        <f>god+8&amp;" год"</f>
        <v>2034 год</v>
      </c>
      <c r="AS24" s="724"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51" t="s">
        <v>1736</v>
      </c>
      <c r="BO24" s="1051" t="s">
        <v>580</v>
      </c>
      <c r="BP24" s="1051" t="s">
        <v>1737</v>
      </c>
      <c r="BS24" s="697"/>
      <c r="BT24" s="697"/>
      <c r="BU24" s="697"/>
      <c r="BV24" s="506"/>
      <c r="BW24" s="506"/>
    </row>
    <row r="25" spans="1:75" s="71" customFormat="1" ht="48.95" customHeight="1">
      <c r="B25" s="329"/>
      <c r="E25" s="506">
        <v>50.25</v>
      </c>
      <c r="AB25" s="1031"/>
      <c r="AC25" s="1031"/>
      <c r="AD25" s="1031"/>
      <c r="AE25" s="10" t="s">
        <v>351</v>
      </c>
      <c r="AF25" s="726" t="s">
        <v>495</v>
      </c>
      <c r="AG25" s="10" t="s">
        <v>496</v>
      </c>
      <c r="AH25" s="10" t="s">
        <v>1738</v>
      </c>
      <c r="AI25" s="10" t="s">
        <v>351</v>
      </c>
      <c r="AJ25" s="728" t="s">
        <v>352</v>
      </c>
      <c r="AK25" s="728" t="s">
        <v>352</v>
      </c>
      <c r="AL25" s="728" t="s">
        <v>352</v>
      </c>
      <c r="AM25" s="728" t="s">
        <v>352</v>
      </c>
      <c r="AN25" s="728" t="s">
        <v>352</v>
      </c>
      <c r="AO25" s="728" t="s">
        <v>352</v>
      </c>
      <c r="AP25" s="728" t="s">
        <v>352</v>
      </c>
      <c r="AQ25" s="728" t="s">
        <v>352</v>
      </c>
      <c r="AR25" s="728" t="s">
        <v>352</v>
      </c>
      <c r="AS25" s="728" t="s">
        <v>352</v>
      </c>
      <c r="AT25" s="261" t="s">
        <v>351</v>
      </c>
      <c r="AU25" s="261" t="s">
        <v>351</v>
      </c>
      <c r="AV25" s="261" t="s">
        <v>351</v>
      </c>
      <c r="AW25" s="261" t="s">
        <v>351</v>
      </c>
      <c r="AX25" s="261" t="s">
        <v>351</v>
      </c>
      <c r="AY25" s="261" t="s">
        <v>351</v>
      </c>
      <c r="AZ25" s="261" t="s">
        <v>351</v>
      </c>
      <c r="BA25" s="261" t="s">
        <v>351</v>
      </c>
      <c r="BB25" s="261" t="s">
        <v>351</v>
      </c>
      <c r="BC25" s="261" t="s">
        <v>351</v>
      </c>
      <c r="BD25" s="1051" t="s">
        <v>1735</v>
      </c>
      <c r="BE25" s="1051"/>
      <c r="BF25" s="1051"/>
      <c r="BG25" s="1051"/>
      <c r="BH25" s="1051"/>
      <c r="BI25" s="1051"/>
      <c r="BJ25" s="1051"/>
      <c r="BK25" s="1051"/>
      <c r="BL25" s="1051"/>
      <c r="BM25" s="1051"/>
      <c r="BN25" s="1051"/>
      <c r="BO25" s="1051"/>
      <c r="BP25" s="1051"/>
      <c r="BS25" s="697"/>
      <c r="BT25" s="697"/>
      <c r="BU25" s="697"/>
      <c r="BV25" s="506"/>
      <c r="BW25" s="506"/>
    </row>
    <row r="26" spans="1:75" ht="11.25" customHeight="1">
      <c r="A26"/>
      <c r="B26" s="326"/>
      <c r="C26"/>
      <c r="D26"/>
      <c r="E26" s="452" t="s">
        <v>362</v>
      </c>
      <c r="F26" s="86" t="s">
        <v>1942</v>
      </c>
      <c r="G26"/>
      <c r="H26"/>
      <c r="I26"/>
      <c r="J26"/>
      <c r="K26"/>
      <c r="L26"/>
      <c r="M26"/>
      <c r="N26"/>
      <c r="O26"/>
      <c r="P26"/>
      <c r="Q26"/>
      <c r="R26"/>
      <c r="S26" s="531" t="s">
        <v>363</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9"/>
      <c r="BT26" s="659"/>
      <c r="BU26" s="659"/>
      <c r="BV26" s="452"/>
      <c r="BW26" s="452"/>
    </row>
    <row r="27" spans="1:75" s="38" customFormat="1" ht="14.65" hidden="1" customHeight="1">
      <c r="B27" s="43"/>
      <c r="E27" s="446">
        <v>15</v>
      </c>
      <c r="F27" s="17" cm="1">
        <f t="array" ref="F27">X27</f>
        <v>0</v>
      </c>
      <c r="G27" s="17" cm="1">
        <f t="array" ref="G27">INDEX('Общие сведения'!$AK$179:$AK$208,MATCH($X27,'Общие сведения'!$Z$179:$Z$208,0))</f>
        <v>0</v>
      </c>
      <c r="I27" s="17"/>
      <c r="L27" s="22"/>
      <c r="M27" s="22"/>
      <c r="S27" s="38" cm="1">
        <f t="array" ref="S27">INDEX('Общие сведения'!$AE$179:$AE$208,MATCH($X27,'Общие сведения'!$Z$179:$Z$208,0))</f>
        <v>0</v>
      </c>
      <c r="T27" s="351" t="b">
        <f>X27&gt;0</f>
        <v>0</v>
      </c>
      <c r="V27" s="38" t="s">
        <v>266</v>
      </c>
      <c r="X27" s="1024">
        <v>0</v>
      </c>
      <c r="Z27" s="1008"/>
      <c r="AB27" s="279" t="str" cm="1">
        <f t="array" ref="AB27">INDEX('Общие сведения'!$AG$179:$AG$208,MATCH($X27,'Общие сведения'!$Z$179:$Z$208,0))</f>
        <v xml:space="preserve">Тариф 0 () - </v>
      </c>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S27" s="654"/>
      <c r="BT27" s="654"/>
      <c r="BU27" s="654"/>
      <c r="BV27" s="446"/>
      <c r="BW27" s="446"/>
    </row>
    <row r="28" spans="1:75" s="75" customFormat="1" ht="20.45" hidden="1" customHeight="1">
      <c r="B28" s="330"/>
      <c r="E28" s="507">
        <v>21</v>
      </c>
      <c r="F28" s="3" cm="1">
        <f t="array" aca="1" ref="F28" ca="1">OFFSET(E28,-1,1)</f>
        <v>0</v>
      </c>
      <c r="H28" s="275"/>
      <c r="I28" s="275" t="s">
        <v>321</v>
      </c>
      <c r="K28" s="275" t="s">
        <v>321</v>
      </c>
      <c r="L28" s="573"/>
      <c r="M28" s="573"/>
      <c r="R28" s="75" t="s">
        <v>2275</v>
      </c>
      <c r="T28" s="351" t="b" cm="1">
        <f t="array" ref="T28">T27</f>
        <v>0</v>
      </c>
      <c r="X28" s="1024"/>
      <c r="Z28" s="1008"/>
      <c r="AB28" s="160" t="s">
        <v>277</v>
      </c>
      <c r="AC28" s="125" t="s">
        <v>1943</v>
      </c>
      <c r="AD28" s="147" t="s">
        <v>859</v>
      </c>
      <c r="AE28" s="126">
        <f ca="1">SUM(AE30,AE47,AE53,AE73,AE74,AE75)</f>
        <v>0</v>
      </c>
      <c r="AF28" s="126">
        <f ca="1">SUM(AF30,AF47,AF53,AF73,AF74,AF75)</f>
        <v>0</v>
      </c>
      <c r="AG28" s="126">
        <f ca="1">SUM(AG30,AG47,AG53,AG73,AG74,AG75)</f>
        <v>0</v>
      </c>
      <c r="AH28" s="126">
        <f t="shared" ref="AH28:AH59" ca="1" si="2">AG28-AF28</f>
        <v>0</v>
      </c>
      <c r="AI28" s="773">
        <f ca="1">AE28*AI29</f>
        <v>0</v>
      </c>
      <c r="AJ28" s="138">
        <f t="shared" ref="AJ28:AS28" ca="1" si="3">AI28*AJ29</f>
        <v>0</v>
      </c>
      <c r="AK28" s="138">
        <f t="shared" ca="1" si="3"/>
        <v>0</v>
      </c>
      <c r="AL28" s="138">
        <f t="shared" ca="1" si="3"/>
        <v>0</v>
      </c>
      <c r="AM28" s="773">
        <f t="shared" ca="1" si="3"/>
        <v>0</v>
      </c>
      <c r="AN28" s="773">
        <f t="shared" ca="1" si="3"/>
        <v>0</v>
      </c>
      <c r="AO28" s="773">
        <f t="shared" ca="1" si="3"/>
        <v>0</v>
      </c>
      <c r="AP28" s="773">
        <f t="shared" ca="1" si="3"/>
        <v>0</v>
      </c>
      <c r="AQ28" s="773">
        <f t="shared" ca="1" si="3"/>
        <v>0</v>
      </c>
      <c r="AR28" s="773">
        <f t="shared" ca="1" si="3"/>
        <v>0</v>
      </c>
      <c r="AS28" s="773">
        <f t="shared" ca="1" si="3"/>
        <v>0</v>
      </c>
      <c r="AT28" s="138">
        <f ca="1">AI28*AT29</f>
        <v>0</v>
      </c>
      <c r="AU28" s="138">
        <f t="shared" ref="AU28:BC28" ca="1" si="4">AT28*AU29</f>
        <v>0</v>
      </c>
      <c r="AV28" s="138">
        <f t="shared" ca="1" si="4"/>
        <v>0</v>
      </c>
      <c r="AW28" s="773">
        <f t="shared" ca="1" si="4"/>
        <v>0</v>
      </c>
      <c r="AX28" s="773">
        <f t="shared" ca="1" si="4"/>
        <v>0</v>
      </c>
      <c r="AY28" s="773">
        <f t="shared" ca="1" si="4"/>
        <v>0</v>
      </c>
      <c r="AZ28" s="773">
        <f t="shared" ca="1" si="4"/>
        <v>0</v>
      </c>
      <c r="BA28" s="773">
        <f t="shared" ca="1" si="4"/>
        <v>0</v>
      </c>
      <c r="BB28" s="773">
        <f t="shared" ca="1" si="4"/>
        <v>0</v>
      </c>
      <c r="BC28" s="773">
        <f t="shared" ca="1" si="4"/>
        <v>0</v>
      </c>
      <c r="BD28" s="126">
        <f ca="1">IF(AI28=0,0,(AT28-AI28)/AI28*100)</f>
        <v>0</v>
      </c>
      <c r="BE28" s="126">
        <f t="shared" ref="BE28:BM28" ca="1" si="5">IF(AT28=0,0,(AU28-AT28)/AT28*100)</f>
        <v>0</v>
      </c>
      <c r="BF28" s="126">
        <f t="shared" ca="1" si="5"/>
        <v>0</v>
      </c>
      <c r="BG28" s="126">
        <f t="shared" ca="1" si="5"/>
        <v>0</v>
      </c>
      <c r="BH28" s="126">
        <f t="shared" ca="1" si="5"/>
        <v>0</v>
      </c>
      <c r="BI28" s="126">
        <f t="shared" ca="1" si="5"/>
        <v>0</v>
      </c>
      <c r="BJ28" s="126">
        <f t="shared" ca="1" si="5"/>
        <v>0</v>
      </c>
      <c r="BK28" s="126">
        <f t="shared" ca="1" si="5"/>
        <v>0</v>
      </c>
      <c r="BL28" s="126">
        <f t="shared" ca="1" si="5"/>
        <v>0</v>
      </c>
      <c r="BM28" s="126">
        <f t="shared" ca="1" si="5"/>
        <v>0</v>
      </c>
      <c r="BN28" s="774"/>
      <c r="BO28" s="774"/>
      <c r="BP28" s="774"/>
      <c r="BQ28" s="74"/>
      <c r="BS28" s="698" t="s">
        <v>577</v>
      </c>
      <c r="BT28" s="698"/>
      <c r="BU28" s="698"/>
      <c r="BV28" s="507"/>
      <c r="BW28" s="507"/>
    </row>
    <row r="29" spans="1:75" ht="14.65" hidden="1" customHeight="1">
      <c r="E29" s="505">
        <v>15</v>
      </c>
      <c r="F29" s="3" cm="1">
        <f t="array" aca="1" ref="F29" ca="1">OFFSET(E29,-1,1)</f>
        <v>0</v>
      </c>
      <c r="H29" s="276"/>
      <c r="I29" s="276" t="s">
        <v>507</v>
      </c>
      <c r="K29" s="276" t="s">
        <v>507</v>
      </c>
      <c r="L29" s="25"/>
      <c r="M29" s="25"/>
      <c r="R29" s="75" t="s">
        <v>2275</v>
      </c>
      <c r="T29" s="351" t="b" cm="1">
        <f t="array" ref="T29">T28</f>
        <v>0</v>
      </c>
      <c r="X29" s="1024"/>
      <c r="Z29" s="1008"/>
      <c r="AB29" s="133" t="s">
        <v>936</v>
      </c>
      <c r="AC29" s="127" t="s">
        <v>1944</v>
      </c>
      <c r="AD29" s="7"/>
      <c r="AE29" s="775"/>
      <c r="AF29" s="775"/>
      <c r="AG29" s="775"/>
      <c r="AH29" s="556">
        <f t="shared" si="2"/>
        <v>0</v>
      </c>
      <c r="AI29" s="775">
        <f ca="1">SUMIFS(INDEX(Сценарии!$AE$25:$BF$82,,MATCH(AI$8,Сценарии!$AE$8:$BF$8,0)),Сценарии!$F$25:$F$82,$F29,Сценарии!$G$25:$G$82,"ИОР")</f>
        <v>1</v>
      </c>
      <c r="AJ29" s="442">
        <f ca="1">SUMIFS(INDEX(Сценарии!$AE$25:$BF$82,,MATCH(AJ$8,Сценарии!$AE$8:$BF$8,0)),Сценарии!$F$25:$F$82,$F29,Сценарии!$G$25:$G$82,"ИОР")</f>
        <v>1</v>
      </c>
      <c r="AK29" s="442">
        <f ca="1">SUMIFS(INDEX(Сценарии!$AE$25:$BF$82,,MATCH(AK$8,Сценарии!$AE$8:$BF$8,0)),Сценарии!$F$25:$F$82,$F29,Сценарии!$G$25:$G$82,"ИОР")</f>
        <v>1</v>
      </c>
      <c r="AL29" s="442">
        <f ca="1">SUMIFS(INDEX(Сценарии!$AE$25:$BF$82,,MATCH(AL$8,Сценарии!$AE$8:$BF$8,0)),Сценарии!$F$25:$F$82,$F29,Сценарии!$G$25:$G$82,"ИОР")</f>
        <v>1</v>
      </c>
      <c r="AM29" s="775">
        <f ca="1">SUMIFS(INDEX(Сценарии!$AE$25:$BF$82,,MATCH(AM$8,Сценарии!$AE$8:$BF$8,0)),Сценарии!$F$25:$F$82,$F29,Сценарии!$G$25:$G$82,"ИОР")</f>
        <v>1</v>
      </c>
      <c r="AN29" s="775">
        <f ca="1">SUMIFS(INDEX(Сценарии!$AE$25:$BF$82,,MATCH(AN$8,Сценарии!$AE$8:$BF$8,0)),Сценарии!$F$25:$F$82,$F29,Сценарии!$G$25:$G$82,"ИОР")</f>
        <v>1</v>
      </c>
      <c r="AO29" s="775">
        <f ca="1">SUMIFS(INDEX(Сценарии!$AE$25:$BF$82,,MATCH(AO$8,Сценарии!$AE$8:$BF$8,0)),Сценарии!$F$25:$F$82,$F29,Сценарии!$G$25:$G$82,"ИОР")</f>
        <v>1</v>
      </c>
      <c r="AP29" s="775">
        <f ca="1">SUMIFS(INDEX(Сценарии!$AE$25:$BF$82,,MATCH(AP$8,Сценарии!$AE$8:$BF$8,0)),Сценарии!$F$25:$F$82,$F29,Сценарии!$G$25:$G$82,"ИОР")</f>
        <v>1</v>
      </c>
      <c r="AQ29" s="775">
        <f ca="1">SUMIFS(INDEX(Сценарии!$AE$25:$BF$82,,MATCH(AQ$8,Сценарии!$AE$8:$BF$8,0)),Сценарии!$F$25:$F$82,$F29,Сценарии!$G$25:$G$82,"ИОР")</f>
        <v>1</v>
      </c>
      <c r="AR29" s="775">
        <f ca="1">SUMIFS(INDEX(Сценарии!$AE$25:$BF$82,,MATCH(AR$8,Сценарии!$AE$8:$BF$8,0)),Сценарии!$F$25:$F$82,$F29,Сценарии!$G$25:$G$82,"ИОР")</f>
        <v>1</v>
      </c>
      <c r="AS29" s="775">
        <f ca="1">SUMIFS(INDEX(Сценарии!$AE$25:$BF$82,,MATCH(AS$8,Сценарии!$AE$8:$BF$8,0)),Сценарии!$F$25:$F$82,$F29,Сценарии!$G$25:$G$82,"ИОР")</f>
        <v>1</v>
      </c>
      <c r="AT29" s="442">
        <f ca="1">SUMIFS(INDEX(Сценарии!$AE$25:$BF$82,,MATCH(AT$8,Сценарии!$AE$8:$BF$8,0)),Сценарии!$F$25:$F$82,$F29,Сценарии!$G$25:$G$82,"ИОР")</f>
        <v>1</v>
      </c>
      <c r="AU29" s="442">
        <f ca="1">SUMIFS(INDEX(Сценарии!$AE$25:$BF$82,,MATCH(AU$8,Сценарии!$AE$8:$BF$8,0)),Сценарии!$F$25:$F$82,$F29,Сценарии!$G$25:$G$82,"ИОР")</f>
        <v>1</v>
      </c>
      <c r="AV29" s="442">
        <f ca="1">SUMIFS(INDEX(Сценарии!$AE$25:$BF$82,,MATCH(AV$8,Сценарии!$AE$8:$BF$8,0)),Сценарии!$F$25:$F$82,$F29,Сценарии!$G$25:$G$82,"ИОР")</f>
        <v>1</v>
      </c>
      <c r="AW29" s="775">
        <f ca="1">SUMIFS(INDEX(Сценарии!$AE$25:$BF$82,,MATCH(AW$8,Сценарии!$AE$8:$BF$8,0)),Сценарии!$F$25:$F$82,$F29,Сценарии!$G$25:$G$82,"ИОР")</f>
        <v>1</v>
      </c>
      <c r="AX29" s="775">
        <f ca="1">SUMIFS(INDEX(Сценарии!$AE$25:$BF$82,,MATCH(AX$8,Сценарии!$AE$8:$BF$8,0)),Сценарии!$F$25:$F$82,$F29,Сценарии!$G$25:$G$82,"ИОР")</f>
        <v>1</v>
      </c>
      <c r="AY29" s="775">
        <f ca="1">SUMIFS(INDEX(Сценарии!$AE$25:$BF$82,,MATCH(AY$8,Сценарии!$AE$8:$BF$8,0)),Сценарии!$F$25:$F$82,$F29,Сценарии!$G$25:$G$82,"ИОР")</f>
        <v>1</v>
      </c>
      <c r="AZ29" s="775">
        <f ca="1">SUMIFS(INDEX(Сценарии!$AE$25:$BF$82,,MATCH(AZ$8,Сценарии!$AE$8:$BF$8,0)),Сценарии!$F$25:$F$82,$F29,Сценарии!$G$25:$G$82,"ИОР")</f>
        <v>1</v>
      </c>
      <c r="BA29" s="775">
        <f ca="1">SUMIFS(INDEX(Сценарии!$AE$25:$BF$82,,MATCH(BA$8,Сценарии!$AE$8:$BF$8,0)),Сценарии!$F$25:$F$82,$F29,Сценарии!$G$25:$G$82,"ИОР")</f>
        <v>1</v>
      </c>
      <c r="BB29" s="775">
        <f ca="1">SUMIFS(INDEX(Сценарии!$AE$25:$BF$82,,MATCH(BB$8,Сценарии!$AE$8:$BF$8,0)),Сценарии!$F$25:$F$82,$F29,Сценарии!$G$25:$G$82,"ИОР")</f>
        <v>1</v>
      </c>
      <c r="BC29" s="775">
        <f ca="1">SUMIFS(INDEX(Сценарии!$AE$25:$BF$82,,MATCH(BC$8,Сценарии!$AE$8:$BF$8,0)),Сценарии!$F$25:$F$82,$F29,Сценарии!$G$25:$G$82,"ИОР")</f>
        <v>1</v>
      </c>
      <c r="BD29" s="540"/>
      <c r="BE29" s="540"/>
      <c r="BF29" s="540"/>
      <c r="BG29" s="540"/>
      <c r="BH29" s="540"/>
      <c r="BI29" s="540"/>
      <c r="BJ29" s="540"/>
      <c r="BK29" s="540"/>
      <c r="BL29" s="540"/>
      <c r="BM29" s="540"/>
      <c r="BN29" s="774"/>
      <c r="BO29" s="774"/>
      <c r="BP29" s="774"/>
      <c r="BS29" s="694" t="s">
        <v>1945</v>
      </c>
    </row>
    <row r="30" spans="1:75" s="74" customFormat="1" ht="20.45" hidden="1" customHeight="1">
      <c r="B30" s="330"/>
      <c r="E30" s="508">
        <v>21</v>
      </c>
      <c r="F30" s="3" cm="1">
        <f t="array" aca="1" ref="F30" ca="1">OFFSET(E30,-1,1)</f>
        <v>0</v>
      </c>
      <c r="H30" s="275"/>
      <c r="I30" s="275" t="s">
        <v>511</v>
      </c>
      <c r="K30" s="275" t="s">
        <v>511</v>
      </c>
      <c r="L30" s="576" t="s">
        <v>321</v>
      </c>
      <c r="M30" s="576"/>
      <c r="Q30" s="72" t="s">
        <v>2275</v>
      </c>
      <c r="R30" s="75" t="s">
        <v>2275</v>
      </c>
      <c r="T30" s="351" t="b" cm="1">
        <f t="array" ref="T30">T29</f>
        <v>0</v>
      </c>
      <c r="X30" s="1024"/>
      <c r="Z30" s="1008"/>
      <c r="AB30" s="160" t="s">
        <v>939</v>
      </c>
      <c r="AC30" s="262" t="s">
        <v>1739</v>
      </c>
      <c r="AD30" s="147" t="s">
        <v>859</v>
      </c>
      <c r="AE30" s="126">
        <f ca="1">SUM(AE31,AE34,AE35,AE38,AE39)</f>
        <v>0</v>
      </c>
      <c r="AF30" s="126">
        <f ca="1">SUM(AF31,AF34,AF35,AF38,AF39)</f>
        <v>0</v>
      </c>
      <c r="AG30" s="126">
        <f ca="1">SUM(AG31,AG34,AG35,AG38,AG39)</f>
        <v>0</v>
      </c>
      <c r="AH30" s="126">
        <f t="shared" ca="1" si="2"/>
        <v>0</v>
      </c>
      <c r="AI30" s="905">
        <f ca="1">SUM(AI31,AI34,AI35,AI38,AI39)</f>
        <v>0</v>
      </c>
      <c r="AJ30" s="442"/>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776"/>
      <c r="BO30" s="776"/>
      <c r="BP30" s="776"/>
      <c r="BS30" s="692" t="s">
        <v>562</v>
      </c>
      <c r="BT30" s="699"/>
      <c r="BU30" s="699"/>
      <c r="BV30" s="508"/>
      <c r="BW30" s="508"/>
    </row>
    <row r="31" spans="1:75" ht="14.65" hidden="1" customHeight="1">
      <c r="E31" s="505">
        <v>15</v>
      </c>
      <c r="F31" s="3" cm="1">
        <f t="array" aca="1" ref="F31" ca="1">OFFSET(E31,-1,1)</f>
        <v>0</v>
      </c>
      <c r="H31" s="276"/>
      <c r="I31" s="276" t="s">
        <v>1378</v>
      </c>
      <c r="K31" s="276" t="s">
        <v>1378</v>
      </c>
      <c r="L31" s="25" t="s">
        <v>507</v>
      </c>
      <c r="M31" s="25"/>
      <c r="Q31" s="72" t="s">
        <v>2275</v>
      </c>
      <c r="R31" s="75" t="s">
        <v>2275</v>
      </c>
      <c r="T31" s="351" t="b" cm="1">
        <f t="array" ref="T31">T30</f>
        <v>0</v>
      </c>
      <c r="X31" s="1024"/>
      <c r="Z31" s="1008"/>
      <c r="AB31" s="133" t="s">
        <v>1379</v>
      </c>
      <c r="AC31" s="134" t="s">
        <v>1946</v>
      </c>
      <c r="AD31" s="9" t="s">
        <v>859</v>
      </c>
      <c r="AE31" s="170">
        <f>SUM(AE32,AE33)</f>
        <v>0</v>
      </c>
      <c r="AF31" s="170">
        <f>SUM(AF32,AF33)</f>
        <v>0</v>
      </c>
      <c r="AG31" s="170">
        <f>SUM(AG32,AG33)</f>
        <v>0</v>
      </c>
      <c r="AH31" s="170">
        <f t="shared" si="2"/>
        <v>0</v>
      </c>
      <c r="AI31" s="906">
        <f>SUM(AI32,AI33)</f>
        <v>0</v>
      </c>
      <c r="AJ31" s="442"/>
      <c r="AK31" s="540"/>
      <c r="AL31" s="540"/>
      <c r="AM31" s="540"/>
      <c r="AN31" s="540"/>
      <c r="AO31" s="540"/>
      <c r="AP31" s="540"/>
      <c r="AQ31" s="540"/>
      <c r="AR31" s="540"/>
      <c r="AS31" s="540"/>
      <c r="AT31" s="540"/>
      <c r="AU31" s="540"/>
      <c r="AV31" s="540"/>
      <c r="AW31" s="540"/>
      <c r="AX31" s="540"/>
      <c r="AY31" s="540"/>
      <c r="AZ31" s="540"/>
      <c r="BA31" s="540"/>
      <c r="BB31" s="540"/>
      <c r="BC31" s="540"/>
      <c r="BD31" s="540"/>
      <c r="BE31" s="540"/>
      <c r="BF31" s="540"/>
      <c r="BG31" s="540"/>
      <c r="BH31" s="540"/>
      <c r="BI31" s="540"/>
      <c r="BJ31" s="540"/>
      <c r="BK31" s="540"/>
      <c r="BL31" s="540"/>
      <c r="BM31" s="540"/>
      <c r="BN31" s="774"/>
      <c r="BO31" s="774"/>
      <c r="BP31" s="774"/>
      <c r="BQ31" s="28"/>
      <c r="BS31" s="693" t="s">
        <v>1741</v>
      </c>
    </row>
    <row r="32" spans="1:75" ht="14.65" hidden="1" customHeight="1">
      <c r="E32" s="505">
        <v>15</v>
      </c>
      <c r="F32" s="3" cm="1">
        <f t="array" aca="1" ref="F32" ca="1">OFFSET(E32,-1,1)</f>
        <v>0</v>
      </c>
      <c r="H32" s="276"/>
      <c r="I32" s="276" t="s">
        <v>1947</v>
      </c>
      <c r="K32" s="276" t="s">
        <v>1947</v>
      </c>
      <c r="L32" s="25" t="s">
        <v>1044</v>
      </c>
      <c r="M32" s="25"/>
      <c r="Q32" s="72" t="s">
        <v>2275</v>
      </c>
      <c r="R32" s="75" t="s">
        <v>2275</v>
      </c>
      <c r="T32" s="351" t="b" cm="1">
        <f t="array" ref="T32">T31</f>
        <v>0</v>
      </c>
      <c r="X32" s="1024"/>
      <c r="Z32" s="1008"/>
      <c r="AB32" s="133" t="s">
        <v>1948</v>
      </c>
      <c r="AC32" s="541" t="s">
        <v>1744</v>
      </c>
      <c r="AD32" s="9" t="s">
        <v>859</v>
      </c>
      <c r="AE32" s="777"/>
      <c r="AF32" s="777"/>
      <c r="AG32" s="777"/>
      <c r="AH32" s="170">
        <f t="shared" si="2"/>
        <v>0</v>
      </c>
      <c r="AI32" s="906"/>
      <c r="AJ32" s="442"/>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774"/>
      <c r="BO32" s="774"/>
      <c r="BP32" s="774"/>
      <c r="BS32" s="692" t="s">
        <v>1745</v>
      </c>
    </row>
    <row r="33" spans="2:75" ht="14.65" hidden="1" customHeight="1">
      <c r="E33" s="505">
        <v>15</v>
      </c>
      <c r="F33" s="3" cm="1">
        <f t="array" aca="1" ref="F33" ca="1">OFFSET(E33,-1,1)</f>
        <v>0</v>
      </c>
      <c r="H33" s="276"/>
      <c r="I33" s="276" t="s">
        <v>1949</v>
      </c>
      <c r="K33" s="276" t="s">
        <v>1949</v>
      </c>
      <c r="L33" s="25" t="s">
        <v>1353</v>
      </c>
      <c r="M33" s="25"/>
      <c r="Q33" s="72" t="s">
        <v>2275</v>
      </c>
      <c r="R33" s="75" t="s">
        <v>2275</v>
      </c>
      <c r="T33" s="351" t="b" cm="1">
        <f t="array" ref="T33">T32</f>
        <v>0</v>
      </c>
      <c r="X33" s="1024"/>
      <c r="Z33" s="1008"/>
      <c r="AB33" s="133" t="s">
        <v>1950</v>
      </c>
      <c r="AC33" s="541" t="s">
        <v>1746</v>
      </c>
      <c r="AD33" s="9" t="s">
        <v>859</v>
      </c>
      <c r="AE33" s="777"/>
      <c r="AF33" s="777"/>
      <c r="AG33" s="777"/>
      <c r="AH33" s="170">
        <f t="shared" si="2"/>
        <v>0</v>
      </c>
      <c r="AI33" s="906"/>
      <c r="AJ33" s="442"/>
      <c r="AK33" s="540"/>
      <c r="AL33" s="540"/>
      <c r="AM33" s="540"/>
      <c r="AN33" s="540"/>
      <c r="AO33" s="540"/>
      <c r="AP33" s="540"/>
      <c r="AQ33" s="540"/>
      <c r="AR33" s="540"/>
      <c r="AS33" s="540"/>
      <c r="AT33" s="540"/>
      <c r="AU33" s="540"/>
      <c r="AV33" s="540"/>
      <c r="AW33" s="540"/>
      <c r="AX33" s="540"/>
      <c r="AY33" s="540"/>
      <c r="AZ33" s="540"/>
      <c r="BA33" s="540"/>
      <c r="BB33" s="540"/>
      <c r="BC33" s="540"/>
      <c r="BD33" s="540"/>
      <c r="BE33" s="540"/>
      <c r="BF33" s="540"/>
      <c r="BG33" s="540"/>
      <c r="BH33" s="540"/>
      <c r="BI33" s="540"/>
      <c r="BJ33" s="540"/>
      <c r="BK33" s="540"/>
      <c r="BL33" s="540"/>
      <c r="BM33" s="540"/>
      <c r="BN33" s="774"/>
      <c r="BO33" s="774"/>
      <c r="BP33" s="774"/>
      <c r="BS33" s="692" t="s">
        <v>1747</v>
      </c>
    </row>
    <row r="34" spans="2:75" ht="21.95" hidden="1" customHeight="1">
      <c r="E34" s="505">
        <v>22.5</v>
      </c>
      <c r="F34" s="3" cm="1">
        <f t="array" aca="1" ref="F34" ca="1">OFFSET(E34,-1,1)</f>
        <v>0</v>
      </c>
      <c r="H34" s="276"/>
      <c r="I34" s="276" t="s">
        <v>1381</v>
      </c>
      <c r="K34" s="276" t="s">
        <v>1381</v>
      </c>
      <c r="L34" s="25" t="s">
        <v>514</v>
      </c>
      <c r="M34" s="25"/>
      <c r="Q34" s="72" t="s">
        <v>2275</v>
      </c>
      <c r="R34" s="75" t="s">
        <v>2275</v>
      </c>
      <c r="T34" s="351" t="b" cm="1">
        <f t="array" ref="T34">T33</f>
        <v>0</v>
      </c>
      <c r="X34" s="1024"/>
      <c r="Z34" s="1008"/>
      <c r="AB34" s="133" t="s">
        <v>1382</v>
      </c>
      <c r="AC34" s="134" t="s">
        <v>1951</v>
      </c>
      <c r="AD34" s="9" t="s">
        <v>859</v>
      </c>
      <c r="AE34" s="777"/>
      <c r="AF34" s="777"/>
      <c r="AG34" s="777"/>
      <c r="AH34" s="170">
        <f t="shared" si="2"/>
        <v>0</v>
      </c>
      <c r="AI34" s="906"/>
      <c r="AJ34" s="442"/>
      <c r="AK34" s="540"/>
      <c r="AL34" s="540"/>
      <c r="AM34" s="540"/>
      <c r="AN34" s="540"/>
      <c r="AO34" s="540"/>
      <c r="AP34" s="540"/>
      <c r="AQ34" s="540"/>
      <c r="AR34" s="540"/>
      <c r="AS34" s="540"/>
      <c r="AT34" s="540"/>
      <c r="AU34" s="540"/>
      <c r="AV34" s="540"/>
      <c r="AW34" s="540"/>
      <c r="AX34" s="540"/>
      <c r="AY34" s="540"/>
      <c r="AZ34" s="540"/>
      <c r="BA34" s="540"/>
      <c r="BB34" s="540"/>
      <c r="BC34" s="540"/>
      <c r="BD34" s="540"/>
      <c r="BE34" s="540"/>
      <c r="BF34" s="540"/>
      <c r="BG34" s="540"/>
      <c r="BH34" s="540"/>
      <c r="BI34" s="540"/>
      <c r="BJ34" s="540"/>
      <c r="BK34" s="540"/>
      <c r="BL34" s="540"/>
      <c r="BM34" s="540"/>
      <c r="BN34" s="774"/>
      <c r="BO34" s="774"/>
      <c r="BP34" s="774"/>
      <c r="BS34" s="693" t="s">
        <v>1772</v>
      </c>
    </row>
    <row r="35" spans="2:75" ht="21.95" hidden="1" customHeight="1">
      <c r="E35" s="505">
        <v>22.5</v>
      </c>
      <c r="F35" s="3" cm="1">
        <f t="array" aca="1" ref="F35" ca="1">OFFSET(E35,-1,1)</f>
        <v>0</v>
      </c>
      <c r="H35" s="276"/>
      <c r="I35" s="276" t="s">
        <v>1385</v>
      </c>
      <c r="K35" s="276" t="s">
        <v>1385</v>
      </c>
      <c r="L35" s="25" t="s">
        <v>518</v>
      </c>
      <c r="M35" s="25"/>
      <c r="Q35" s="72" t="s">
        <v>2275</v>
      </c>
      <c r="R35" s="75" t="s">
        <v>2275</v>
      </c>
      <c r="T35" s="351" t="b" cm="1">
        <f t="array" ref="T35">T34</f>
        <v>0</v>
      </c>
      <c r="X35" s="1024"/>
      <c r="Z35" s="1008"/>
      <c r="AB35" s="133" t="s">
        <v>1386</v>
      </c>
      <c r="AC35" s="134" t="s">
        <v>1952</v>
      </c>
      <c r="AD35" s="9" t="s">
        <v>859</v>
      </c>
      <c r="AE35" s="170">
        <f ca="1">AE36+AE37</f>
        <v>0</v>
      </c>
      <c r="AF35" s="170">
        <f ca="1">AF36+AF37</f>
        <v>0</v>
      </c>
      <c r="AG35" s="170">
        <f ca="1">AG36+AG37</f>
        <v>0</v>
      </c>
      <c r="AH35" s="170">
        <f t="shared" ca="1" si="2"/>
        <v>0</v>
      </c>
      <c r="AI35" s="906">
        <f ca="1">AI36+AI37</f>
        <v>0</v>
      </c>
      <c r="AJ35" s="442"/>
      <c r="AK35" s="540"/>
      <c r="AL35" s="540"/>
      <c r="AM35" s="540"/>
      <c r="AN35" s="540"/>
      <c r="AO35" s="540"/>
      <c r="AP35" s="540"/>
      <c r="AQ35" s="540"/>
      <c r="AR35" s="540"/>
      <c r="AS35" s="540"/>
      <c r="AT35" s="540"/>
      <c r="AU35" s="540"/>
      <c r="AV35" s="540"/>
      <c r="AW35" s="540"/>
      <c r="AX35" s="540"/>
      <c r="AY35" s="540"/>
      <c r="AZ35" s="540"/>
      <c r="BA35" s="540"/>
      <c r="BB35" s="540"/>
      <c r="BC35" s="540"/>
      <c r="BD35" s="540"/>
      <c r="BE35" s="540"/>
      <c r="BF35" s="540"/>
      <c r="BG35" s="540"/>
      <c r="BH35" s="540"/>
      <c r="BI35" s="540"/>
      <c r="BJ35" s="540"/>
      <c r="BK35" s="540"/>
      <c r="BL35" s="540"/>
      <c r="BM35" s="540"/>
      <c r="BN35" s="774"/>
      <c r="BO35" s="774"/>
      <c r="BP35" s="774"/>
      <c r="BS35" s="693" t="s">
        <v>1953</v>
      </c>
    </row>
    <row r="36" spans="2:75" ht="14.65" hidden="1" customHeight="1">
      <c r="E36" s="505">
        <v>15</v>
      </c>
      <c r="F36" s="3" cm="1">
        <f t="array" aca="1" ref="F36" ca="1">OFFSET(E36,-1,1)</f>
        <v>0</v>
      </c>
      <c r="G36" s="252" t="s">
        <v>1135</v>
      </c>
      <c r="H36" s="276"/>
      <c r="I36" s="276" t="s">
        <v>1529</v>
      </c>
      <c r="K36" s="276" t="s">
        <v>1529</v>
      </c>
      <c r="L36" s="25" t="s">
        <v>1405</v>
      </c>
      <c r="M36" s="25"/>
      <c r="Q36" s="72" t="s">
        <v>2275</v>
      </c>
      <c r="R36" s="75" t="s">
        <v>2275</v>
      </c>
      <c r="T36" s="351" t="b" cm="1">
        <f t="array" ref="T36">T35</f>
        <v>0</v>
      </c>
      <c r="X36" s="1024"/>
      <c r="Z36" s="1008"/>
      <c r="AB36" s="133" t="s">
        <v>1954</v>
      </c>
      <c r="AC36" s="541" t="s">
        <v>1775</v>
      </c>
      <c r="AD36" s="9" t="s">
        <v>859</v>
      </c>
      <c r="AE36" s="777"/>
      <c r="AF36" s="777"/>
      <c r="AG36" s="777"/>
      <c r="AH36" s="170">
        <f t="shared" si="2"/>
        <v>0</v>
      </c>
      <c r="AI36" s="906"/>
      <c r="AJ36" s="442"/>
      <c r="AK36" s="540"/>
      <c r="AL36" s="540"/>
      <c r="AM36" s="540"/>
      <c r="AN36" s="540"/>
      <c r="AO36" s="540"/>
      <c r="AP36" s="540"/>
      <c r="AQ36" s="540"/>
      <c r="AR36" s="540"/>
      <c r="AS36" s="540"/>
      <c r="AT36" s="540"/>
      <c r="AU36" s="540"/>
      <c r="AV36" s="540"/>
      <c r="AW36" s="540"/>
      <c r="AX36" s="540"/>
      <c r="AY36" s="540"/>
      <c r="AZ36" s="540"/>
      <c r="BA36" s="540"/>
      <c r="BB36" s="540"/>
      <c r="BC36" s="540"/>
      <c r="BD36" s="540"/>
      <c r="BE36" s="540"/>
      <c r="BF36" s="540"/>
      <c r="BG36" s="540"/>
      <c r="BH36" s="540"/>
      <c r="BI36" s="540"/>
      <c r="BJ36" s="540"/>
      <c r="BK36" s="540"/>
      <c r="BL36" s="540"/>
      <c r="BM36" s="540"/>
      <c r="BN36" s="774"/>
      <c r="BO36" s="778" t="str">
        <f ca="1">IF(IFERROR(INDEX(ФОТ!$K$26:$L$89,MATCH($F36&amp;"1komm",ФОТ!$K$26:$K$89,0),2),"")=0,"",IFERROR(INDEX(ФОТ!$K$26:$L$89,MATCH($F36&amp;"1komm",ФОТ!$K$26:$K$89,0),2),""))</f>
        <v/>
      </c>
      <c r="BP36" s="774"/>
      <c r="BS36" s="692" t="s">
        <v>1776</v>
      </c>
    </row>
    <row r="37" spans="2:75" ht="21.95" hidden="1" customHeight="1">
      <c r="E37" s="505">
        <v>22.5</v>
      </c>
      <c r="F37" s="3" cm="1">
        <f t="array" aca="1" ref="F37" ca="1">OFFSET(E37,-1,1)</f>
        <v>0</v>
      </c>
      <c r="G37" s="252" t="s">
        <v>1147</v>
      </c>
      <c r="H37" s="276"/>
      <c r="I37" s="276" t="s">
        <v>1533</v>
      </c>
      <c r="K37" s="276" t="s">
        <v>1533</v>
      </c>
      <c r="L37" s="25" t="s">
        <v>1406</v>
      </c>
      <c r="M37" s="25"/>
      <c r="Q37" s="72" t="s">
        <v>2275</v>
      </c>
      <c r="R37" s="75" t="s">
        <v>2275</v>
      </c>
      <c r="T37" s="351" t="b" cm="1">
        <f t="array" ref="T37">T36</f>
        <v>0</v>
      </c>
      <c r="X37" s="1024"/>
      <c r="Z37" s="1008"/>
      <c r="AB37" s="133" t="s">
        <v>1955</v>
      </c>
      <c r="AC37" s="541" t="s">
        <v>1956</v>
      </c>
      <c r="AD37" s="9" t="s">
        <v>859</v>
      </c>
      <c r="AE37" s="777">
        <f ca="1">AE36*SUMIFS(INDEX(Сценарии!$AE$25:$BF$82,,MATCH(AE$8,Сценарии!$AE$8:$BF$8,0)),Сценарии!$F$25:$F$82,$F37,Сценарии!$G$25:$G$82,"СВФОТ")/100</f>
        <v>0</v>
      </c>
      <c r="AF37" s="777">
        <f ca="1">AF36*SUMIFS(INDEX(Сценарии!$AE$25:$BF$82,,MATCH(AF$8,Сценарии!$AE$8:$BF$8,0)),Сценарии!$F$25:$F$82,$F37,Сценарии!$G$25:$G$82,"СВФОТ")/100</f>
        <v>0</v>
      </c>
      <c r="AG37" s="777">
        <f ca="1">AG36*SUMIFS(INDEX(Сценарии!$AE$25:$BF$82,,MATCH(AG$8,Сценарии!$AE$8:$BF$8,0)),Сценарии!$F$25:$F$82,$F37,Сценарии!$G$25:$G$82,"СВФОТ")/100</f>
        <v>0</v>
      </c>
      <c r="AH37" s="170">
        <f t="shared" ca="1" si="2"/>
        <v>0</v>
      </c>
      <c r="AI37" s="906">
        <f ca="1">AI36*SUMIFS(INDEX(Сценарии!$AE$25:$BF$82,,MATCH(AG$8,Сценарии!$AE$8:$BF$8,0)),Сценарии!$F$25:$F$82,$F37,Сценарии!$G$25:$G$82,"СВФОТ")/100</f>
        <v>0</v>
      </c>
      <c r="AJ37" s="442"/>
      <c r="AK37" s="540"/>
      <c r="AL37" s="540"/>
      <c r="AM37" s="540"/>
      <c r="AN37" s="540"/>
      <c r="AO37" s="540"/>
      <c r="AP37" s="540"/>
      <c r="AQ37" s="540"/>
      <c r="AR37" s="540"/>
      <c r="AS37" s="540"/>
      <c r="AT37" s="540"/>
      <c r="AU37" s="540"/>
      <c r="AV37" s="540"/>
      <c r="AW37" s="540"/>
      <c r="AX37" s="540"/>
      <c r="AY37" s="540"/>
      <c r="AZ37" s="540"/>
      <c r="BA37" s="540"/>
      <c r="BB37" s="540"/>
      <c r="BC37" s="540"/>
      <c r="BD37" s="540"/>
      <c r="BE37" s="540"/>
      <c r="BF37" s="540"/>
      <c r="BG37" s="540"/>
      <c r="BH37" s="540"/>
      <c r="BI37" s="540"/>
      <c r="BJ37" s="540"/>
      <c r="BK37" s="540"/>
      <c r="BL37" s="540"/>
      <c r="BM37" s="540"/>
      <c r="BN37" s="774"/>
      <c r="BO37" s="778" t="str">
        <f ca="1">IF(IFERROR(INDEX(ФОТ!$K$26:$L$89,MATCH($F37&amp;"2komm",ФОТ!$K$26:$K$89,0),2),"")=0,"",IFERROR(INDEX(ФОТ!$K$26:$L$89,MATCH($F37&amp;"2komm",ФОТ!$K$26:$K$89,0),2),""))</f>
        <v/>
      </c>
      <c r="BP37" s="774"/>
      <c r="BS37" s="692" t="s">
        <v>1778</v>
      </c>
    </row>
    <row r="38" spans="2:75" ht="14.65" hidden="1" customHeight="1">
      <c r="E38" s="505">
        <v>15</v>
      </c>
      <c r="F38" s="3" cm="1">
        <f t="array" aca="1" ref="F38" ca="1">OFFSET(E38,-1,1)</f>
        <v>0</v>
      </c>
      <c r="H38" s="276"/>
      <c r="I38" s="276" t="s">
        <v>1544</v>
      </c>
      <c r="K38" s="276" t="s">
        <v>1544</v>
      </c>
      <c r="L38" s="25" t="s">
        <v>1780</v>
      </c>
      <c r="M38" s="25"/>
      <c r="Q38" s="72" t="s">
        <v>2275</v>
      </c>
      <c r="R38" s="75" t="s">
        <v>2275</v>
      </c>
      <c r="T38" s="351" t="b" cm="1">
        <f t="array" ref="T38">T37</f>
        <v>0</v>
      </c>
      <c r="X38" s="1024"/>
      <c r="Z38" s="1008"/>
      <c r="AB38" s="133" t="s">
        <v>1754</v>
      </c>
      <c r="AC38" s="134" t="s">
        <v>1957</v>
      </c>
      <c r="AD38" s="9" t="s">
        <v>859</v>
      </c>
      <c r="AE38" s="777"/>
      <c r="AF38" s="777"/>
      <c r="AG38" s="777"/>
      <c r="AH38" s="170">
        <f t="shared" si="2"/>
        <v>0</v>
      </c>
      <c r="AI38" s="906"/>
      <c r="AJ38" s="442"/>
      <c r="AK38" s="540"/>
      <c r="AL38" s="540"/>
      <c r="AM38" s="540"/>
      <c r="AN38" s="540"/>
      <c r="AO38" s="540"/>
      <c r="AP38" s="540"/>
      <c r="AQ38" s="540"/>
      <c r="AR38" s="540"/>
      <c r="AS38" s="540"/>
      <c r="AT38" s="540"/>
      <c r="AU38" s="540"/>
      <c r="AV38" s="540"/>
      <c r="AW38" s="540"/>
      <c r="AX38" s="540"/>
      <c r="AY38" s="540"/>
      <c r="AZ38" s="540"/>
      <c r="BA38" s="540"/>
      <c r="BB38" s="540"/>
      <c r="BC38" s="540"/>
      <c r="BD38" s="540"/>
      <c r="BE38" s="540"/>
      <c r="BF38" s="540"/>
      <c r="BG38" s="540"/>
      <c r="BH38" s="540"/>
      <c r="BI38" s="540"/>
      <c r="BJ38" s="540"/>
      <c r="BK38" s="540"/>
      <c r="BL38" s="540"/>
      <c r="BM38" s="540"/>
      <c r="BN38" s="774"/>
      <c r="BO38" s="774"/>
      <c r="BP38" s="774"/>
      <c r="BS38" s="693" t="s">
        <v>1783</v>
      </c>
    </row>
    <row r="39" spans="2:75" ht="14.65" hidden="1" customHeight="1">
      <c r="E39" s="505">
        <v>15</v>
      </c>
      <c r="F39" s="3" cm="1">
        <f t="array" aca="1" ref="F39" ca="1">OFFSET(E39,-1,1)</f>
        <v>0</v>
      </c>
      <c r="H39" s="276"/>
      <c r="I39" s="276" t="s">
        <v>1548</v>
      </c>
      <c r="K39" s="276" t="s">
        <v>1548</v>
      </c>
      <c r="L39" s="25" t="s">
        <v>1784</v>
      </c>
      <c r="Q39" s="72" t="s">
        <v>2275</v>
      </c>
      <c r="R39" s="75" t="s">
        <v>2275</v>
      </c>
      <c r="T39" s="351" t="b" cm="1">
        <f t="array" ref="T39">T38</f>
        <v>0</v>
      </c>
      <c r="X39" s="1024"/>
      <c r="Z39" s="1008"/>
      <c r="AB39" s="133" t="s">
        <v>1756</v>
      </c>
      <c r="AC39" s="134" t="s">
        <v>1958</v>
      </c>
      <c r="AD39" s="7" t="s">
        <v>859</v>
      </c>
      <c r="AE39" s="170">
        <f>SUM(AE40:AE46)</f>
        <v>0</v>
      </c>
      <c r="AF39" s="170">
        <f>SUM(AF40:AF46)</f>
        <v>0</v>
      </c>
      <c r="AG39" s="170">
        <f>SUM(AG40:AG46)</f>
        <v>0</v>
      </c>
      <c r="AH39" s="170">
        <f t="shared" si="2"/>
        <v>0</v>
      </c>
      <c r="AI39" s="906">
        <f>SUM(AI40:AI46)</f>
        <v>0</v>
      </c>
      <c r="AJ39" s="442"/>
      <c r="AK39" s="540"/>
      <c r="AL39" s="540"/>
      <c r="AM39" s="540"/>
      <c r="AN39" s="540"/>
      <c r="AO39" s="540"/>
      <c r="AP39" s="540"/>
      <c r="AQ39" s="540"/>
      <c r="AR39" s="540"/>
      <c r="AS39" s="540"/>
      <c r="AT39" s="540"/>
      <c r="AU39" s="540"/>
      <c r="AV39" s="540"/>
      <c r="AW39" s="540"/>
      <c r="AX39" s="540"/>
      <c r="AY39" s="540"/>
      <c r="AZ39" s="540"/>
      <c r="BA39" s="540"/>
      <c r="BB39" s="540"/>
      <c r="BC39" s="540"/>
      <c r="BD39" s="540"/>
      <c r="BE39" s="540"/>
      <c r="BF39" s="540"/>
      <c r="BG39" s="540"/>
      <c r="BH39" s="540"/>
      <c r="BI39" s="540"/>
      <c r="BJ39" s="540"/>
      <c r="BK39" s="540"/>
      <c r="BL39" s="540"/>
      <c r="BM39" s="540"/>
      <c r="BN39" s="774"/>
      <c r="BO39" s="774"/>
      <c r="BP39" s="774"/>
      <c r="BS39" s="693" t="s">
        <v>1959</v>
      </c>
    </row>
    <row r="40" spans="2:75" ht="14.65" hidden="1" customHeight="1">
      <c r="E40" s="505">
        <v>15</v>
      </c>
      <c r="F40" s="3" cm="1">
        <f t="array" aca="1" ref="F40" ca="1">OFFSET(E40,-1,1)</f>
        <v>0</v>
      </c>
      <c r="H40" s="276"/>
      <c r="I40" s="276" t="s">
        <v>1960</v>
      </c>
      <c r="K40" s="276" t="s">
        <v>1960</v>
      </c>
      <c r="L40" s="25" t="s">
        <v>1784</v>
      </c>
      <c r="M40" s="25" t="s">
        <v>1792</v>
      </c>
      <c r="Q40" s="72" t="s">
        <v>2275</v>
      </c>
      <c r="R40" s="75" t="s">
        <v>2275</v>
      </c>
      <c r="T40" s="351" t="b" cm="1">
        <f t="array" ref="T40">T39</f>
        <v>0</v>
      </c>
      <c r="X40" s="1024"/>
      <c r="Z40" s="1008"/>
      <c r="AB40" s="133" t="s">
        <v>1961</v>
      </c>
      <c r="AC40" s="541" t="s">
        <v>1962</v>
      </c>
      <c r="AD40" s="7" t="s">
        <v>859</v>
      </c>
      <c r="AE40" s="777"/>
      <c r="AF40" s="777"/>
      <c r="AG40" s="777"/>
      <c r="AH40" s="170">
        <f t="shared" si="2"/>
        <v>0</v>
      </c>
      <c r="AI40" s="906"/>
      <c r="AJ40" s="442"/>
      <c r="AK40" s="540"/>
      <c r="AL40" s="540"/>
      <c r="AM40" s="540"/>
      <c r="AN40" s="540"/>
      <c r="AO40" s="540"/>
      <c r="AP40" s="540"/>
      <c r="AQ40" s="540"/>
      <c r="AR40" s="540"/>
      <c r="AS40" s="540"/>
      <c r="AT40" s="540"/>
      <c r="AU40" s="540"/>
      <c r="AV40" s="540"/>
      <c r="AW40" s="540"/>
      <c r="AX40" s="540"/>
      <c r="AY40" s="540"/>
      <c r="AZ40" s="540"/>
      <c r="BA40" s="540"/>
      <c r="BB40" s="540"/>
      <c r="BC40" s="540"/>
      <c r="BD40" s="540"/>
      <c r="BE40" s="540"/>
      <c r="BF40" s="540"/>
      <c r="BG40" s="540"/>
      <c r="BH40" s="540"/>
      <c r="BI40" s="540"/>
      <c r="BJ40" s="540"/>
      <c r="BK40" s="540"/>
      <c r="BL40" s="540"/>
      <c r="BM40" s="540"/>
      <c r="BN40" s="774"/>
      <c r="BO40" s="774"/>
      <c r="BP40" s="774"/>
      <c r="BS40" s="692" t="s">
        <v>1795</v>
      </c>
    </row>
    <row r="41" spans="2:75" ht="21.95" hidden="1" customHeight="1">
      <c r="E41" s="505">
        <v>22.5</v>
      </c>
      <c r="F41" s="3" cm="1">
        <f t="array" aca="1" ref="F41" ca="1">OFFSET(E41,-1,1)</f>
        <v>0</v>
      </c>
      <c r="H41" s="276"/>
      <c r="I41" s="276" t="s">
        <v>1963</v>
      </c>
      <c r="K41" s="276" t="s">
        <v>1963</v>
      </c>
      <c r="L41" s="25" t="s">
        <v>1784</v>
      </c>
      <c r="M41" s="25" t="s">
        <v>1788</v>
      </c>
      <c r="Q41" s="72" t="s">
        <v>2275</v>
      </c>
      <c r="R41" s="75" t="s">
        <v>2275</v>
      </c>
      <c r="T41" s="351" t="b" cm="1">
        <f t="array" ref="T41">T40</f>
        <v>0</v>
      </c>
      <c r="X41" s="1024"/>
      <c r="Z41" s="1008"/>
      <c r="AB41" s="133" t="s">
        <v>1964</v>
      </c>
      <c r="AC41" s="541" t="s">
        <v>1965</v>
      </c>
      <c r="AD41" s="7" t="s">
        <v>859</v>
      </c>
      <c r="AE41" s="777"/>
      <c r="AF41" s="777"/>
      <c r="AG41" s="777"/>
      <c r="AH41" s="170">
        <f t="shared" si="2"/>
        <v>0</v>
      </c>
      <c r="AI41" s="906"/>
      <c r="AJ41" s="442"/>
      <c r="AK41" s="540"/>
      <c r="AL41" s="540"/>
      <c r="AM41" s="540"/>
      <c r="AN41" s="540"/>
      <c r="AO41" s="540"/>
      <c r="AP41" s="540"/>
      <c r="AQ41" s="540"/>
      <c r="AR41" s="540"/>
      <c r="AS41" s="540"/>
      <c r="AT41" s="540"/>
      <c r="AU41" s="540"/>
      <c r="AV41" s="540"/>
      <c r="AW41" s="540"/>
      <c r="AX41" s="540"/>
      <c r="AY41" s="540"/>
      <c r="AZ41" s="540"/>
      <c r="BA41" s="540"/>
      <c r="BB41" s="540"/>
      <c r="BC41" s="540"/>
      <c r="BD41" s="540"/>
      <c r="BE41" s="540"/>
      <c r="BF41" s="540"/>
      <c r="BG41" s="540"/>
      <c r="BH41" s="540"/>
      <c r="BI41" s="540"/>
      <c r="BJ41" s="540"/>
      <c r="BK41" s="540"/>
      <c r="BL41" s="540"/>
      <c r="BM41" s="540"/>
      <c r="BN41" s="774"/>
      <c r="BO41" s="774"/>
      <c r="BP41" s="774"/>
      <c r="BS41" s="694" t="s">
        <v>1966</v>
      </c>
    </row>
    <row r="42" spans="2:75" ht="21.95" hidden="1" customHeight="1">
      <c r="E42" s="505">
        <v>22.5</v>
      </c>
      <c r="F42" s="3" cm="1">
        <f t="array" aca="1" ref="F42" ca="1">OFFSET(E42,-1,1)</f>
        <v>0</v>
      </c>
      <c r="H42" s="276"/>
      <c r="I42" s="276" t="s">
        <v>1967</v>
      </c>
      <c r="K42" s="276" t="s">
        <v>1967</v>
      </c>
      <c r="Q42" s="72" t="s">
        <v>2275</v>
      </c>
      <c r="R42" s="75" t="s">
        <v>2275</v>
      </c>
      <c r="T42" s="351" t="b" cm="1">
        <f t="array" ref="T42">T41</f>
        <v>0</v>
      </c>
      <c r="X42" s="1024"/>
      <c r="Z42" s="1008"/>
      <c r="AB42" s="133" t="s">
        <v>1968</v>
      </c>
      <c r="AC42" s="542" t="s">
        <v>1969</v>
      </c>
      <c r="AD42" s="7" t="s">
        <v>859</v>
      </c>
      <c r="AE42" s="777"/>
      <c r="AF42" s="777"/>
      <c r="AG42" s="777"/>
      <c r="AH42" s="170">
        <f t="shared" si="2"/>
        <v>0</v>
      </c>
      <c r="AI42" s="906"/>
      <c r="AJ42" s="442"/>
      <c r="AK42" s="540"/>
      <c r="AL42" s="540"/>
      <c r="AM42" s="540"/>
      <c r="AN42" s="540"/>
      <c r="AO42" s="540"/>
      <c r="AP42" s="540"/>
      <c r="AQ42" s="540"/>
      <c r="AR42" s="540"/>
      <c r="AS42" s="540"/>
      <c r="AT42" s="540"/>
      <c r="AU42" s="540"/>
      <c r="AV42" s="540"/>
      <c r="AW42" s="540"/>
      <c r="AX42" s="540"/>
      <c r="AY42" s="540"/>
      <c r="AZ42" s="540"/>
      <c r="BA42" s="540"/>
      <c r="BB42" s="540"/>
      <c r="BC42" s="540"/>
      <c r="BD42" s="540"/>
      <c r="BE42" s="540"/>
      <c r="BF42" s="540"/>
      <c r="BG42" s="540"/>
      <c r="BH42" s="540"/>
      <c r="BI42" s="540"/>
      <c r="BJ42" s="540"/>
      <c r="BK42" s="540"/>
      <c r="BL42" s="540"/>
      <c r="BM42" s="540"/>
      <c r="BN42" s="774"/>
      <c r="BO42" s="774"/>
      <c r="BP42" s="774"/>
      <c r="BS42" s="694" t="s">
        <v>1970</v>
      </c>
    </row>
    <row r="43" spans="2:75" ht="21.95" hidden="1" customHeight="1">
      <c r="E43" s="505">
        <v>22.5</v>
      </c>
      <c r="F43" s="3" cm="1">
        <f t="array" aca="1" ref="F43" ca="1">OFFSET(E43,-1,1)</f>
        <v>0</v>
      </c>
      <c r="H43" s="276"/>
      <c r="I43" s="276" t="s">
        <v>1971</v>
      </c>
      <c r="K43" s="276" t="s">
        <v>1971</v>
      </c>
      <c r="L43" s="25"/>
      <c r="Q43" s="72" t="s">
        <v>2275</v>
      </c>
      <c r="R43" s="75" t="s">
        <v>2275</v>
      </c>
      <c r="T43" s="351" t="b" cm="1">
        <f t="array" ref="T43">T42</f>
        <v>0</v>
      </c>
      <c r="X43" s="1024"/>
      <c r="Z43" s="1008"/>
      <c r="AB43" s="133" t="s">
        <v>1972</v>
      </c>
      <c r="AC43" s="542" t="s">
        <v>1973</v>
      </c>
      <c r="AD43" s="7" t="s">
        <v>859</v>
      </c>
      <c r="AE43" s="777"/>
      <c r="AF43" s="777"/>
      <c r="AG43" s="777"/>
      <c r="AH43" s="170">
        <f t="shared" si="2"/>
        <v>0</v>
      </c>
      <c r="AI43" s="906"/>
      <c r="AJ43" s="442"/>
      <c r="AK43" s="540"/>
      <c r="AL43" s="540"/>
      <c r="AM43" s="540"/>
      <c r="AN43" s="540"/>
      <c r="AO43" s="540"/>
      <c r="AP43" s="540"/>
      <c r="AQ43" s="540"/>
      <c r="AR43" s="540"/>
      <c r="AS43" s="540"/>
      <c r="AT43" s="540"/>
      <c r="AU43" s="540"/>
      <c r="AV43" s="540"/>
      <c r="AW43" s="540"/>
      <c r="AX43" s="540"/>
      <c r="AY43" s="540"/>
      <c r="AZ43" s="540"/>
      <c r="BA43" s="540"/>
      <c r="BB43" s="540"/>
      <c r="BC43" s="540"/>
      <c r="BD43" s="540"/>
      <c r="BE43" s="540"/>
      <c r="BF43" s="540"/>
      <c r="BG43" s="540"/>
      <c r="BH43" s="540"/>
      <c r="BI43" s="540"/>
      <c r="BJ43" s="540"/>
      <c r="BK43" s="540"/>
      <c r="BL43" s="540"/>
      <c r="BM43" s="540"/>
      <c r="BN43" s="774"/>
      <c r="BO43" s="774"/>
      <c r="BP43" s="774"/>
      <c r="BS43" s="694" t="s">
        <v>1974</v>
      </c>
    </row>
    <row r="44" spans="2:75" ht="43.9" hidden="1" customHeight="1">
      <c r="E44" s="505">
        <v>45</v>
      </c>
      <c r="F44" s="3" cm="1">
        <f t="array" aca="1" ref="F44" ca="1">OFFSET(E44,-1,1)</f>
        <v>0</v>
      </c>
      <c r="H44" s="276"/>
      <c r="I44" s="276" t="s">
        <v>1975</v>
      </c>
      <c r="K44" s="276" t="s">
        <v>1975</v>
      </c>
      <c r="L44" s="25" t="s">
        <v>1784</v>
      </c>
      <c r="M44" s="25" t="s">
        <v>1796</v>
      </c>
      <c r="Q44" s="72" t="s">
        <v>2275</v>
      </c>
      <c r="R44" s="75" t="s">
        <v>2275</v>
      </c>
      <c r="T44" s="351" t="b" cm="1">
        <f t="array" ref="T44">T43</f>
        <v>0</v>
      </c>
      <c r="X44" s="1024"/>
      <c r="Z44" s="1008"/>
      <c r="AB44" s="133" t="s">
        <v>1976</v>
      </c>
      <c r="AC44" s="541" t="s">
        <v>1977</v>
      </c>
      <c r="AD44" s="7" t="s">
        <v>859</v>
      </c>
      <c r="AE44" s="777"/>
      <c r="AF44" s="777"/>
      <c r="AG44" s="777"/>
      <c r="AH44" s="170">
        <f t="shared" si="2"/>
        <v>0</v>
      </c>
      <c r="AI44" s="906"/>
      <c r="AJ44" s="442"/>
      <c r="AK44" s="540"/>
      <c r="AL44" s="540"/>
      <c r="AM44" s="540"/>
      <c r="AN44" s="540"/>
      <c r="AO44" s="540"/>
      <c r="AP44" s="540"/>
      <c r="AQ44" s="540"/>
      <c r="AR44" s="540"/>
      <c r="AS44" s="540"/>
      <c r="AT44" s="540"/>
      <c r="AU44" s="540"/>
      <c r="AV44" s="540"/>
      <c r="AW44" s="540"/>
      <c r="AX44" s="540"/>
      <c r="AY44" s="540"/>
      <c r="AZ44" s="540"/>
      <c r="BA44" s="540"/>
      <c r="BB44" s="540"/>
      <c r="BC44" s="540"/>
      <c r="BD44" s="540"/>
      <c r="BE44" s="540"/>
      <c r="BF44" s="540"/>
      <c r="BG44" s="540"/>
      <c r="BH44" s="540"/>
      <c r="BI44" s="540"/>
      <c r="BJ44" s="540"/>
      <c r="BK44" s="540"/>
      <c r="BL44" s="540"/>
      <c r="BM44" s="540"/>
      <c r="BN44" s="774"/>
      <c r="BO44" s="774"/>
      <c r="BP44" s="774"/>
      <c r="BS44" s="694" t="s">
        <v>1799</v>
      </c>
    </row>
    <row r="45" spans="2:75" ht="14.65" hidden="1" customHeight="1">
      <c r="E45" s="505">
        <v>15</v>
      </c>
      <c r="F45" s="3" cm="1">
        <f t="array" aca="1" ref="F45" ca="1">OFFSET(E45,-1,1)</f>
        <v>0</v>
      </c>
      <c r="H45" s="276"/>
      <c r="I45" s="276" t="s">
        <v>1978</v>
      </c>
      <c r="K45" s="276" t="s">
        <v>1978</v>
      </c>
      <c r="L45" s="25" t="s">
        <v>1784</v>
      </c>
      <c r="M45" s="25" t="s">
        <v>1800</v>
      </c>
      <c r="Q45" s="72" t="s">
        <v>2275</v>
      </c>
      <c r="R45" s="75" t="s">
        <v>2275</v>
      </c>
      <c r="T45" s="351" t="b" cm="1">
        <f t="array" ref="T45">T44</f>
        <v>0</v>
      </c>
      <c r="X45" s="1024"/>
      <c r="Z45" s="1008"/>
      <c r="AB45" s="133" t="s">
        <v>1979</v>
      </c>
      <c r="AC45" s="541" t="s">
        <v>1802</v>
      </c>
      <c r="AD45" s="7" t="s">
        <v>859</v>
      </c>
      <c r="AE45" s="777"/>
      <c r="AF45" s="777"/>
      <c r="AG45" s="777"/>
      <c r="AH45" s="170">
        <f t="shared" si="2"/>
        <v>0</v>
      </c>
      <c r="AI45" s="906"/>
      <c r="AJ45" s="442"/>
      <c r="AK45" s="540"/>
      <c r="AL45" s="540"/>
      <c r="AM45" s="540"/>
      <c r="AN45" s="540"/>
      <c r="AO45" s="540"/>
      <c r="AP45" s="540"/>
      <c r="AQ45" s="540"/>
      <c r="AR45" s="540"/>
      <c r="AS45" s="540"/>
      <c r="AT45" s="540"/>
      <c r="AU45" s="540"/>
      <c r="AV45" s="540"/>
      <c r="AW45" s="540"/>
      <c r="AX45" s="540"/>
      <c r="AY45" s="540"/>
      <c r="AZ45" s="540"/>
      <c r="BA45" s="540"/>
      <c r="BB45" s="540"/>
      <c r="BC45" s="540"/>
      <c r="BD45" s="540"/>
      <c r="BE45" s="540"/>
      <c r="BF45" s="540"/>
      <c r="BG45" s="540"/>
      <c r="BH45" s="540"/>
      <c r="BI45" s="540"/>
      <c r="BJ45" s="540"/>
      <c r="BK45" s="540"/>
      <c r="BL45" s="540"/>
      <c r="BM45" s="540"/>
      <c r="BN45" s="774"/>
      <c r="BO45" s="774"/>
      <c r="BP45" s="774"/>
      <c r="BS45" s="694" t="s">
        <v>1803</v>
      </c>
    </row>
    <row r="46" spans="2:75" ht="14.65" hidden="1" customHeight="1">
      <c r="E46" s="505">
        <v>15</v>
      </c>
      <c r="F46" s="3" cm="1">
        <f t="array" aca="1" ref="F46" ca="1">OFFSET(E46,-1,1)</f>
        <v>0</v>
      </c>
      <c r="H46" s="276"/>
      <c r="I46" s="276" t="s">
        <v>1980</v>
      </c>
      <c r="K46" s="276" t="s">
        <v>1980</v>
      </c>
      <c r="L46" s="25"/>
      <c r="M46" s="25"/>
      <c r="Q46" s="72" t="s">
        <v>2275</v>
      </c>
      <c r="R46" s="75" t="s">
        <v>2275</v>
      </c>
      <c r="T46" s="351" t="b" cm="1">
        <f t="array" ref="T46">T45</f>
        <v>0</v>
      </c>
      <c r="X46" s="1024"/>
      <c r="Z46" s="1008"/>
      <c r="AB46" s="133" t="s">
        <v>1981</v>
      </c>
      <c r="AC46" s="541" t="s">
        <v>1982</v>
      </c>
      <c r="AD46" s="7" t="s">
        <v>859</v>
      </c>
      <c r="AE46" s="777"/>
      <c r="AF46" s="777"/>
      <c r="AG46" s="777"/>
      <c r="AH46" s="170">
        <f t="shared" si="2"/>
        <v>0</v>
      </c>
      <c r="AI46" s="906"/>
      <c r="AJ46" s="442"/>
      <c r="AK46" s="540"/>
      <c r="AL46" s="540"/>
      <c r="AM46" s="540"/>
      <c r="AN46" s="540"/>
      <c r="AO46" s="540"/>
      <c r="AP46" s="540"/>
      <c r="AQ46" s="540"/>
      <c r="AR46" s="540"/>
      <c r="AS46" s="540"/>
      <c r="AT46" s="540"/>
      <c r="AU46" s="540"/>
      <c r="AV46" s="540"/>
      <c r="AW46" s="540"/>
      <c r="AX46" s="540"/>
      <c r="AY46" s="540"/>
      <c r="AZ46" s="540"/>
      <c r="BA46" s="540"/>
      <c r="BB46" s="540"/>
      <c r="BC46" s="540"/>
      <c r="BD46" s="540"/>
      <c r="BE46" s="540"/>
      <c r="BF46" s="540"/>
      <c r="BG46" s="540"/>
      <c r="BH46" s="540"/>
      <c r="BI46" s="540"/>
      <c r="BJ46" s="540"/>
      <c r="BK46" s="540"/>
      <c r="BL46" s="540"/>
      <c r="BM46" s="540"/>
      <c r="BN46" s="774"/>
      <c r="BO46" s="774"/>
      <c r="BP46" s="774"/>
      <c r="BS46" s="694" t="s">
        <v>1787</v>
      </c>
    </row>
    <row r="47" spans="2:75" s="76" customFormat="1" ht="20.45" hidden="1" customHeight="1">
      <c r="B47" s="331"/>
      <c r="E47" s="509">
        <v>21</v>
      </c>
      <c r="F47" s="3" cm="1">
        <f t="array" aca="1" ref="F47" ca="1">OFFSET(E47,-1,1)</f>
        <v>0</v>
      </c>
      <c r="H47" s="276"/>
      <c r="I47" s="276" t="s">
        <v>514</v>
      </c>
      <c r="K47" s="276" t="s">
        <v>514</v>
      </c>
      <c r="L47" s="27"/>
      <c r="M47" s="27"/>
      <c r="Q47" s="72" t="s">
        <v>2275</v>
      </c>
      <c r="R47" s="75" t="s">
        <v>2275</v>
      </c>
      <c r="T47" s="351" t="b" cm="1">
        <f t="array" ref="T47">T46</f>
        <v>0</v>
      </c>
      <c r="X47" s="1024"/>
      <c r="Z47" s="1008"/>
      <c r="AB47" s="131" t="s">
        <v>942</v>
      </c>
      <c r="AC47" s="262" t="s">
        <v>1807</v>
      </c>
      <c r="AD47" s="124" t="s">
        <v>859</v>
      </c>
      <c r="AE47" s="126">
        <f>AE48+AE49+AE50</f>
        <v>0</v>
      </c>
      <c r="AF47" s="126">
        <f>AF48+AF49+AF50</f>
        <v>0</v>
      </c>
      <c r="AG47" s="126">
        <f>AG48+AG49+AG50</f>
        <v>0</v>
      </c>
      <c r="AH47" s="126">
        <f t="shared" si="2"/>
        <v>0</v>
      </c>
      <c r="AI47" s="905">
        <f>AI48+AI49+AI50</f>
        <v>0</v>
      </c>
      <c r="AJ47" s="442"/>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776"/>
      <c r="BO47" s="776"/>
      <c r="BP47" s="776"/>
      <c r="BS47" s="693" t="s">
        <v>1808</v>
      </c>
      <c r="BT47" s="700"/>
      <c r="BU47" s="700"/>
      <c r="BV47" s="509"/>
      <c r="BW47" s="509"/>
    </row>
    <row r="48" spans="2:75" ht="21.95" hidden="1" customHeight="1">
      <c r="E48" s="505">
        <v>22.5</v>
      </c>
      <c r="F48" s="3" cm="1">
        <f t="array" aca="1" ref="F48" ca="1">OFFSET(E48,-1,1)</f>
        <v>0</v>
      </c>
      <c r="H48" s="276"/>
      <c r="I48" s="276" t="s">
        <v>1391</v>
      </c>
      <c r="K48" s="276" t="s">
        <v>1391</v>
      </c>
      <c r="L48" s="25"/>
      <c r="M48" s="25"/>
      <c r="Q48" s="72" t="s">
        <v>2275</v>
      </c>
      <c r="R48" s="75" t="s">
        <v>2275</v>
      </c>
      <c r="T48" s="351" t="b" cm="1">
        <f t="array" ref="T48">T47</f>
        <v>0</v>
      </c>
      <c r="X48" s="1024"/>
      <c r="Z48" s="1008"/>
      <c r="AB48" s="133" t="s">
        <v>1392</v>
      </c>
      <c r="AC48" s="134" t="s">
        <v>1983</v>
      </c>
      <c r="AD48" s="7" t="s">
        <v>859</v>
      </c>
      <c r="AE48" s="777"/>
      <c r="AF48" s="777"/>
      <c r="AG48" s="777"/>
      <c r="AH48" s="170">
        <f t="shared" si="2"/>
        <v>0</v>
      </c>
      <c r="AI48" s="906"/>
      <c r="AJ48" s="442"/>
      <c r="AK48" s="540"/>
      <c r="AL48" s="540"/>
      <c r="AM48" s="540"/>
      <c r="AN48" s="540"/>
      <c r="AO48" s="540"/>
      <c r="AP48" s="540"/>
      <c r="AQ48" s="540"/>
      <c r="AR48" s="540"/>
      <c r="AS48" s="540"/>
      <c r="AT48" s="540"/>
      <c r="AU48" s="540"/>
      <c r="AV48" s="540"/>
      <c r="AW48" s="540"/>
      <c r="AX48" s="540"/>
      <c r="AY48" s="540"/>
      <c r="AZ48" s="540"/>
      <c r="BA48" s="540"/>
      <c r="BB48" s="540"/>
      <c r="BC48" s="540"/>
      <c r="BD48" s="540"/>
      <c r="BE48" s="540"/>
      <c r="BF48" s="540"/>
      <c r="BG48" s="540"/>
      <c r="BH48" s="540"/>
      <c r="BI48" s="540"/>
      <c r="BJ48" s="540"/>
      <c r="BK48" s="540"/>
      <c r="BL48" s="540"/>
      <c r="BM48" s="540"/>
      <c r="BN48" s="774"/>
      <c r="BO48" s="774"/>
      <c r="BP48" s="774"/>
      <c r="BS48" s="692" t="s">
        <v>1810</v>
      </c>
    </row>
    <row r="49" spans="2:75" ht="21.95" hidden="1" customHeight="1">
      <c r="E49" s="505">
        <v>22.5</v>
      </c>
      <c r="F49" s="3" cm="1">
        <f t="array" aca="1" ref="F49" ca="1">OFFSET(E49,-1,1)</f>
        <v>0</v>
      </c>
      <c r="H49" s="276"/>
      <c r="I49" s="276" t="s">
        <v>1395</v>
      </c>
      <c r="K49" s="276" t="s">
        <v>1395</v>
      </c>
      <c r="L49" s="25"/>
      <c r="M49" s="25"/>
      <c r="Q49" s="72" t="s">
        <v>2275</v>
      </c>
      <c r="R49" s="75" t="s">
        <v>2275</v>
      </c>
      <c r="T49" s="351" t="b" cm="1">
        <f t="array" ref="T49">T48</f>
        <v>0</v>
      </c>
      <c r="X49" s="1024"/>
      <c r="Z49" s="1008"/>
      <c r="AB49" s="133" t="s">
        <v>1396</v>
      </c>
      <c r="AC49" s="134" t="s">
        <v>1984</v>
      </c>
      <c r="AD49" s="7" t="s">
        <v>859</v>
      </c>
      <c r="AE49" s="777"/>
      <c r="AF49" s="777"/>
      <c r="AG49" s="777"/>
      <c r="AH49" s="170">
        <f t="shared" si="2"/>
        <v>0</v>
      </c>
      <c r="AI49" s="906"/>
      <c r="AJ49" s="442"/>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774"/>
      <c r="BO49" s="774"/>
      <c r="BP49" s="774"/>
      <c r="BS49" s="694" t="s">
        <v>1985</v>
      </c>
    </row>
    <row r="50" spans="2:75" ht="21.95" hidden="1" customHeight="1">
      <c r="E50" s="505">
        <v>22.5</v>
      </c>
      <c r="F50" s="3" cm="1">
        <f t="array" aca="1" ref="F50" ca="1">OFFSET(E50,-1,1)</f>
        <v>0</v>
      </c>
      <c r="H50" s="276"/>
      <c r="I50" s="276" t="s">
        <v>1399</v>
      </c>
      <c r="K50" s="276" t="s">
        <v>1399</v>
      </c>
      <c r="L50" s="25" t="s">
        <v>528</v>
      </c>
      <c r="M50" s="25"/>
      <c r="Q50" s="72" t="s">
        <v>2275</v>
      </c>
      <c r="R50" s="75" t="s">
        <v>2275</v>
      </c>
      <c r="T50" s="351" t="b" cm="1">
        <f t="array" ref="T50">T49</f>
        <v>0</v>
      </c>
      <c r="X50" s="1024"/>
      <c r="Z50" s="1008"/>
      <c r="AB50" s="133" t="s">
        <v>1400</v>
      </c>
      <c r="AC50" s="134" t="s">
        <v>1986</v>
      </c>
      <c r="AD50" s="7" t="s">
        <v>859</v>
      </c>
      <c r="AE50" s="777"/>
      <c r="AF50" s="777"/>
      <c r="AG50" s="777"/>
      <c r="AH50" s="170">
        <f t="shared" si="2"/>
        <v>0</v>
      </c>
      <c r="AI50" s="906"/>
      <c r="AJ50" s="442"/>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774"/>
      <c r="BO50" s="774"/>
      <c r="BP50" s="774"/>
      <c r="BS50" s="692" t="s">
        <v>1812</v>
      </c>
    </row>
    <row r="51" spans="2:75" ht="14.65" hidden="1" customHeight="1">
      <c r="E51" s="505">
        <v>15</v>
      </c>
      <c r="F51" s="3" cm="1">
        <f t="array" aca="1" ref="F51" ca="1">OFFSET(E51,-1,1)</f>
        <v>0</v>
      </c>
      <c r="G51" s="2" t="s">
        <v>1150</v>
      </c>
      <c r="H51" s="276"/>
      <c r="I51" s="276" t="s">
        <v>1987</v>
      </c>
      <c r="K51" s="276" t="s">
        <v>1987</v>
      </c>
      <c r="L51" s="25" t="s">
        <v>1813</v>
      </c>
      <c r="M51" s="25"/>
      <c r="Q51" s="72" t="s">
        <v>2275</v>
      </c>
      <c r="R51" s="75" t="s">
        <v>2275</v>
      </c>
      <c r="T51" s="351" t="b" cm="1">
        <f t="array" ref="T51">T50</f>
        <v>0</v>
      </c>
      <c r="X51" s="1024"/>
      <c r="Z51" s="1008"/>
      <c r="AB51" s="133" t="s">
        <v>1988</v>
      </c>
      <c r="AC51" s="541" t="s">
        <v>1814</v>
      </c>
      <c r="AD51" s="7" t="s">
        <v>859</v>
      </c>
      <c r="AE51" s="777"/>
      <c r="AF51" s="777"/>
      <c r="AG51" s="777"/>
      <c r="AH51" s="170">
        <f t="shared" si="2"/>
        <v>0</v>
      </c>
      <c r="AI51" s="906"/>
      <c r="AJ51" s="442"/>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774"/>
      <c r="BO51" s="778" t="str">
        <f ca="1">IF(IFERROR(INDEX(ФОТ!$K$26:$L$89,MATCH($F51&amp;"3komm",ФОТ!$K$26:$K$89,0),2),"")=0,"",IFERROR(INDEX(ФОТ!$K$26:$L$89,MATCH($F51&amp;"3komm",ФОТ!$K$26:$K$89,0),2),""))</f>
        <v/>
      </c>
      <c r="BP51" s="774"/>
      <c r="BS51" s="692" t="s">
        <v>1815</v>
      </c>
    </row>
    <row r="52" spans="2:75" ht="21.95" hidden="1" customHeight="1">
      <c r="E52" s="505">
        <v>22.5</v>
      </c>
      <c r="F52" s="3" cm="1">
        <f t="array" aca="1" ref="F52" ca="1">OFFSET(E52,-1,1)</f>
        <v>0</v>
      </c>
      <c r="G52" s="2" t="s">
        <v>1155</v>
      </c>
      <c r="H52" s="276"/>
      <c r="I52" s="276" t="s">
        <v>1989</v>
      </c>
      <c r="K52" s="276" t="s">
        <v>1989</v>
      </c>
      <c r="L52" s="25" t="s">
        <v>1816</v>
      </c>
      <c r="M52" s="25"/>
      <c r="Q52" s="72" t="s">
        <v>2275</v>
      </c>
      <c r="R52" s="75" t="s">
        <v>2275</v>
      </c>
      <c r="T52" s="351" t="b" cm="1">
        <f t="array" ref="T52">T51</f>
        <v>0</v>
      </c>
      <c r="X52" s="1024"/>
      <c r="Z52" s="1008"/>
      <c r="AB52" s="133" t="s">
        <v>1990</v>
      </c>
      <c r="AC52" s="541" t="s">
        <v>1991</v>
      </c>
      <c r="AD52" s="7" t="s">
        <v>859</v>
      </c>
      <c r="AE52" s="777">
        <f ca="1">AE51*SUMIFS(INDEX(Сценарии!$AE$25:$BF$82,,MATCH(AE$8,Сценарии!$AE$8:$BF$8,0)),Сценарии!$F$25:$F$82,$F52,Сценарии!$G$25:$G$82,"СВФОТ")/100</f>
        <v>0</v>
      </c>
      <c r="AF52" s="777">
        <f ca="1">AF51*SUMIFS(INDEX(Сценарии!$AE$25:$BF$82,,MATCH(AF$8,Сценарии!$AE$8:$BF$8,0)),Сценарии!$F$25:$F$82,$F52,Сценарии!$G$25:$G$82,"СВФОТ")/100</f>
        <v>0</v>
      </c>
      <c r="AG52" s="777">
        <f ca="1">AG51*SUMIFS(INDEX(Сценарии!$AE$25:$BF$82,,MATCH(AG$8,Сценарии!$AE$8:$BF$8,0)),Сценарии!$F$25:$F$82,$F52,Сценарии!$G$25:$G$82,"СВФОТ")/100</f>
        <v>0</v>
      </c>
      <c r="AH52" s="170">
        <f t="shared" ca="1" si="2"/>
        <v>0</v>
      </c>
      <c r="AI52" s="906">
        <f ca="1">AI51*SUMIFS(INDEX(Сценарии!$AE$25:$BF$82,,MATCH(AG$8,Сценарии!$AE$8:$BF$8,0)),Сценарии!$F$25:$F$82,$F52,Сценарии!$G$25:$G$82,"СВФОТ")/100</f>
        <v>0</v>
      </c>
      <c r="AJ52" s="442"/>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774"/>
      <c r="BO52" s="778" t="str">
        <f ca="1">IF(IFERROR(INDEX(ФОТ!$K$26:$L$89,MATCH($F52&amp;"4komm",ФОТ!$K$26:$K$89,0),2),"")=0,"",IFERROR(INDEX(ФОТ!$K$26:$L$89,MATCH($F52&amp;"4komm",ФОТ!$K$26:$K$89,0),2),""))</f>
        <v/>
      </c>
      <c r="BP52" s="774"/>
      <c r="BS52" s="692" t="s">
        <v>1818</v>
      </c>
    </row>
    <row r="53" spans="2:75" s="76" customFormat="1" ht="20.45" hidden="1" customHeight="1">
      <c r="B53" s="331"/>
      <c r="E53" s="509">
        <v>21</v>
      </c>
      <c r="F53" s="3" cm="1">
        <f t="array" aca="1" ref="F53" ca="1">OFFSET(E53,-1,1)</f>
        <v>0</v>
      </c>
      <c r="H53" s="276"/>
      <c r="I53" s="276" t="s">
        <v>518</v>
      </c>
      <c r="K53" s="276" t="s">
        <v>518</v>
      </c>
      <c r="L53" s="27" t="s">
        <v>323</v>
      </c>
      <c r="M53" s="27"/>
      <c r="Q53" s="72" t="s">
        <v>2275</v>
      </c>
      <c r="R53" s="75" t="s">
        <v>2275</v>
      </c>
      <c r="T53" s="351" t="b" cm="1">
        <f t="array" ref="T53">T52</f>
        <v>0</v>
      </c>
      <c r="X53" s="1024"/>
      <c r="Z53" s="1008"/>
      <c r="AB53" s="131" t="s">
        <v>945</v>
      </c>
      <c r="AC53" s="262" t="s">
        <v>1992</v>
      </c>
      <c r="AD53" s="124" t="s">
        <v>859</v>
      </c>
      <c r="AE53" s="126">
        <f ca="1">AE54+AE62+AE65+AE66+AE67+AE68+AE69</f>
        <v>0</v>
      </c>
      <c r="AF53" s="126">
        <f ca="1">AF54+AF62+AF65+AF66+AF67+AF68+AF69</f>
        <v>0</v>
      </c>
      <c r="AG53" s="126">
        <f ca="1">AG54+AG62+AG65+AG66+AG67+AG68+AG69</f>
        <v>0</v>
      </c>
      <c r="AH53" s="126">
        <f t="shared" ca="1" si="2"/>
        <v>0</v>
      </c>
      <c r="AI53" s="905">
        <f ca="1">AI54+AI62+AI65+AI66+AI67+AI68+AI69</f>
        <v>0</v>
      </c>
      <c r="AJ53" s="442"/>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776"/>
      <c r="BO53" s="776"/>
      <c r="BP53" s="776"/>
      <c r="BS53" s="693" t="s">
        <v>1820</v>
      </c>
      <c r="BT53" s="700"/>
      <c r="BU53" s="700"/>
      <c r="BV53" s="509"/>
      <c r="BW53" s="509"/>
    </row>
    <row r="54" spans="2:75" ht="21.95" hidden="1" customHeight="1">
      <c r="E54" s="505">
        <v>22.5</v>
      </c>
      <c r="F54" s="3" cm="1">
        <f t="array" aca="1" ref="F54" ca="1">OFFSET(E54,-1,1)</f>
        <v>0</v>
      </c>
      <c r="G54" s="72" t="s">
        <v>1198</v>
      </c>
      <c r="H54" s="276"/>
      <c r="I54" s="276" t="s">
        <v>1405</v>
      </c>
      <c r="K54" s="276" t="s">
        <v>1405</v>
      </c>
      <c r="L54" s="25" t="s">
        <v>966</v>
      </c>
      <c r="M54" s="25"/>
      <c r="Q54" s="72" t="s">
        <v>2275</v>
      </c>
      <c r="R54" s="75" t="s">
        <v>2275</v>
      </c>
      <c r="T54" s="351" t="b" cm="1">
        <f t="array" ref="T54">T53</f>
        <v>0</v>
      </c>
      <c r="X54" s="1024"/>
      <c r="Z54" s="1008"/>
      <c r="AB54" s="133" t="s">
        <v>1057</v>
      </c>
      <c r="AC54" s="134" t="s">
        <v>1993</v>
      </c>
      <c r="AD54" s="7" t="s">
        <v>859</v>
      </c>
      <c r="AE54" s="170">
        <f>SUM(AE55:AE61)</f>
        <v>0</v>
      </c>
      <c r="AF54" s="170">
        <f>SUM(AF55:AF61)</f>
        <v>0</v>
      </c>
      <c r="AG54" s="170">
        <f>SUM(AG55:AG61)</f>
        <v>0</v>
      </c>
      <c r="AH54" s="170">
        <f t="shared" si="2"/>
        <v>0</v>
      </c>
      <c r="AI54" s="906">
        <f>SUM(AI55:AI61)</f>
        <v>0</v>
      </c>
      <c r="AJ54" s="442"/>
      <c r="AK54" s="540"/>
      <c r="AL54" s="540"/>
      <c r="AM54" s="540"/>
      <c r="AN54" s="540"/>
      <c r="AO54" s="540"/>
      <c r="AP54" s="540"/>
      <c r="AQ54" s="540"/>
      <c r="AR54" s="540"/>
      <c r="AS54" s="540"/>
      <c r="AT54" s="540"/>
      <c r="AU54" s="540"/>
      <c r="AV54" s="540"/>
      <c r="AW54" s="540"/>
      <c r="AX54" s="540"/>
      <c r="AY54" s="540"/>
      <c r="AZ54" s="540"/>
      <c r="BA54" s="540"/>
      <c r="BB54" s="540"/>
      <c r="BC54" s="540"/>
      <c r="BD54" s="540"/>
      <c r="BE54" s="540"/>
      <c r="BF54" s="540"/>
      <c r="BG54" s="540"/>
      <c r="BH54" s="540"/>
      <c r="BI54" s="540"/>
      <c r="BJ54" s="540"/>
      <c r="BK54" s="540"/>
      <c r="BL54" s="540"/>
      <c r="BM54" s="540"/>
      <c r="BN54" s="774"/>
      <c r="BO54" s="778" t="str">
        <f ca="1">IF(IFERROR(INDEX(Административные!$K$26:$L$65,MATCH($F54&amp;"17komm",Административные!$K$26:$K$65,0),2),"")=0,"",IFERROR(INDEX(Административные!$K$26:$L$65,MATCH($F54&amp;"17komm",Административные!$K$26:$K$65,0),2),""))</f>
        <v/>
      </c>
      <c r="BP54" s="774"/>
      <c r="BS54" s="692" t="s">
        <v>1200</v>
      </c>
    </row>
    <row r="55" spans="2:75" ht="14.65" hidden="1" customHeight="1">
      <c r="E55" s="505">
        <v>15</v>
      </c>
      <c r="F55" s="3" cm="1">
        <f t="array" aca="1" ref="F55" ca="1">OFFSET(E55,-1,1)</f>
        <v>0</v>
      </c>
      <c r="G55" s="72" t="s">
        <v>1201</v>
      </c>
      <c r="H55" s="276"/>
      <c r="I55" s="276" t="s">
        <v>1994</v>
      </c>
      <c r="K55" s="276" t="s">
        <v>1994</v>
      </c>
      <c r="L55" s="25"/>
      <c r="M55" s="25"/>
      <c r="Q55" s="72" t="s">
        <v>2275</v>
      </c>
      <c r="R55" s="75" t="s">
        <v>2275</v>
      </c>
      <c r="T55" s="351" t="b" cm="1">
        <f t="array" ref="T55">T54</f>
        <v>0</v>
      </c>
      <c r="X55" s="1024"/>
      <c r="Z55" s="1008"/>
      <c r="AB55" s="133" t="s">
        <v>1995</v>
      </c>
      <c r="AC55" s="541" t="s">
        <v>1202</v>
      </c>
      <c r="AD55" s="7" t="s">
        <v>859</v>
      </c>
      <c r="AE55" s="777"/>
      <c r="AF55" s="777"/>
      <c r="AG55" s="777"/>
      <c r="AH55" s="170">
        <f t="shared" si="2"/>
        <v>0</v>
      </c>
      <c r="AI55" s="906"/>
      <c r="AJ55" s="442"/>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c r="BJ55" s="540"/>
      <c r="BK55" s="540"/>
      <c r="BL55" s="540"/>
      <c r="BM55" s="540"/>
      <c r="BN55" s="774"/>
      <c r="BO55" s="778" t="str">
        <f ca="1">IF(IFERROR(INDEX(Административные!$K$26:$L$65,MATCH($F55&amp;"18komm",Административные!$K$26:$K$65,0),2),"")=0,"",IFERROR(INDEX(Административные!$K$26:$L$65,MATCH($F55&amp;"18komm",Административные!$K$26:$K$65,0),2),""))</f>
        <v/>
      </c>
      <c r="BP55" s="774"/>
      <c r="BS55" s="694" t="s">
        <v>1203</v>
      </c>
    </row>
    <row r="56" spans="2:75" ht="14.65" hidden="1" customHeight="1">
      <c r="E56" s="505">
        <v>15</v>
      </c>
      <c r="F56" s="3" cm="1">
        <f t="array" aca="1" ref="F56" ca="1">OFFSET(E56,-1,1)</f>
        <v>0</v>
      </c>
      <c r="G56" s="72" t="s">
        <v>1204</v>
      </c>
      <c r="H56" s="276"/>
      <c r="I56" s="276" t="s">
        <v>1996</v>
      </c>
      <c r="K56" s="276" t="s">
        <v>1996</v>
      </c>
      <c r="L56" s="25"/>
      <c r="M56" s="25"/>
      <c r="Q56" s="72" t="s">
        <v>2275</v>
      </c>
      <c r="R56" s="75" t="s">
        <v>2275</v>
      </c>
      <c r="T56" s="351" t="b" cm="1">
        <f t="array" ref="T56">T55</f>
        <v>0</v>
      </c>
      <c r="X56" s="1024"/>
      <c r="Z56" s="1008"/>
      <c r="AB56" s="133" t="s">
        <v>1997</v>
      </c>
      <c r="AC56" s="541" t="s">
        <v>1205</v>
      </c>
      <c r="AD56" s="7" t="s">
        <v>859</v>
      </c>
      <c r="AE56" s="777"/>
      <c r="AF56" s="777"/>
      <c r="AG56" s="777"/>
      <c r="AH56" s="170">
        <f t="shared" si="2"/>
        <v>0</v>
      </c>
      <c r="AI56" s="906"/>
      <c r="AJ56" s="442"/>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c r="BJ56" s="540"/>
      <c r="BK56" s="540"/>
      <c r="BL56" s="540"/>
      <c r="BM56" s="540"/>
      <c r="BN56" s="774"/>
      <c r="BO56" s="778" t="str">
        <f ca="1">IF(IFERROR(INDEX(Административные!$K$26:$L$65,MATCH($F56&amp;"11komm",Административные!$K$26:$K$65,0),2),"")=0,"",IFERROR(INDEX(Административные!$K$26:$L$65,MATCH($F56&amp;"11komm",Административные!$K$26:$K$65,0),2),""))</f>
        <v/>
      </c>
      <c r="BP56" s="774"/>
      <c r="BS56" s="694" t="s">
        <v>1206</v>
      </c>
    </row>
    <row r="57" spans="2:75" ht="14.65" hidden="1" customHeight="1">
      <c r="E57" s="505">
        <v>15</v>
      </c>
      <c r="F57" s="3" cm="1">
        <f t="array" aca="1" ref="F57" ca="1">OFFSET(E57,-1,1)</f>
        <v>0</v>
      </c>
      <c r="G57" s="72" t="s">
        <v>1207</v>
      </c>
      <c r="H57" s="276"/>
      <c r="I57" s="276" t="s">
        <v>1998</v>
      </c>
      <c r="K57" s="276" t="s">
        <v>1998</v>
      </c>
      <c r="L57" s="25"/>
      <c r="M57" s="25"/>
      <c r="Q57" s="72" t="s">
        <v>2275</v>
      </c>
      <c r="R57" s="75" t="s">
        <v>2275</v>
      </c>
      <c r="T57" s="351" t="b" cm="1">
        <f t="array" ref="T57">T56</f>
        <v>0</v>
      </c>
      <c r="X57" s="1024"/>
      <c r="Z57" s="1008"/>
      <c r="AB57" s="133" t="s">
        <v>1999</v>
      </c>
      <c r="AC57" s="541" t="s">
        <v>1208</v>
      </c>
      <c r="AD57" s="7" t="s">
        <v>859</v>
      </c>
      <c r="AE57" s="777"/>
      <c r="AF57" s="777"/>
      <c r="AG57" s="777"/>
      <c r="AH57" s="170">
        <f t="shared" si="2"/>
        <v>0</v>
      </c>
      <c r="AI57" s="906"/>
      <c r="AJ57" s="442"/>
      <c r="AK57" s="540"/>
      <c r="AL57" s="540"/>
      <c r="AM57" s="540"/>
      <c r="AN57" s="540"/>
      <c r="AO57" s="540"/>
      <c r="AP57" s="540"/>
      <c r="AQ57" s="540"/>
      <c r="AR57" s="540"/>
      <c r="AS57" s="540"/>
      <c r="AT57" s="540"/>
      <c r="AU57" s="540"/>
      <c r="AV57" s="540"/>
      <c r="AW57" s="540"/>
      <c r="AX57" s="540"/>
      <c r="AY57" s="540"/>
      <c r="AZ57" s="540"/>
      <c r="BA57" s="540"/>
      <c r="BB57" s="540"/>
      <c r="BC57" s="540"/>
      <c r="BD57" s="540"/>
      <c r="BE57" s="540"/>
      <c r="BF57" s="540"/>
      <c r="BG57" s="540"/>
      <c r="BH57" s="540"/>
      <c r="BI57" s="540"/>
      <c r="BJ57" s="540"/>
      <c r="BK57" s="540"/>
      <c r="BL57" s="540"/>
      <c r="BM57" s="540"/>
      <c r="BN57" s="774"/>
      <c r="BO57" s="778" t="str">
        <f ca="1">IF(IFERROR(INDEX(Административные!$K$26:$L$65,MATCH($F57&amp;"12komm",Административные!$K$26:$K$65,0),2),"")=0,"",IFERROR(INDEX(Административные!$K$26:$L$65,MATCH($F57&amp;"12komm",Административные!$K$26:$K$65,0),2),""))</f>
        <v/>
      </c>
      <c r="BP57" s="774"/>
      <c r="BS57" s="694" t="s">
        <v>1209</v>
      </c>
    </row>
    <row r="58" spans="2:75" ht="14.65" hidden="1" customHeight="1">
      <c r="E58" s="505">
        <v>15</v>
      </c>
      <c r="F58" s="3" cm="1">
        <f t="array" aca="1" ref="F58" ca="1">OFFSET(E58,-1,1)</f>
        <v>0</v>
      </c>
      <c r="G58" s="72" t="s">
        <v>1210</v>
      </c>
      <c r="H58" s="276"/>
      <c r="I58" s="276" t="s">
        <v>2000</v>
      </c>
      <c r="K58" s="276" t="s">
        <v>2000</v>
      </c>
      <c r="L58" s="25"/>
      <c r="M58" s="25"/>
      <c r="Q58" s="72" t="s">
        <v>2275</v>
      </c>
      <c r="R58" s="75" t="s">
        <v>2275</v>
      </c>
      <c r="T58" s="351" t="b" cm="1">
        <f t="array" ref="T58">T57</f>
        <v>0</v>
      </c>
      <c r="X58" s="1024"/>
      <c r="Z58" s="1008"/>
      <c r="AB58" s="133" t="s">
        <v>2001</v>
      </c>
      <c r="AC58" s="541" t="s">
        <v>1211</v>
      </c>
      <c r="AD58" s="7" t="s">
        <v>859</v>
      </c>
      <c r="AE58" s="777"/>
      <c r="AF58" s="777"/>
      <c r="AG58" s="777"/>
      <c r="AH58" s="170">
        <f t="shared" si="2"/>
        <v>0</v>
      </c>
      <c r="AI58" s="906"/>
      <c r="AJ58" s="442"/>
      <c r="AK58" s="540"/>
      <c r="AL58" s="540"/>
      <c r="AM58" s="540"/>
      <c r="AN58" s="540"/>
      <c r="AO58" s="540"/>
      <c r="AP58" s="540"/>
      <c r="AQ58" s="540"/>
      <c r="AR58" s="540"/>
      <c r="AS58" s="540"/>
      <c r="AT58" s="540"/>
      <c r="AU58" s="540"/>
      <c r="AV58" s="540"/>
      <c r="AW58" s="540"/>
      <c r="AX58" s="540"/>
      <c r="AY58" s="540"/>
      <c r="AZ58" s="540"/>
      <c r="BA58" s="540"/>
      <c r="BB58" s="540"/>
      <c r="BC58" s="540"/>
      <c r="BD58" s="540"/>
      <c r="BE58" s="540"/>
      <c r="BF58" s="540"/>
      <c r="BG58" s="540"/>
      <c r="BH58" s="540"/>
      <c r="BI58" s="540"/>
      <c r="BJ58" s="540"/>
      <c r="BK58" s="540"/>
      <c r="BL58" s="540"/>
      <c r="BM58" s="540"/>
      <c r="BN58" s="774"/>
      <c r="BO58" s="778" t="str">
        <f ca="1">IF(IFERROR(INDEX(Административные!$K$26:$L$65,MATCH($F58&amp;"13komm",Административные!$K$26:$K$65,0),2),"")=0,"",IFERROR(INDEX(Административные!$K$26:$L$65,MATCH($F58&amp;"13komm",Административные!$K$26:$K$65,0),2),""))</f>
        <v/>
      </c>
      <c r="BP58" s="774"/>
      <c r="BS58" s="694" t="s">
        <v>1212</v>
      </c>
    </row>
    <row r="59" spans="2:75" ht="14.65" hidden="1" customHeight="1">
      <c r="E59" s="505">
        <v>15</v>
      </c>
      <c r="F59" s="3" cm="1">
        <f t="array" aca="1" ref="F59" ca="1">OFFSET(E59,-1,1)</f>
        <v>0</v>
      </c>
      <c r="G59" s="72" t="s">
        <v>1213</v>
      </c>
      <c r="H59" s="276"/>
      <c r="I59" s="276" t="s">
        <v>2002</v>
      </c>
      <c r="K59" s="276" t="s">
        <v>2002</v>
      </c>
      <c r="L59" s="25"/>
      <c r="M59" s="25"/>
      <c r="Q59" s="72" t="s">
        <v>2275</v>
      </c>
      <c r="R59" s="75" t="s">
        <v>2275</v>
      </c>
      <c r="T59" s="351" t="b" cm="1">
        <f t="array" ref="T59">T58</f>
        <v>0</v>
      </c>
      <c r="X59" s="1024"/>
      <c r="Z59" s="1008"/>
      <c r="AB59" s="133" t="s">
        <v>2003</v>
      </c>
      <c r="AC59" s="541" t="s">
        <v>1214</v>
      </c>
      <c r="AD59" s="7" t="s">
        <v>859</v>
      </c>
      <c r="AE59" s="777"/>
      <c r="AF59" s="777"/>
      <c r="AG59" s="777"/>
      <c r="AH59" s="170">
        <f t="shared" si="2"/>
        <v>0</v>
      </c>
      <c r="AI59" s="906"/>
      <c r="AJ59" s="442"/>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c r="BJ59" s="540"/>
      <c r="BK59" s="540"/>
      <c r="BL59" s="540"/>
      <c r="BM59" s="540"/>
      <c r="BN59" s="774"/>
      <c r="BO59" s="778" t="str">
        <f ca="1">IF(IFERROR(INDEX(Административные!$K$26:$L$65,MATCH($F59&amp;"14komm",Административные!$K$26:$K$65,0),2),"")=0,"",IFERROR(INDEX(Административные!$K$26:$L$65,MATCH($F59&amp;"14komm",Административные!$K$26:$K$65,0),2),""))</f>
        <v/>
      </c>
      <c r="BP59" s="774"/>
      <c r="BS59" s="694" t="s">
        <v>2004</v>
      </c>
    </row>
    <row r="60" spans="2:75" ht="14.65" hidden="1" customHeight="1">
      <c r="E60" s="505">
        <v>15</v>
      </c>
      <c r="F60" s="3" cm="1">
        <f t="array" aca="1" ref="F60" ca="1">OFFSET(E60,-1,1)</f>
        <v>0</v>
      </c>
      <c r="G60" s="72" t="s">
        <v>1216</v>
      </c>
      <c r="H60" s="276"/>
      <c r="I60" s="276" t="s">
        <v>2005</v>
      </c>
      <c r="K60" s="276" t="s">
        <v>2005</v>
      </c>
      <c r="L60" s="25"/>
      <c r="M60" s="25"/>
      <c r="Q60" s="72" t="s">
        <v>2275</v>
      </c>
      <c r="R60" s="75" t="s">
        <v>2275</v>
      </c>
      <c r="T60" s="351" t="b" cm="1">
        <f t="array" ref="T60">T59</f>
        <v>0</v>
      </c>
      <c r="X60" s="1024"/>
      <c r="Z60" s="1008"/>
      <c r="AB60" s="133" t="s">
        <v>2006</v>
      </c>
      <c r="AC60" s="541" t="s">
        <v>1219</v>
      </c>
      <c r="AD60" s="7" t="s">
        <v>859</v>
      </c>
      <c r="AE60" s="777"/>
      <c r="AF60" s="777"/>
      <c r="AG60" s="777"/>
      <c r="AH60" s="170">
        <f t="shared" ref="AH60:AH91" si="6">AG60-AF60</f>
        <v>0</v>
      </c>
      <c r="AI60" s="906"/>
      <c r="AJ60" s="442"/>
      <c r="AK60" s="540"/>
      <c r="AL60" s="540"/>
      <c r="AM60" s="540"/>
      <c r="AN60" s="540"/>
      <c r="AO60" s="540"/>
      <c r="AP60" s="540"/>
      <c r="AQ60" s="540"/>
      <c r="AR60" s="540"/>
      <c r="AS60" s="540"/>
      <c r="AT60" s="540"/>
      <c r="AU60" s="540"/>
      <c r="AV60" s="540"/>
      <c r="AW60" s="540"/>
      <c r="AX60" s="540"/>
      <c r="AY60" s="540"/>
      <c r="AZ60" s="540"/>
      <c r="BA60" s="540"/>
      <c r="BB60" s="540"/>
      <c r="BC60" s="540"/>
      <c r="BD60" s="540"/>
      <c r="BE60" s="540"/>
      <c r="BF60" s="540"/>
      <c r="BG60" s="540"/>
      <c r="BH60" s="540"/>
      <c r="BI60" s="540"/>
      <c r="BJ60" s="540"/>
      <c r="BK60" s="540"/>
      <c r="BL60" s="540"/>
      <c r="BM60" s="540"/>
      <c r="BN60" s="774"/>
      <c r="BO60" s="778" t="str">
        <f ca="1">IF(IFERROR(INDEX(Административные!$K$26:$L$65,MATCH($F60&amp;"15komm",Административные!$K$26:$K$65,0),2),"")=0,"",IFERROR(INDEX(Административные!$K$26:$L$65,MATCH($F60&amp;"15komm",Административные!$K$26:$K$65,0),2),""))</f>
        <v/>
      </c>
      <c r="BP60" s="774"/>
      <c r="BS60" s="694" t="s">
        <v>1220</v>
      </c>
    </row>
    <row r="61" spans="2:75" ht="14.65" hidden="1" customHeight="1">
      <c r="E61" s="505">
        <v>15</v>
      </c>
      <c r="F61" s="3" cm="1">
        <f t="array" aca="1" ref="F61" ca="1">OFFSET(E61,-1,1)</f>
        <v>0</v>
      </c>
      <c r="G61" s="72" t="s">
        <v>1221</v>
      </c>
      <c r="H61" s="276"/>
      <c r="I61" s="276" t="s">
        <v>2007</v>
      </c>
      <c r="K61" s="276" t="s">
        <v>2007</v>
      </c>
      <c r="L61" s="25"/>
      <c r="M61" s="25"/>
      <c r="Q61" s="72" t="s">
        <v>2275</v>
      </c>
      <c r="R61" s="75" t="s">
        <v>2275</v>
      </c>
      <c r="T61" s="351" t="b" cm="1">
        <f t="array" ref="T61">T60</f>
        <v>0</v>
      </c>
      <c r="X61" s="1024"/>
      <c r="Z61" s="1008"/>
      <c r="AB61" s="133" t="s">
        <v>2008</v>
      </c>
      <c r="AC61" s="541" t="s">
        <v>1224</v>
      </c>
      <c r="AD61" s="7" t="s">
        <v>859</v>
      </c>
      <c r="AE61" s="777"/>
      <c r="AF61" s="777"/>
      <c r="AG61" s="777"/>
      <c r="AH61" s="170">
        <f t="shared" si="6"/>
        <v>0</v>
      </c>
      <c r="AI61" s="906"/>
      <c r="AJ61" s="442"/>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c r="BJ61" s="540"/>
      <c r="BK61" s="540"/>
      <c r="BL61" s="540"/>
      <c r="BM61" s="540"/>
      <c r="BN61" s="774"/>
      <c r="BO61" s="778" t="str">
        <f ca="1">IF(IFERROR(INDEX(Административные!$K$26:$L$65,MATCH($F61&amp;"16komm",Административные!$K$26:$K$65,0),2),"")=0,"",IFERROR(INDEX(Административные!$K$26:$L$65,MATCH($F61&amp;"16komm",Административные!$K$26:$K$65,0),2),""))</f>
        <v/>
      </c>
      <c r="BP61" s="774"/>
      <c r="BS61" s="694" t="s">
        <v>2009</v>
      </c>
    </row>
    <row r="62" spans="2:75" ht="21.95" hidden="1" customHeight="1">
      <c r="E62" s="505">
        <v>22.5</v>
      </c>
      <c r="F62" s="3" cm="1">
        <f t="array" aca="1" ref="F62" ca="1">OFFSET(E62,-1,1)</f>
        <v>0</v>
      </c>
      <c r="H62" s="276"/>
      <c r="I62" s="276" t="s">
        <v>1406</v>
      </c>
      <c r="K62" s="276" t="s">
        <v>1406</v>
      </c>
      <c r="L62" s="25" t="s">
        <v>968</v>
      </c>
      <c r="M62" s="25"/>
      <c r="Q62" s="72" t="s">
        <v>2275</v>
      </c>
      <c r="R62" s="75" t="s">
        <v>2275</v>
      </c>
      <c r="T62" s="351" t="b" cm="1">
        <f t="array" ref="T62">T61</f>
        <v>0</v>
      </c>
      <c r="X62" s="1024"/>
      <c r="Z62" s="1008"/>
      <c r="AB62" s="133" t="s">
        <v>1060</v>
      </c>
      <c r="AC62" s="134" t="s">
        <v>2010</v>
      </c>
      <c r="AD62" s="7" t="s">
        <v>859</v>
      </c>
      <c r="AE62" s="170">
        <f ca="1">AE63+AE64</f>
        <v>0</v>
      </c>
      <c r="AF62" s="170">
        <f ca="1">AF63+AF64</f>
        <v>0</v>
      </c>
      <c r="AG62" s="170">
        <f ca="1">AG63+AG64</f>
        <v>0</v>
      </c>
      <c r="AH62" s="170">
        <f t="shared" ca="1" si="6"/>
        <v>0</v>
      </c>
      <c r="AI62" s="906">
        <f ca="1">AI63+AI64</f>
        <v>0</v>
      </c>
      <c r="AJ62" s="442"/>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c r="BJ62" s="540"/>
      <c r="BK62" s="540"/>
      <c r="BL62" s="540"/>
      <c r="BM62" s="540"/>
      <c r="BN62" s="774"/>
      <c r="BO62" s="774"/>
      <c r="BP62" s="774"/>
      <c r="BS62" s="692" t="s">
        <v>1823</v>
      </c>
    </row>
    <row r="63" spans="2:75" ht="14.65" hidden="1" customHeight="1">
      <c r="E63" s="505">
        <v>15</v>
      </c>
      <c r="F63" s="3" cm="1">
        <f t="array" aca="1" ref="F63" ca="1">OFFSET(E63,-1,1)</f>
        <v>0</v>
      </c>
      <c r="G63" s="72" t="s">
        <v>1158</v>
      </c>
      <c r="H63" s="276"/>
      <c r="I63" s="276" t="s">
        <v>2011</v>
      </c>
      <c r="K63" s="276" t="s">
        <v>2011</v>
      </c>
      <c r="L63" s="25" t="s">
        <v>543</v>
      </c>
      <c r="M63" s="25"/>
      <c r="Q63" s="72" t="s">
        <v>2275</v>
      </c>
      <c r="R63" s="75" t="s">
        <v>2275</v>
      </c>
      <c r="T63" s="351" t="b" cm="1">
        <f t="array" ref="T63">T62</f>
        <v>0</v>
      </c>
      <c r="X63" s="1024"/>
      <c r="Z63" s="1008"/>
      <c r="AB63" s="133" t="s">
        <v>2012</v>
      </c>
      <c r="AC63" s="541" t="s">
        <v>1824</v>
      </c>
      <c r="AD63" s="543" t="s">
        <v>859</v>
      </c>
      <c r="AE63" s="777"/>
      <c r="AF63" s="777"/>
      <c r="AG63" s="777"/>
      <c r="AH63" s="170">
        <f t="shared" si="6"/>
        <v>0</v>
      </c>
      <c r="AI63" s="906"/>
      <c r="AJ63" s="442"/>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c r="BJ63" s="540"/>
      <c r="BK63" s="540"/>
      <c r="BL63" s="540"/>
      <c r="BM63" s="540"/>
      <c r="BN63" s="774"/>
      <c r="BO63" s="778" t="str">
        <f ca="1">IF(IFERROR(INDEX(ФОТ!$K$26:$L$89,MATCH($F63&amp;"5komm",ФОТ!$K$26:$K$89,0),2),"")=0,"",IFERROR(INDEX(ФОТ!$K$26:$L$89,MATCH($F63&amp;"5komm",ФОТ!$K$26:$K$89,0),2),""))</f>
        <v/>
      </c>
      <c r="BP63" s="774"/>
      <c r="BS63" s="692" t="s">
        <v>1197</v>
      </c>
    </row>
    <row r="64" spans="2:75" ht="21.95" hidden="1" customHeight="1">
      <c r="E64" s="505">
        <v>22.5</v>
      </c>
      <c r="F64" s="3" cm="1">
        <f t="array" aca="1" ref="F64" ca="1">OFFSET(E64,-1,1)</f>
        <v>0</v>
      </c>
      <c r="G64" s="72" t="s">
        <v>1163</v>
      </c>
      <c r="H64" s="276"/>
      <c r="I64" s="276" t="s">
        <v>2013</v>
      </c>
      <c r="K64" s="276" t="s">
        <v>2013</v>
      </c>
      <c r="L64" s="25" t="s">
        <v>548</v>
      </c>
      <c r="M64" s="25"/>
      <c r="Q64" s="72" t="s">
        <v>2275</v>
      </c>
      <c r="R64" s="75" t="s">
        <v>2275</v>
      </c>
      <c r="T64" s="351" t="b" cm="1">
        <f t="array" ref="T64">T63</f>
        <v>0</v>
      </c>
      <c r="X64" s="1024"/>
      <c r="Z64" s="1008"/>
      <c r="AB64" s="133" t="s">
        <v>2014</v>
      </c>
      <c r="AC64" s="541" t="s">
        <v>2015</v>
      </c>
      <c r="AD64" s="7" t="s">
        <v>859</v>
      </c>
      <c r="AE64" s="777">
        <f ca="1">AE63*SUMIFS(INDEX(Сценарии!$AE$25:$BF$82,,MATCH(AE$8,Сценарии!$AE$8:$BF$8,0)),Сценарии!$F$25:$F$82,$F64,Сценарии!$G$25:$G$82,"СВФОТ")/100</f>
        <v>0</v>
      </c>
      <c r="AF64" s="777">
        <f ca="1">AF63*SUMIFS(INDEX(Сценарии!$AE$25:$BF$82,,MATCH(AF$8,Сценарии!$AE$8:$BF$8,0)),Сценарии!$F$25:$F$82,$F64,Сценарии!$G$25:$G$82,"СВФОТ")/100</f>
        <v>0</v>
      </c>
      <c r="AG64" s="777">
        <f ca="1">AG63*SUMIFS(INDEX(Сценарии!$AE$25:$BF$82,,MATCH(AG$8,Сценарии!$AE$8:$BF$8,0)),Сценарии!$F$25:$F$82,$F64,Сценарии!$G$25:$G$82,"СВФОТ")/100</f>
        <v>0</v>
      </c>
      <c r="AH64" s="170">
        <f t="shared" ca="1" si="6"/>
        <v>0</v>
      </c>
      <c r="AI64" s="906">
        <f ca="1">AI63*SUMIFS(INDEX(Сценарии!$AE$25:$BF$82,,MATCH(AG$8,Сценарии!$AE$8:$BF$8,0)),Сценарии!$F$25:$F$82,$F64,Сценарии!$G$25:$G$82,"СВФОТ")/100</f>
        <v>0</v>
      </c>
      <c r="AJ64" s="442"/>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c r="BJ64" s="540"/>
      <c r="BK64" s="540"/>
      <c r="BL64" s="540"/>
      <c r="BM64" s="540"/>
      <c r="BN64" s="774"/>
      <c r="BO64" s="778" t="str">
        <f ca="1">IF(IFERROR(INDEX(ФОТ!$K$26:$L$89,MATCH($F64&amp;"6komm",ФОТ!$K$26:$K$89,0),2),"")=0,"",IFERROR(INDEX(ФОТ!$K$26:$L$89,MATCH($F64&amp;"6komm",ФОТ!$K$26:$K$89,0),2),""))</f>
        <v/>
      </c>
      <c r="BP64" s="774"/>
      <c r="BS64" s="692" t="s">
        <v>1826</v>
      </c>
    </row>
    <row r="65" spans="2:75" ht="32.85" hidden="1" customHeight="1">
      <c r="E65" s="505">
        <v>33.75</v>
      </c>
      <c r="F65" s="3" cm="1">
        <f t="array" aca="1" ref="F65" ca="1">OFFSET(E65,-1,1)</f>
        <v>0</v>
      </c>
      <c r="G65" s="2" t="s">
        <v>1226</v>
      </c>
      <c r="H65" s="276"/>
      <c r="I65" s="276" t="s">
        <v>1409</v>
      </c>
      <c r="K65" s="276" t="s">
        <v>1409</v>
      </c>
      <c r="L65" s="25" t="s">
        <v>970</v>
      </c>
      <c r="M65" s="25"/>
      <c r="Q65" s="72" t="s">
        <v>2275</v>
      </c>
      <c r="R65" s="75" t="s">
        <v>2275</v>
      </c>
      <c r="T65" s="351" t="b" cm="1">
        <f t="array" ref="T65">T64</f>
        <v>0</v>
      </c>
      <c r="X65" s="1024"/>
      <c r="Z65" s="1008"/>
      <c r="AB65" s="133" t="s">
        <v>1410</v>
      </c>
      <c r="AC65" s="134" t="s">
        <v>2016</v>
      </c>
      <c r="AD65" s="7" t="s">
        <v>859</v>
      </c>
      <c r="AE65" s="777"/>
      <c r="AF65" s="777"/>
      <c r="AG65" s="777"/>
      <c r="AH65" s="170">
        <f t="shared" si="6"/>
        <v>0</v>
      </c>
      <c r="AI65" s="906"/>
      <c r="AJ65" s="442"/>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c r="BJ65" s="540"/>
      <c r="BK65" s="540"/>
      <c r="BL65" s="540"/>
      <c r="BM65" s="540"/>
      <c r="BN65" s="774"/>
      <c r="BO65" s="778" t="str">
        <f ca="1">IF(IFERROR(INDEX(Административные!$K$26:$L$65,MATCH($F65&amp;"2komm",Административные!$K$26:$K$65,0),2),"")=0,"",IFERROR(INDEX(Административные!$K$26:$L$65,MATCH($F65&amp;"2komm",Административные!$K$26:$K$65,0),2),""))</f>
        <v/>
      </c>
      <c r="BP65" s="774"/>
      <c r="BS65" s="692" t="s">
        <v>1228</v>
      </c>
    </row>
    <row r="66" spans="2:75" ht="14.65" hidden="1" customHeight="1">
      <c r="E66" s="505">
        <v>15</v>
      </c>
      <c r="F66" s="3" cm="1">
        <f t="array" aca="1" ref="F66" ca="1">OFFSET(E66,-1,1)</f>
        <v>0</v>
      </c>
      <c r="G66" s="2" t="s">
        <v>1229</v>
      </c>
      <c r="H66" s="276"/>
      <c r="I66" s="276" t="s">
        <v>1413</v>
      </c>
      <c r="K66" s="276" t="s">
        <v>1413</v>
      </c>
      <c r="L66" s="25" t="s">
        <v>972</v>
      </c>
      <c r="M66" s="25"/>
      <c r="Q66" s="72" t="s">
        <v>2275</v>
      </c>
      <c r="R66" s="75" t="s">
        <v>2275</v>
      </c>
      <c r="T66" s="351" t="b" cm="1">
        <f t="array" ref="T66">T65</f>
        <v>0</v>
      </c>
      <c r="X66" s="1024"/>
      <c r="Z66" s="1008"/>
      <c r="AB66" s="133" t="s">
        <v>1414</v>
      </c>
      <c r="AC66" s="134" t="s">
        <v>2017</v>
      </c>
      <c r="AD66" s="7" t="s">
        <v>859</v>
      </c>
      <c r="AE66" s="777"/>
      <c r="AF66" s="777"/>
      <c r="AG66" s="777"/>
      <c r="AH66" s="170">
        <f t="shared" si="6"/>
        <v>0</v>
      </c>
      <c r="AI66" s="906"/>
      <c r="AJ66" s="442"/>
      <c r="AK66" s="540"/>
      <c r="AL66" s="540"/>
      <c r="AM66" s="540"/>
      <c r="AN66" s="540"/>
      <c r="AO66" s="540"/>
      <c r="AP66" s="540"/>
      <c r="AQ66" s="540"/>
      <c r="AR66" s="540"/>
      <c r="AS66" s="540"/>
      <c r="AT66" s="540"/>
      <c r="AU66" s="540"/>
      <c r="AV66" s="540"/>
      <c r="AW66" s="540"/>
      <c r="AX66" s="540"/>
      <c r="AY66" s="540"/>
      <c r="AZ66" s="540"/>
      <c r="BA66" s="540"/>
      <c r="BB66" s="540"/>
      <c r="BC66" s="540"/>
      <c r="BD66" s="540"/>
      <c r="BE66" s="540"/>
      <c r="BF66" s="540"/>
      <c r="BG66" s="540"/>
      <c r="BH66" s="540"/>
      <c r="BI66" s="540"/>
      <c r="BJ66" s="540"/>
      <c r="BK66" s="540"/>
      <c r="BL66" s="540"/>
      <c r="BM66" s="540"/>
      <c r="BN66" s="774"/>
      <c r="BO66" s="778" t="str">
        <f ca="1">IF(IFERROR(INDEX(Административные!$K$26:$L$65,MATCH($F66&amp;"3komm",Административные!$K$26:$K$65,0),2),"")=0,"",IFERROR(INDEX(Административные!$K$26:$L$65,MATCH($F66&amp;"3komm",Административные!$K$26:$K$65,0),2),""))</f>
        <v/>
      </c>
      <c r="BP66" s="774"/>
      <c r="BS66" s="692" t="s">
        <v>1231</v>
      </c>
    </row>
    <row r="67" spans="2:75" ht="14.65" hidden="1" customHeight="1">
      <c r="E67" s="505">
        <v>15</v>
      </c>
      <c r="F67" s="3" cm="1">
        <f t="array" aca="1" ref="F67" ca="1">OFFSET(E67,-1,1)</f>
        <v>0</v>
      </c>
      <c r="G67" s="2" t="s">
        <v>1232</v>
      </c>
      <c r="H67" s="276"/>
      <c r="I67" s="276" t="s">
        <v>2018</v>
      </c>
      <c r="K67" s="276" t="s">
        <v>2018</v>
      </c>
      <c r="L67" s="25" t="s">
        <v>975</v>
      </c>
      <c r="M67" s="25"/>
      <c r="Q67" s="72" t="s">
        <v>2275</v>
      </c>
      <c r="R67" s="75" t="s">
        <v>2275</v>
      </c>
      <c r="T67" s="351" t="b" cm="1">
        <f t="array" ref="T67">T66</f>
        <v>0</v>
      </c>
      <c r="X67" s="1024"/>
      <c r="Z67" s="1008"/>
      <c r="AB67" s="133" t="s">
        <v>2019</v>
      </c>
      <c r="AC67" s="134" t="s">
        <v>2020</v>
      </c>
      <c r="AD67" s="7" t="s">
        <v>859</v>
      </c>
      <c r="AE67" s="777"/>
      <c r="AF67" s="777"/>
      <c r="AG67" s="777"/>
      <c r="AH67" s="170">
        <f t="shared" si="6"/>
        <v>0</v>
      </c>
      <c r="AI67" s="906"/>
      <c r="AJ67" s="442"/>
      <c r="AK67" s="540"/>
      <c r="AL67" s="540"/>
      <c r="AM67" s="540"/>
      <c r="AN67" s="540"/>
      <c r="AO67" s="540"/>
      <c r="AP67" s="540"/>
      <c r="AQ67" s="540"/>
      <c r="AR67" s="540"/>
      <c r="AS67" s="540"/>
      <c r="AT67" s="540"/>
      <c r="AU67" s="540"/>
      <c r="AV67" s="540"/>
      <c r="AW67" s="540"/>
      <c r="AX67" s="540"/>
      <c r="AY67" s="540"/>
      <c r="AZ67" s="540"/>
      <c r="BA67" s="540"/>
      <c r="BB67" s="540"/>
      <c r="BC67" s="540"/>
      <c r="BD67" s="540"/>
      <c r="BE67" s="540"/>
      <c r="BF67" s="540"/>
      <c r="BG67" s="540"/>
      <c r="BH67" s="540"/>
      <c r="BI67" s="540"/>
      <c r="BJ67" s="540"/>
      <c r="BK67" s="540"/>
      <c r="BL67" s="540"/>
      <c r="BM67" s="540"/>
      <c r="BN67" s="774"/>
      <c r="BO67" s="778" t="str">
        <f ca="1">IF(IFERROR(INDEX(Административные!$K$26:$L$65,MATCH($F67&amp;"4komm",Административные!$K$26:$K$65,0),2),"")=0,"",IFERROR(INDEX(Административные!$K$26:$L$65,MATCH($F67&amp;"4komm",Административные!$K$26:$K$65,0),2),""))</f>
        <v/>
      </c>
      <c r="BP67" s="774"/>
      <c r="BS67" s="692" t="s">
        <v>1234</v>
      </c>
    </row>
    <row r="68" spans="2:75" ht="14.65" hidden="1" customHeight="1">
      <c r="E68" s="505">
        <v>15</v>
      </c>
      <c r="F68" s="3" cm="1">
        <f t="array" aca="1" ref="F68" ca="1">OFFSET(E68,-1,1)</f>
        <v>0</v>
      </c>
      <c r="G68" s="2" t="s">
        <v>1235</v>
      </c>
      <c r="H68" s="276"/>
      <c r="I68" s="276" t="s">
        <v>2021</v>
      </c>
      <c r="K68" s="276" t="s">
        <v>2021</v>
      </c>
      <c r="L68" s="25" t="s">
        <v>1217</v>
      </c>
      <c r="M68" s="25"/>
      <c r="Q68" s="72" t="s">
        <v>2275</v>
      </c>
      <c r="R68" s="75" t="s">
        <v>2275</v>
      </c>
      <c r="T68" s="351" t="b" cm="1">
        <f t="array" ref="T68">T67</f>
        <v>0</v>
      </c>
      <c r="X68" s="1024"/>
      <c r="Z68" s="1008"/>
      <c r="AB68" s="133" t="s">
        <v>2022</v>
      </c>
      <c r="AC68" s="134" t="s">
        <v>2023</v>
      </c>
      <c r="AD68" s="7" t="s">
        <v>859</v>
      </c>
      <c r="AE68" s="777"/>
      <c r="AF68" s="777"/>
      <c r="AG68" s="777"/>
      <c r="AH68" s="170">
        <f t="shared" si="6"/>
        <v>0</v>
      </c>
      <c r="AI68" s="906"/>
      <c r="AJ68" s="442"/>
      <c r="AK68" s="540"/>
      <c r="AL68" s="540"/>
      <c r="AM68" s="540"/>
      <c r="AN68" s="540"/>
      <c r="AO68" s="540"/>
      <c r="AP68" s="540"/>
      <c r="AQ68" s="540"/>
      <c r="AR68" s="540"/>
      <c r="AS68" s="540"/>
      <c r="AT68" s="540"/>
      <c r="AU68" s="540"/>
      <c r="AV68" s="540"/>
      <c r="AW68" s="540"/>
      <c r="AX68" s="540"/>
      <c r="AY68" s="540"/>
      <c r="AZ68" s="540"/>
      <c r="BA68" s="540"/>
      <c r="BB68" s="540"/>
      <c r="BC68" s="540"/>
      <c r="BD68" s="540"/>
      <c r="BE68" s="540"/>
      <c r="BF68" s="540"/>
      <c r="BG68" s="540"/>
      <c r="BH68" s="540"/>
      <c r="BI68" s="540"/>
      <c r="BJ68" s="540"/>
      <c r="BK68" s="540"/>
      <c r="BL68" s="540"/>
      <c r="BM68" s="540"/>
      <c r="BN68" s="774"/>
      <c r="BO68" s="778" t="str">
        <f ca="1">IF(IFERROR(INDEX(Административные!$K$26:$L$65,MATCH($F68&amp;"5komm",Административные!$K$26:$K$65,0),2),"")=0,"",IFERROR(INDEX(Административные!$K$26:$L$65,MATCH($F68&amp;"5komm",Административные!$K$26:$K$65,0),2),""))</f>
        <v/>
      </c>
      <c r="BP68" s="774"/>
      <c r="BS68" s="692" t="s">
        <v>1828</v>
      </c>
    </row>
    <row r="69" spans="2:75" ht="14.65" hidden="1" customHeight="1">
      <c r="E69" s="505">
        <v>15</v>
      </c>
      <c r="F69" s="3" cm="1">
        <f t="array" aca="1" ref="F69" ca="1">OFFSET(E69,-1,1)</f>
        <v>0</v>
      </c>
      <c r="G69" s="2" t="s">
        <v>1238</v>
      </c>
      <c r="H69" s="276"/>
      <c r="I69" s="276" t="s">
        <v>2024</v>
      </c>
      <c r="K69" s="276" t="s">
        <v>2024</v>
      </c>
      <c r="L69" s="25" t="s">
        <v>1222</v>
      </c>
      <c r="M69" s="25"/>
      <c r="Q69" s="72" t="s">
        <v>2275</v>
      </c>
      <c r="R69" s="75" t="s">
        <v>2275</v>
      </c>
      <c r="T69" s="351" t="b" cm="1">
        <f t="array" ref="T69">T68</f>
        <v>0</v>
      </c>
      <c r="X69" s="1024"/>
      <c r="Z69" s="1008"/>
      <c r="AB69" s="133" t="s">
        <v>2025</v>
      </c>
      <c r="AC69" s="134" t="s">
        <v>2026</v>
      </c>
      <c r="AD69" s="7" t="s">
        <v>859</v>
      </c>
      <c r="AE69" s="170">
        <f>SUM(AE70:AE72)</f>
        <v>0</v>
      </c>
      <c r="AF69" s="170">
        <f>SUM(AF70:AF72)</f>
        <v>0</v>
      </c>
      <c r="AG69" s="170">
        <f>SUM(AG70:AG72)</f>
        <v>0</v>
      </c>
      <c r="AH69" s="170">
        <f t="shared" si="6"/>
        <v>0</v>
      </c>
      <c r="AI69" s="906">
        <f>SUM(AI70:AI72)</f>
        <v>0</v>
      </c>
      <c r="AJ69" s="442"/>
      <c r="AK69" s="540"/>
      <c r="AL69" s="540"/>
      <c r="AM69" s="540"/>
      <c r="AN69" s="540"/>
      <c r="AO69" s="540"/>
      <c r="AP69" s="540"/>
      <c r="AQ69" s="540"/>
      <c r="AR69" s="540"/>
      <c r="AS69" s="540"/>
      <c r="AT69" s="540"/>
      <c r="AU69" s="540"/>
      <c r="AV69" s="540"/>
      <c r="AW69" s="540"/>
      <c r="AX69" s="540"/>
      <c r="AY69" s="540"/>
      <c r="AZ69" s="540"/>
      <c r="BA69" s="540"/>
      <c r="BB69" s="540"/>
      <c r="BC69" s="540"/>
      <c r="BD69" s="540"/>
      <c r="BE69" s="540"/>
      <c r="BF69" s="540"/>
      <c r="BG69" s="540"/>
      <c r="BH69" s="540"/>
      <c r="BI69" s="540"/>
      <c r="BJ69" s="540"/>
      <c r="BK69" s="540"/>
      <c r="BL69" s="540"/>
      <c r="BM69" s="540"/>
      <c r="BN69" s="774"/>
      <c r="BO69" s="778" t="str">
        <f ca="1">IF(IFERROR(INDEX(Административные!$K$26:$L$65,MATCH($F69&amp;"6komm",Административные!$K$26:$K$65,0),2),"")=0,"",IFERROR(INDEX(Административные!$K$26:$L$65,MATCH($F69&amp;"6komm",Административные!$K$26:$K$65,0),2),""))</f>
        <v/>
      </c>
      <c r="BP69" s="774"/>
      <c r="BS69" s="692" t="s">
        <v>1830</v>
      </c>
    </row>
    <row r="70" spans="2:75" ht="14.65" hidden="1" customHeight="1">
      <c r="E70" s="505">
        <v>15</v>
      </c>
      <c r="F70" s="3" cm="1">
        <f t="array" aca="1" ref="F70" ca="1">OFFSET(E70,-1,1)</f>
        <v>0</v>
      </c>
      <c r="G70" s="2" t="s">
        <v>1240</v>
      </c>
      <c r="H70" s="276"/>
      <c r="I70" s="276" t="s">
        <v>2027</v>
      </c>
      <c r="K70" s="276" t="s">
        <v>2027</v>
      </c>
      <c r="L70" s="25" t="s">
        <v>1831</v>
      </c>
      <c r="M70" s="25"/>
      <c r="Q70" s="72" t="s">
        <v>2275</v>
      </c>
      <c r="R70" s="75" t="s">
        <v>2275</v>
      </c>
      <c r="T70" s="351" t="b" cm="1">
        <f t="array" ref="T70">T69</f>
        <v>0</v>
      </c>
      <c r="X70" s="1024"/>
      <c r="Z70" s="1008"/>
      <c r="AB70" s="133" t="s">
        <v>2028</v>
      </c>
      <c r="AC70" s="541" t="s">
        <v>1833</v>
      </c>
      <c r="AD70" s="7" t="s">
        <v>859</v>
      </c>
      <c r="AE70" s="777"/>
      <c r="AF70" s="777"/>
      <c r="AG70" s="777"/>
      <c r="AH70" s="170">
        <f t="shared" si="6"/>
        <v>0</v>
      </c>
      <c r="AI70" s="906"/>
      <c r="AJ70" s="442"/>
      <c r="AK70" s="540"/>
      <c r="AL70" s="540"/>
      <c r="AM70" s="540"/>
      <c r="AN70" s="540"/>
      <c r="AO70" s="540"/>
      <c r="AP70" s="540"/>
      <c r="AQ70" s="540"/>
      <c r="AR70" s="540"/>
      <c r="AS70" s="540"/>
      <c r="AT70" s="540"/>
      <c r="AU70" s="540"/>
      <c r="AV70" s="540"/>
      <c r="AW70" s="540"/>
      <c r="AX70" s="540"/>
      <c r="AY70" s="540"/>
      <c r="AZ70" s="540"/>
      <c r="BA70" s="540"/>
      <c r="BB70" s="540"/>
      <c r="BC70" s="540"/>
      <c r="BD70" s="540"/>
      <c r="BE70" s="540"/>
      <c r="BF70" s="540"/>
      <c r="BG70" s="540"/>
      <c r="BH70" s="540"/>
      <c r="BI70" s="540"/>
      <c r="BJ70" s="540"/>
      <c r="BK70" s="540"/>
      <c r="BL70" s="540"/>
      <c r="BM70" s="540"/>
      <c r="BN70" s="774"/>
      <c r="BO70" s="778" t="str">
        <f ca="1">IF(IFERROR(INDEX(Административные!$K$26:$L$65,MATCH($F70&amp;"7komm",Административные!$K$26:$K$65,0),2),"")=0,"",IFERROR(INDEX(Административные!$K$26:$L$65,MATCH($F70&amp;"7komm",Административные!$K$26:$K$65,0),2),""))</f>
        <v/>
      </c>
      <c r="BP70" s="774"/>
      <c r="BS70" s="692" t="s">
        <v>1834</v>
      </c>
    </row>
    <row r="71" spans="2:75" ht="14.65" hidden="1" customHeight="1">
      <c r="E71" s="505">
        <v>15</v>
      </c>
      <c r="F71" s="3" cm="1">
        <f t="array" aca="1" ref="F71" ca="1">OFFSET(E71,-1,1)</f>
        <v>0</v>
      </c>
      <c r="G71" s="2" t="s">
        <v>1243</v>
      </c>
      <c r="H71" s="276"/>
      <c r="I71" s="276" t="s">
        <v>2029</v>
      </c>
      <c r="K71" s="276" t="s">
        <v>2029</v>
      </c>
      <c r="L71" s="25" t="s">
        <v>1835</v>
      </c>
      <c r="M71" s="25"/>
      <c r="Q71" s="72" t="s">
        <v>2275</v>
      </c>
      <c r="R71" s="75" t="s">
        <v>2275</v>
      </c>
      <c r="T71" s="351" t="b" cm="1">
        <f t="array" ref="T71">T70</f>
        <v>0</v>
      </c>
      <c r="X71" s="1024"/>
      <c r="Z71" s="1008"/>
      <c r="AB71" s="133" t="s">
        <v>2030</v>
      </c>
      <c r="AC71" s="541" t="s">
        <v>1244</v>
      </c>
      <c r="AD71" s="7" t="s">
        <v>859</v>
      </c>
      <c r="AE71" s="777"/>
      <c r="AF71" s="777"/>
      <c r="AG71" s="777"/>
      <c r="AH71" s="170">
        <f t="shared" si="6"/>
        <v>0</v>
      </c>
      <c r="AI71" s="906"/>
      <c r="AJ71" s="442"/>
      <c r="AK71" s="540"/>
      <c r="AL71" s="540"/>
      <c r="AM71" s="540"/>
      <c r="AN71" s="540"/>
      <c r="AO71" s="540"/>
      <c r="AP71" s="540"/>
      <c r="AQ71" s="540"/>
      <c r="AR71" s="540"/>
      <c r="AS71" s="540"/>
      <c r="AT71" s="540"/>
      <c r="AU71" s="540"/>
      <c r="AV71" s="540"/>
      <c r="AW71" s="540"/>
      <c r="AX71" s="540"/>
      <c r="AY71" s="540"/>
      <c r="AZ71" s="540"/>
      <c r="BA71" s="540"/>
      <c r="BB71" s="540"/>
      <c r="BC71" s="540"/>
      <c r="BD71" s="540"/>
      <c r="BE71" s="540"/>
      <c r="BF71" s="540"/>
      <c r="BG71" s="540"/>
      <c r="BH71" s="540"/>
      <c r="BI71" s="540"/>
      <c r="BJ71" s="540"/>
      <c r="BK71" s="540"/>
      <c r="BL71" s="540"/>
      <c r="BM71" s="540"/>
      <c r="BN71" s="774"/>
      <c r="BO71" s="778" t="str">
        <f ca="1">IF(IFERROR(INDEX(Административные!$K$26:$L$65,MATCH($F71&amp;"8komm",Административные!$K$26:$K$65,0),2),"")=0,"",IFERROR(INDEX(Административные!$K$26:$L$65,MATCH($F71&amp;"8komm",Административные!$K$26:$K$65,0),2),""))</f>
        <v/>
      </c>
      <c r="BP71" s="774"/>
      <c r="BS71" s="692" t="s">
        <v>1837</v>
      </c>
    </row>
    <row r="72" spans="2:75" ht="14.65" hidden="1" customHeight="1">
      <c r="E72" s="505">
        <v>15</v>
      </c>
      <c r="F72" s="3" cm="1">
        <f t="array" aca="1" ref="F72" ca="1">OFFSET(E72,-1,1)</f>
        <v>0</v>
      </c>
      <c r="G72" s="72" t="s">
        <v>1246</v>
      </c>
      <c r="H72" s="276"/>
      <c r="I72" s="276" t="s">
        <v>2031</v>
      </c>
      <c r="K72" s="276" t="s">
        <v>2031</v>
      </c>
      <c r="L72" s="25" t="s">
        <v>1838</v>
      </c>
      <c r="M72" s="25"/>
      <c r="Q72" s="72" t="s">
        <v>2275</v>
      </c>
      <c r="R72" s="75" t="s">
        <v>2275</v>
      </c>
      <c r="T72" s="351" t="b" cm="1">
        <f t="array" ref="T72">T71</f>
        <v>0</v>
      </c>
      <c r="X72" s="1024"/>
      <c r="Z72" s="1008"/>
      <c r="AB72" s="133" t="s">
        <v>2032</v>
      </c>
      <c r="AC72" s="541" t="s">
        <v>1247</v>
      </c>
      <c r="AD72" s="7" t="s">
        <v>859</v>
      </c>
      <c r="AE72" s="777"/>
      <c r="AF72" s="777"/>
      <c r="AG72" s="777"/>
      <c r="AH72" s="170">
        <f t="shared" si="6"/>
        <v>0</v>
      </c>
      <c r="AI72" s="906"/>
      <c r="AJ72" s="442"/>
      <c r="AK72" s="540"/>
      <c r="AL72" s="540"/>
      <c r="AM72" s="540"/>
      <c r="AN72" s="540"/>
      <c r="AO72" s="540"/>
      <c r="AP72" s="540"/>
      <c r="AQ72" s="540"/>
      <c r="AR72" s="540"/>
      <c r="AS72" s="540"/>
      <c r="AT72" s="540"/>
      <c r="AU72" s="540"/>
      <c r="AV72" s="540"/>
      <c r="AW72" s="540"/>
      <c r="AX72" s="540"/>
      <c r="AY72" s="540"/>
      <c r="AZ72" s="540"/>
      <c r="BA72" s="540"/>
      <c r="BB72" s="540"/>
      <c r="BC72" s="540"/>
      <c r="BD72" s="540"/>
      <c r="BE72" s="540"/>
      <c r="BF72" s="540"/>
      <c r="BG72" s="540"/>
      <c r="BH72" s="540"/>
      <c r="BI72" s="540"/>
      <c r="BJ72" s="540"/>
      <c r="BK72" s="540"/>
      <c r="BL72" s="540"/>
      <c r="BM72" s="540"/>
      <c r="BN72" s="774"/>
      <c r="BO72" s="778" t="str">
        <f ca="1">IF(IFERROR(INDEX(Административные!$K$26:$L$65,MATCH($F72&amp;"9komm",Административные!$K$26:$K$65,0),2),"")=0,"",IFERROR(INDEX(Административные!$K$26:$L$65,MATCH($F72&amp;"9komm",Административные!$K$26:$K$65,0),2),""))</f>
        <v/>
      </c>
      <c r="BP72" s="774"/>
      <c r="BS72" s="692" t="s">
        <v>1840</v>
      </c>
    </row>
    <row r="73" spans="2:75" ht="21.95" hidden="1" customHeight="1">
      <c r="B73" s="328" t="b">
        <f>STATUS_GO="да"</f>
        <v>1</v>
      </c>
      <c r="E73" s="505">
        <v>22.5</v>
      </c>
      <c r="F73" s="3" cm="1">
        <f t="array" aca="1" ref="F73" ca="1">OFFSET(E73,-1,1)</f>
        <v>0</v>
      </c>
      <c r="H73" s="276"/>
      <c r="I73" s="276" t="s">
        <v>948</v>
      </c>
      <c r="K73" s="276" t="s">
        <v>948</v>
      </c>
      <c r="L73" s="25" t="s">
        <v>325</v>
      </c>
      <c r="M73" s="25"/>
      <c r="Q73" s="72" t="s">
        <v>2275</v>
      </c>
      <c r="R73" s="75" t="s">
        <v>2275</v>
      </c>
      <c r="T73" s="351" t="b" cm="1">
        <f t="array" ref="T73">T72</f>
        <v>0</v>
      </c>
      <c r="X73" s="1024"/>
      <c r="Z73" s="1008"/>
      <c r="AB73" s="133" t="s">
        <v>949</v>
      </c>
      <c r="AC73" s="127" t="s">
        <v>2033</v>
      </c>
      <c r="AD73" s="7" t="s">
        <v>859</v>
      </c>
      <c r="AE73" s="777"/>
      <c r="AF73" s="777"/>
      <c r="AG73" s="777"/>
      <c r="AH73" s="170">
        <f t="shared" si="6"/>
        <v>0</v>
      </c>
      <c r="AI73" s="906"/>
      <c r="AJ73" s="442"/>
      <c r="AK73" s="540"/>
      <c r="AL73" s="540"/>
      <c r="AM73" s="540"/>
      <c r="AN73" s="540"/>
      <c r="AO73" s="540"/>
      <c r="AP73" s="540"/>
      <c r="AQ73" s="540"/>
      <c r="AR73" s="540"/>
      <c r="AS73" s="540"/>
      <c r="AT73" s="540"/>
      <c r="AU73" s="540"/>
      <c r="AV73" s="540"/>
      <c r="AW73" s="540"/>
      <c r="AX73" s="540"/>
      <c r="AY73" s="540"/>
      <c r="AZ73" s="540"/>
      <c r="BA73" s="540"/>
      <c r="BB73" s="540"/>
      <c r="BC73" s="540"/>
      <c r="BD73" s="540"/>
      <c r="BE73" s="540"/>
      <c r="BF73" s="540"/>
      <c r="BG73" s="540"/>
      <c r="BH73" s="540"/>
      <c r="BI73" s="540"/>
      <c r="BJ73" s="540"/>
      <c r="BK73" s="540"/>
      <c r="BL73" s="540"/>
      <c r="BM73" s="540"/>
      <c r="BN73" s="774"/>
      <c r="BO73" s="774"/>
      <c r="BP73" s="774"/>
      <c r="BS73" s="693" t="s">
        <v>1842</v>
      </c>
    </row>
    <row r="74" spans="2:75" ht="14.65" hidden="1" customHeight="1">
      <c r="E74" s="505">
        <v>15</v>
      </c>
      <c r="F74" s="3" cm="1">
        <f t="array" aca="1" ref="F74" ca="1">OFFSET(E74,-1,1)</f>
        <v>0</v>
      </c>
      <c r="H74" s="276"/>
      <c r="I74" s="276" t="s">
        <v>1780</v>
      </c>
      <c r="K74" s="276" t="s">
        <v>1780</v>
      </c>
      <c r="L74" s="25"/>
      <c r="M74" s="25"/>
      <c r="Q74" s="72" t="s">
        <v>2275</v>
      </c>
      <c r="R74" s="75" t="s">
        <v>2275</v>
      </c>
      <c r="T74" s="351" t="b" cm="1">
        <f t="array" ref="T74">T73</f>
        <v>0</v>
      </c>
      <c r="X74" s="1024"/>
      <c r="Z74" s="1008"/>
      <c r="AB74" s="133" t="s">
        <v>1781</v>
      </c>
      <c r="AC74" s="127" t="s">
        <v>2034</v>
      </c>
      <c r="AD74" s="7" t="s">
        <v>859</v>
      </c>
      <c r="AE74" s="777"/>
      <c r="AF74" s="777"/>
      <c r="AG74" s="777"/>
      <c r="AH74" s="170">
        <f t="shared" si="6"/>
        <v>0</v>
      </c>
      <c r="AI74" s="906"/>
      <c r="AJ74" s="442"/>
      <c r="AK74" s="540"/>
      <c r="AL74" s="540"/>
      <c r="AM74" s="540"/>
      <c r="AN74" s="540"/>
      <c r="AO74" s="540"/>
      <c r="AP74" s="540"/>
      <c r="AQ74" s="540"/>
      <c r="AR74" s="540"/>
      <c r="AS74" s="540"/>
      <c r="AT74" s="540"/>
      <c r="AU74" s="540"/>
      <c r="AV74" s="540"/>
      <c r="AW74" s="540"/>
      <c r="AX74" s="540"/>
      <c r="AY74" s="540"/>
      <c r="AZ74" s="540"/>
      <c r="BA74" s="540"/>
      <c r="BB74" s="540"/>
      <c r="BC74" s="540"/>
      <c r="BD74" s="540"/>
      <c r="BE74" s="540"/>
      <c r="BF74" s="540"/>
      <c r="BG74" s="540"/>
      <c r="BH74" s="540"/>
      <c r="BI74" s="540"/>
      <c r="BJ74" s="540"/>
      <c r="BK74" s="540"/>
      <c r="BL74" s="540"/>
      <c r="BM74" s="540"/>
      <c r="BN74" s="774"/>
      <c r="BO74" s="774"/>
      <c r="BP74" s="774"/>
      <c r="BS74" s="694" t="s">
        <v>2035</v>
      </c>
    </row>
    <row r="75" spans="2:75" s="76" customFormat="1" ht="20.45" hidden="1" customHeight="1">
      <c r="B75" s="331"/>
      <c r="E75" s="509">
        <v>21</v>
      </c>
      <c r="F75" s="3" cm="1">
        <f t="array" aca="1" ref="F75" ca="1">OFFSET(E75,-1,1)</f>
        <v>0</v>
      </c>
      <c r="H75" s="276"/>
      <c r="I75" s="276" t="s">
        <v>1784</v>
      </c>
      <c r="K75" s="276" t="s">
        <v>1784</v>
      </c>
      <c r="L75" s="27"/>
      <c r="M75" s="27"/>
      <c r="Q75" s="72" t="s">
        <v>2275</v>
      </c>
      <c r="R75" s="75" t="s">
        <v>2275</v>
      </c>
      <c r="T75" s="351" t="b" cm="1">
        <f t="array" ref="T75">T74</f>
        <v>0</v>
      </c>
      <c r="X75" s="1024"/>
      <c r="Z75" s="1008"/>
      <c r="AB75" s="131" t="s">
        <v>1785</v>
      </c>
      <c r="AC75" s="262" t="s">
        <v>2036</v>
      </c>
      <c r="AD75" s="124" t="s">
        <v>859</v>
      </c>
      <c r="AE75" s="126">
        <f>SUM(AE76:AE77)</f>
        <v>0</v>
      </c>
      <c r="AF75" s="126">
        <f>SUM(AF76:AF77)</f>
        <v>0</v>
      </c>
      <c r="AG75" s="126">
        <f>SUM(AG76:AG77)</f>
        <v>0</v>
      </c>
      <c r="AH75" s="126">
        <f t="shared" si="6"/>
        <v>0</v>
      </c>
      <c r="AI75" s="905">
        <f>SUM(AI76:AI77)</f>
        <v>0</v>
      </c>
      <c r="AJ75" s="442"/>
      <c r="AK75" s="129"/>
      <c r="AL75" s="129"/>
      <c r="AM75" s="129"/>
      <c r="AN75" s="129"/>
      <c r="AO75" s="129"/>
      <c r="AP75" s="129"/>
      <c r="AQ75" s="129"/>
      <c r="AR75" s="129"/>
      <c r="AS75" s="129"/>
      <c r="AT75" s="540"/>
      <c r="AU75" s="540"/>
      <c r="AV75" s="129"/>
      <c r="AW75" s="129"/>
      <c r="AX75" s="129"/>
      <c r="AY75" s="129"/>
      <c r="AZ75" s="129"/>
      <c r="BA75" s="129"/>
      <c r="BB75" s="129"/>
      <c r="BC75" s="129"/>
      <c r="BD75" s="129"/>
      <c r="BE75" s="129"/>
      <c r="BF75" s="129"/>
      <c r="BG75" s="129"/>
      <c r="BH75" s="129"/>
      <c r="BI75" s="129"/>
      <c r="BJ75" s="129"/>
      <c r="BK75" s="129"/>
      <c r="BL75" s="129"/>
      <c r="BM75" s="129"/>
      <c r="BN75" s="776"/>
      <c r="BO75" s="776"/>
      <c r="BP75" s="776"/>
      <c r="BS75" s="700" t="s">
        <v>2037</v>
      </c>
      <c r="BT75" s="700"/>
      <c r="BU75" s="700"/>
      <c r="BV75" s="509"/>
      <c r="BW75" s="509"/>
    </row>
    <row r="76" spans="2:75" ht="14.65" hidden="1" customHeight="1">
      <c r="E76" s="505">
        <v>15</v>
      </c>
      <c r="F76" s="3" cm="1">
        <f t="array" aca="1" ref="F76" ca="1">OFFSET(E76,-1,1)</f>
        <v>0</v>
      </c>
      <c r="I76" s="276" t="s">
        <v>1784</v>
      </c>
      <c r="J76" s="72" cm="1">
        <f t="array" ref="J76">AC76</f>
        <v>0</v>
      </c>
      <c r="K76" s="276" t="s">
        <v>1784</v>
      </c>
      <c r="L76" s="25"/>
      <c r="M76" s="25"/>
      <c r="Q76" s="72" t="s">
        <v>2275</v>
      </c>
      <c r="R76" s="75" t="s">
        <v>2275</v>
      </c>
      <c r="T76" s="351" t="b">
        <f ca="1">AND(F76&gt;0,Y76&gt;0)</f>
        <v>0</v>
      </c>
      <c r="W76" s="72" t="s">
        <v>171</v>
      </c>
      <c r="X76" s="1024"/>
      <c r="Y76" s="72">
        <v>0</v>
      </c>
      <c r="Z76" s="1008"/>
      <c r="AA76" s="319" t="s">
        <v>172</v>
      </c>
      <c r="AB76" s="7" t="str">
        <f>"1.7."&amp;Y76</f>
        <v>1.7.0</v>
      </c>
      <c r="AC76" s="779"/>
      <c r="AD76" s="7" t="s">
        <v>859</v>
      </c>
      <c r="AE76" s="777"/>
      <c r="AF76" s="777"/>
      <c r="AG76" s="777"/>
      <c r="AH76" s="170">
        <f t="shared" si="6"/>
        <v>0</v>
      </c>
      <c r="AI76" s="906"/>
      <c r="AJ76" s="128"/>
      <c r="AK76" s="540"/>
      <c r="AL76" s="540"/>
      <c r="AM76" s="540"/>
      <c r="AN76" s="540"/>
      <c r="AO76" s="540"/>
      <c r="AP76" s="540"/>
      <c r="AQ76" s="540"/>
      <c r="AR76" s="540"/>
      <c r="AS76" s="540"/>
      <c r="AT76" s="540"/>
      <c r="AU76" s="540"/>
      <c r="AV76" s="540"/>
      <c r="AW76" s="540"/>
      <c r="AX76" s="540"/>
      <c r="AY76" s="540"/>
      <c r="AZ76" s="540"/>
      <c r="BA76" s="540"/>
      <c r="BB76" s="540"/>
      <c r="BC76" s="540"/>
      <c r="BD76" s="129"/>
      <c r="BE76" s="540"/>
      <c r="BF76" s="540"/>
      <c r="BG76" s="540"/>
      <c r="BH76" s="540"/>
      <c r="BI76" s="540"/>
      <c r="BJ76" s="540"/>
      <c r="BK76" s="540"/>
      <c r="BL76" s="540"/>
      <c r="BM76" s="540"/>
      <c r="BN76" s="774"/>
      <c r="BO76" s="774"/>
      <c r="BP76" s="774"/>
      <c r="BS76" s="694" t="s">
        <v>2037</v>
      </c>
      <c r="BT76" s="694" t="s">
        <v>2038</v>
      </c>
      <c r="BU76" s="694" cm="1">
        <f t="array" ref="BU76">AC76</f>
        <v>0</v>
      </c>
      <c r="BW76" s="505" t="b">
        <v>1</v>
      </c>
    </row>
    <row r="77" spans="2:75" ht="14.65" hidden="1" customHeight="1">
      <c r="E77" s="505">
        <v>15</v>
      </c>
      <c r="F77" s="3" cm="1">
        <f t="array" aca="1" ref="F77" ca="1">OFFSET(E77,-1,1)</f>
        <v>0</v>
      </c>
      <c r="G77" s="265"/>
      <c r="J77" s="72" t="s">
        <v>2039</v>
      </c>
      <c r="L77" s="25"/>
      <c r="M77" s="25"/>
      <c r="T77" s="351" t="b">
        <f ca="1">F77&gt;0</f>
        <v>0</v>
      </c>
      <c r="W77" s="504" t="s">
        <v>2276</v>
      </c>
      <c r="X77" s="1024"/>
      <c r="Z77" s="1008"/>
      <c r="AB77" s="544"/>
      <c r="AC77" s="171" t="s">
        <v>175</v>
      </c>
      <c r="AD77" s="545"/>
      <c r="AE77" s="545"/>
      <c r="AF77" s="545"/>
      <c r="AG77" s="545"/>
      <c r="AH77" s="545"/>
      <c r="AI77" s="545"/>
      <c r="AJ77" s="545"/>
      <c r="AK77" s="545"/>
      <c r="AL77" s="545"/>
      <c r="AM77" s="545"/>
      <c r="AN77" s="545"/>
      <c r="AO77" s="545"/>
      <c r="AP77" s="545"/>
      <c r="AQ77" s="545"/>
      <c r="AR77" s="545"/>
      <c r="AS77" s="545"/>
      <c r="AT77" s="545"/>
      <c r="AU77" s="545"/>
      <c r="AV77" s="545"/>
      <c r="AW77" s="545"/>
      <c r="AX77" s="545"/>
      <c r="AY77" s="545"/>
      <c r="AZ77" s="545"/>
      <c r="BA77" s="545"/>
      <c r="BB77" s="545"/>
      <c r="BC77" s="545"/>
      <c r="BD77" s="545"/>
      <c r="BE77" s="545"/>
      <c r="BF77" s="545"/>
      <c r="BG77" s="545"/>
      <c r="BH77" s="545"/>
      <c r="BI77" s="545"/>
      <c r="BJ77" s="545"/>
      <c r="BK77" s="545"/>
      <c r="BL77" s="545"/>
      <c r="BM77" s="545"/>
      <c r="BN77" s="545"/>
      <c r="BO77" s="545"/>
      <c r="BP77" s="546"/>
      <c r="BV77" s="505" t="s">
        <v>2038</v>
      </c>
    </row>
    <row r="78" spans="2:75" s="76" customFormat="1" ht="20.45" hidden="1" customHeight="1">
      <c r="B78" s="331"/>
      <c r="E78" s="509">
        <v>21</v>
      </c>
      <c r="F78" s="3" cm="1">
        <f t="array" aca="1" ref="F78" ca="1">OFFSET(E78,-1,1)</f>
        <v>0</v>
      </c>
      <c r="H78" s="72"/>
      <c r="I78" s="72" t="s">
        <v>322</v>
      </c>
      <c r="K78" s="72" t="s">
        <v>322</v>
      </c>
      <c r="L78" s="27"/>
      <c r="M78" s="27"/>
      <c r="T78" s="351" t="b" cm="1">
        <f t="array" aca="1" ref="T78" ca="1">T77</f>
        <v>0</v>
      </c>
      <c r="X78" s="1024"/>
      <c r="Z78" s="1008"/>
      <c r="AB78" s="160" t="s">
        <v>435</v>
      </c>
      <c r="AC78" s="125" t="s">
        <v>2040</v>
      </c>
      <c r="AD78" s="147" t="s">
        <v>859</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7">AG78-AF78</f>
        <v>0</v>
      </c>
      <c r="AI78" s="126">
        <f t="shared" ref="AI78:BC78" ca="1" si="8">AI79+AI91+AI92++AI103+AI104+AI105+AI107+AI108+AI109+AI110+AI113</f>
        <v>0</v>
      </c>
      <c r="AJ78" s="126">
        <f t="shared" ca="1" si="8"/>
        <v>0</v>
      </c>
      <c r="AK78" s="126">
        <f t="shared" ca="1" si="8"/>
        <v>0</v>
      </c>
      <c r="AL78" s="126">
        <f t="shared" ca="1" si="8"/>
        <v>0</v>
      </c>
      <c r="AM78" s="126">
        <f t="shared" ca="1" si="8"/>
        <v>0</v>
      </c>
      <c r="AN78" s="126">
        <f t="shared" ca="1" si="8"/>
        <v>0</v>
      </c>
      <c r="AO78" s="126">
        <f t="shared" ca="1" si="8"/>
        <v>0</v>
      </c>
      <c r="AP78" s="126">
        <f t="shared" ca="1" si="8"/>
        <v>0</v>
      </c>
      <c r="AQ78" s="126">
        <f t="shared" ca="1" si="8"/>
        <v>0</v>
      </c>
      <c r="AR78" s="126">
        <f t="shared" ca="1" si="8"/>
        <v>0</v>
      </c>
      <c r="AS78" s="126">
        <f t="shared" ca="1" si="8"/>
        <v>0</v>
      </c>
      <c r="AT78" s="126">
        <f t="shared" ca="1" si="8"/>
        <v>0</v>
      </c>
      <c r="AU78" s="126">
        <f t="shared" ca="1" si="8"/>
        <v>0</v>
      </c>
      <c r="AV78" s="126">
        <f t="shared" ca="1" si="8"/>
        <v>0</v>
      </c>
      <c r="AW78" s="126">
        <f t="shared" ca="1" si="8"/>
        <v>0</v>
      </c>
      <c r="AX78" s="126">
        <f t="shared" ca="1" si="8"/>
        <v>0</v>
      </c>
      <c r="AY78" s="126">
        <f t="shared" ca="1" si="8"/>
        <v>0</v>
      </c>
      <c r="AZ78" s="126">
        <f t="shared" ca="1" si="8"/>
        <v>0</v>
      </c>
      <c r="BA78" s="126">
        <f t="shared" ca="1" si="8"/>
        <v>0</v>
      </c>
      <c r="BB78" s="126">
        <f t="shared" ca="1" si="8"/>
        <v>0</v>
      </c>
      <c r="BC78" s="126">
        <f t="shared" ca="1" si="8"/>
        <v>0</v>
      </c>
      <c r="BD78" s="126">
        <f t="shared" ref="BD78:BD123" ca="1" si="9">IF(AI78=0,0,(AT78-AI78)/AI78*100)</f>
        <v>0</v>
      </c>
      <c r="BE78" s="126">
        <f t="shared" ref="BE78:BE123" ca="1" si="10">IF(AT78=0,0,(AU78-AT78)/AT78*100)</f>
        <v>0</v>
      </c>
      <c r="BF78" s="126">
        <f t="shared" ref="BF78:BF123" ca="1" si="11">IF(AU78=0,0,(AV78-AU78)/AU78*100)</f>
        <v>0</v>
      </c>
      <c r="BG78" s="126">
        <f t="shared" ref="BG78:BG123" ca="1" si="12">IF(AV78=0,0,(AW78-AV78)/AV78*100)</f>
        <v>0</v>
      </c>
      <c r="BH78" s="126">
        <f t="shared" ref="BH78:BH123" ca="1" si="13">IF(AW78=0,0,(AX78-AW78)/AW78*100)</f>
        <v>0</v>
      </c>
      <c r="BI78" s="126">
        <f t="shared" ref="BI78:BI123" ca="1" si="14">IF(AX78=0,0,(AY78-AX78)/AX78*100)</f>
        <v>0</v>
      </c>
      <c r="BJ78" s="126">
        <f t="shared" ref="BJ78:BJ123" ca="1" si="15">IF(AY78=0,0,(AZ78-AY78)/AY78*100)</f>
        <v>0</v>
      </c>
      <c r="BK78" s="126">
        <f t="shared" ref="BK78:BK123" ca="1" si="16">IF(AZ78=0,0,(BA78-AZ78)/AZ78*100)</f>
        <v>0</v>
      </c>
      <c r="BL78" s="126">
        <f t="shared" ref="BL78:BL123" ca="1" si="17">IF(BA78=0,0,(BB78-BA78)/BA78*100)</f>
        <v>0</v>
      </c>
      <c r="BM78" s="126">
        <f t="shared" ref="BM78:BM123" ca="1" si="18">IF(BB78=0,0,(BC78-BB78)/BB78*100)</f>
        <v>0</v>
      </c>
      <c r="BN78" s="774"/>
      <c r="BO78" s="774"/>
      <c r="BP78" s="774"/>
      <c r="BQ78" s="74"/>
      <c r="BS78" s="700" t="s">
        <v>2041</v>
      </c>
      <c r="BT78" s="700"/>
      <c r="BU78" s="700"/>
      <c r="BV78" s="509"/>
      <c r="BW78" s="509"/>
    </row>
    <row r="79" spans="2:75" s="76" customFormat="1" ht="21.95" hidden="1" customHeight="1">
      <c r="B79" s="331"/>
      <c r="E79" s="509">
        <v>22.5</v>
      </c>
      <c r="F79" s="3" cm="1">
        <f t="array" aca="1" ref="F79" ca="1">OFFSET(E79,-1,1)</f>
        <v>0</v>
      </c>
      <c r="H79" s="72"/>
      <c r="I79" s="72" t="s">
        <v>525</v>
      </c>
      <c r="K79" s="72" t="s">
        <v>525</v>
      </c>
      <c r="L79" s="27" t="s">
        <v>511</v>
      </c>
      <c r="M79" s="27"/>
      <c r="T79" s="351" t="b" cm="1">
        <f t="array" aca="1" ref="T79" ca="1">T78</f>
        <v>0</v>
      </c>
      <c r="X79" s="1024"/>
      <c r="Z79" s="1008"/>
      <c r="AB79" s="131" t="s">
        <v>588</v>
      </c>
      <c r="AC79" s="262" t="s">
        <v>2042</v>
      </c>
      <c r="AD79" s="124" t="s">
        <v>859</v>
      </c>
      <c r="AE79" s="126">
        <f ca="1">SUM(AE80:AE90)</f>
        <v>0</v>
      </c>
      <c r="AF79" s="126">
        <f ca="1">SUM(AF80:AF90)</f>
        <v>0</v>
      </c>
      <c r="AG79" s="126">
        <f ca="1">SUM(AG80:AG90)</f>
        <v>0</v>
      </c>
      <c r="AH79" s="126">
        <f t="shared" ca="1" si="7"/>
        <v>0</v>
      </c>
      <c r="AI79" s="126">
        <f t="shared" ref="AI79:BC79" ca="1" si="19">SUM(AI80:AI90)</f>
        <v>0</v>
      </c>
      <c r="AJ79" s="126">
        <f t="shared" ca="1" si="19"/>
        <v>0</v>
      </c>
      <c r="AK79" s="126">
        <f t="shared" ca="1" si="19"/>
        <v>0</v>
      </c>
      <c r="AL79" s="126">
        <f t="shared" ca="1" si="19"/>
        <v>0</v>
      </c>
      <c r="AM79" s="126">
        <f t="shared" ca="1" si="19"/>
        <v>0</v>
      </c>
      <c r="AN79" s="126">
        <f t="shared" ca="1" si="19"/>
        <v>0</v>
      </c>
      <c r="AO79" s="126">
        <f t="shared" ca="1" si="19"/>
        <v>0</v>
      </c>
      <c r="AP79" s="126">
        <f t="shared" ca="1" si="19"/>
        <v>0</v>
      </c>
      <c r="AQ79" s="126">
        <f t="shared" ca="1" si="19"/>
        <v>0</v>
      </c>
      <c r="AR79" s="126">
        <f t="shared" ca="1" si="19"/>
        <v>0</v>
      </c>
      <c r="AS79" s="126">
        <f t="shared" ca="1" si="19"/>
        <v>0</v>
      </c>
      <c r="AT79" s="126">
        <f t="shared" ca="1" si="19"/>
        <v>0</v>
      </c>
      <c r="AU79" s="126">
        <f t="shared" ca="1" si="19"/>
        <v>0</v>
      </c>
      <c r="AV79" s="126">
        <f t="shared" ca="1" si="19"/>
        <v>0</v>
      </c>
      <c r="AW79" s="126">
        <f t="shared" ca="1" si="19"/>
        <v>0</v>
      </c>
      <c r="AX79" s="126">
        <f t="shared" ca="1" si="19"/>
        <v>0</v>
      </c>
      <c r="AY79" s="126">
        <f t="shared" ca="1" si="19"/>
        <v>0</v>
      </c>
      <c r="AZ79" s="126">
        <f t="shared" ca="1" si="19"/>
        <v>0</v>
      </c>
      <c r="BA79" s="126">
        <f t="shared" ca="1" si="19"/>
        <v>0</v>
      </c>
      <c r="BB79" s="126">
        <f t="shared" ca="1" si="19"/>
        <v>0</v>
      </c>
      <c r="BC79" s="126">
        <f t="shared" ca="1" si="19"/>
        <v>0</v>
      </c>
      <c r="BD79" s="126">
        <f t="shared" ca="1" si="9"/>
        <v>0</v>
      </c>
      <c r="BE79" s="126">
        <f t="shared" ca="1" si="10"/>
        <v>0</v>
      </c>
      <c r="BF79" s="126">
        <f t="shared" ca="1" si="11"/>
        <v>0</v>
      </c>
      <c r="BG79" s="126">
        <f t="shared" ca="1" si="12"/>
        <v>0</v>
      </c>
      <c r="BH79" s="126">
        <f t="shared" ca="1" si="13"/>
        <v>0</v>
      </c>
      <c r="BI79" s="126">
        <f t="shared" ca="1" si="14"/>
        <v>0</v>
      </c>
      <c r="BJ79" s="126">
        <f t="shared" ca="1" si="15"/>
        <v>0</v>
      </c>
      <c r="BK79" s="126">
        <f t="shared" ca="1" si="16"/>
        <v>0</v>
      </c>
      <c r="BL79" s="126">
        <f t="shared" ca="1" si="17"/>
        <v>0</v>
      </c>
      <c r="BM79" s="126">
        <f t="shared" ca="1" si="18"/>
        <v>0</v>
      </c>
      <c r="BN79" s="776"/>
      <c r="BO79" s="776"/>
      <c r="BP79" s="776"/>
      <c r="BS79" s="700" t="s">
        <v>2043</v>
      </c>
      <c r="BT79" s="700"/>
      <c r="BU79" s="700"/>
      <c r="BV79" s="509"/>
      <c r="BW79" s="509"/>
    </row>
    <row r="80" spans="2:75" ht="14.65" hidden="1" customHeight="1">
      <c r="E80" s="505">
        <v>15</v>
      </c>
      <c r="F80" s="3" cm="1">
        <f t="array" aca="1" ref="F80" ca="1">OFFSET(E80,-1,1)</f>
        <v>0</v>
      </c>
      <c r="G80" s="72" t="s">
        <v>1114</v>
      </c>
      <c r="I80" s="72" t="s">
        <v>1604</v>
      </c>
      <c r="K80" s="72" t="s">
        <v>1604</v>
      </c>
      <c r="L80" s="25" t="s">
        <v>1381</v>
      </c>
      <c r="M80" s="25"/>
      <c r="T80" s="351" t="b" cm="1">
        <f t="array" aca="1" ref="T80" ca="1">T79</f>
        <v>0</v>
      </c>
      <c r="X80" s="1024"/>
      <c r="Z80" s="1008"/>
      <c r="AB80" s="133" t="s">
        <v>533</v>
      </c>
      <c r="AC80" s="134" t="s">
        <v>2044</v>
      </c>
      <c r="AD80" s="7" t="s">
        <v>859</v>
      </c>
      <c r="AE80" s="170">
        <f ca="1">SUMIFS(Покупка!AE$25:AE$87,Покупка!$F$25:$F$87,$F80,Покупка!$AC$25:$AC$87,$G80)</f>
        <v>0</v>
      </c>
      <c r="AF80" s="170">
        <f ca="1">SUMIFS(Покупка!AF$25:AF$87,Покупка!$F$25:$F$87,$F80,Покупка!$AC$25:$AC$87,$G80)</f>
        <v>0</v>
      </c>
      <c r="AG80" s="170">
        <f ca="1">SUMIFS(Покупка!AG$25:AG$87,Покупка!$F$25:$F$87,$F80,Покупка!$AC$25:$AC$87,$G80)</f>
        <v>0</v>
      </c>
      <c r="AH80" s="170">
        <f t="shared" ca="1" si="7"/>
        <v>0</v>
      </c>
      <c r="AI80" s="170">
        <f ca="1">SUMIFS(Покупка!AH$25:AH$87,Покупка!$F$25:$F$87,$F80,Покупка!$AC$25:$AC$87,$G80)</f>
        <v>0</v>
      </c>
      <c r="AJ80" s="170">
        <f ca="1">SUMIFS(Покупка!AI$25:AI$87,Покупка!$F$25:$F$87,$F80,Покупка!$AC$25:$AC$87,$G80)</f>
        <v>0</v>
      </c>
      <c r="AK80" s="170">
        <f ca="1">SUMIFS(Покупка!AJ$25:AJ$87,Покупка!$F$25:$F$87,$F80,Покупка!$AC$25:$AC$87,$G80)</f>
        <v>0</v>
      </c>
      <c r="AL80" s="170">
        <f ca="1">SUMIFS(Покупка!AK$25:AK$87,Покупка!$F$25:$F$87,$F80,Покупка!$AC$25:$AC$87,$G80)</f>
        <v>0</v>
      </c>
      <c r="AM80" s="170">
        <f ca="1">SUMIFS(Покупка!AL$25:AL$87,Покупка!$F$25:$F$87,$F80,Покупка!$AC$25:$AC$87,$G80)</f>
        <v>0</v>
      </c>
      <c r="AN80" s="170">
        <f ca="1">SUMIFS(Покупка!AM$25:AM$87,Покупка!$F$25:$F$87,$F80,Покупка!$AC$25:$AC$87,$G80)</f>
        <v>0</v>
      </c>
      <c r="AO80" s="170">
        <f ca="1">SUMIFS(Покупка!AN$25:AN$87,Покупка!$F$25:$F$87,$F80,Покупка!$AC$25:$AC$87,$G80)</f>
        <v>0</v>
      </c>
      <c r="AP80" s="170">
        <f ca="1">SUMIFS(Покупка!AO$25:AO$87,Покупка!$F$25:$F$87,$F80,Покупка!$AC$25:$AC$87,$G80)</f>
        <v>0</v>
      </c>
      <c r="AQ80" s="170">
        <f ca="1">SUMIFS(Покупка!AP$25:AP$87,Покупка!$F$25:$F$87,$F80,Покупка!$AC$25:$AC$87,$G80)</f>
        <v>0</v>
      </c>
      <c r="AR80" s="170">
        <f ca="1">SUMIFS(Покупка!AQ$25:AQ$87,Покупка!$F$25:$F$87,$F80,Покупка!$AC$25:$AC$87,$G80)</f>
        <v>0</v>
      </c>
      <c r="AS80" s="170">
        <f ca="1">SUMIFS(Покупка!AR$25:AR$87,Покупка!$F$25:$F$87,$F80,Покупка!$AC$25:$AC$87,$G80)</f>
        <v>0</v>
      </c>
      <c r="AT80" s="170">
        <f ca="1">SUMIFS(Покупка!AS$25:AS$87,Покупка!$F$25:$F$87,$F80,Покупка!$AC$25:$AC$87,$G80)</f>
        <v>0</v>
      </c>
      <c r="AU80" s="170">
        <f ca="1">SUMIFS(Покупка!AT$25:AT$87,Покупка!$F$25:$F$87,$F80,Покупка!$AC$25:$AC$87,$G80)</f>
        <v>0</v>
      </c>
      <c r="AV80" s="170">
        <f ca="1">SUMIFS(Покупка!AU$25:AU$87,Покупка!$F$25:$F$87,$F80,Покупка!$AC$25:$AC$87,$G80)</f>
        <v>0</v>
      </c>
      <c r="AW80" s="170">
        <f ca="1">SUMIFS(Покупка!AV$25:AV$87,Покупка!$F$25:$F$87,$F80,Покупка!$AC$25:$AC$87,$G80)</f>
        <v>0</v>
      </c>
      <c r="AX80" s="170">
        <f ca="1">SUMIFS(Покупка!AW$25:AW$87,Покупка!$F$25:$F$87,$F80,Покупка!$AC$25:$AC$87,$G80)</f>
        <v>0</v>
      </c>
      <c r="AY80" s="170">
        <f ca="1">SUMIFS(Покупка!AX$25:AX$87,Покупка!$F$25:$F$87,$F80,Покупка!$AC$25:$AC$87,$G80)</f>
        <v>0</v>
      </c>
      <c r="AZ80" s="170">
        <f ca="1">SUMIFS(Покупка!AY$25:AY$87,Покупка!$F$25:$F$87,$F80,Покупка!$AC$25:$AC$87,$G80)</f>
        <v>0</v>
      </c>
      <c r="BA80" s="170">
        <f ca="1">SUMIFS(Покупка!AZ$25:AZ$87,Покупка!$F$25:$F$87,$F80,Покупка!$AC$25:$AC$87,$G80)</f>
        <v>0</v>
      </c>
      <c r="BB80" s="170">
        <f ca="1">SUMIFS(Покупка!BA$25:BA$87,Покупка!$F$25:$F$87,$F80,Покупка!$AC$25:$AC$87,$G80)</f>
        <v>0</v>
      </c>
      <c r="BC80" s="170">
        <f ca="1">SUMIFS(Покупка!BB$25:BB$87,Покупка!$F$25:$F$87,$F80,Покупка!$AC$25:$AC$87,$G80)</f>
        <v>0</v>
      </c>
      <c r="BD80" s="170">
        <f t="shared" ca="1" si="9"/>
        <v>0</v>
      </c>
      <c r="BE80" s="170">
        <f t="shared" ca="1" si="10"/>
        <v>0</v>
      </c>
      <c r="BF80" s="170">
        <f t="shared" ca="1" si="11"/>
        <v>0</v>
      </c>
      <c r="BG80" s="170">
        <f t="shared" ca="1" si="12"/>
        <v>0</v>
      </c>
      <c r="BH80" s="170">
        <f t="shared" ca="1" si="13"/>
        <v>0</v>
      </c>
      <c r="BI80" s="170">
        <f t="shared" ca="1" si="14"/>
        <v>0</v>
      </c>
      <c r="BJ80" s="170">
        <f t="shared" ca="1" si="15"/>
        <v>0</v>
      </c>
      <c r="BK80" s="170">
        <f t="shared" ca="1" si="16"/>
        <v>0</v>
      </c>
      <c r="BL80" s="170">
        <f t="shared" ca="1" si="17"/>
        <v>0</v>
      </c>
      <c r="BM80" s="170">
        <f t="shared" ca="1" si="18"/>
        <v>0</v>
      </c>
      <c r="BN80" s="774"/>
      <c r="BO80" s="778" t="str">
        <f ca="1">IF(IFERROR(INDEX(Покупка!$K$26:$L$87,MATCH($F80&amp;"6komm",Покупка!$K$26:$K$87,0),2),"")=0,"",IFERROR(INDEX(Покупка!$K$26:$L$87,MATCH($F80&amp;"6komm",Покупка!$K$26:$K$87,0),2),""))</f>
        <v/>
      </c>
      <c r="BP80" s="774"/>
      <c r="BS80" s="694" t="s">
        <v>1115</v>
      </c>
    </row>
    <row r="81" spans="2:75" ht="14.65" hidden="1" customHeight="1">
      <c r="B81" s="15"/>
      <c r="C81" s="25"/>
      <c r="D81" s="25"/>
      <c r="E81" s="449">
        <v>15</v>
      </c>
      <c r="F81" s="3" cm="1">
        <f t="array" aca="1" ref="F81" ca="1">OFFSET(E81,-1,1)</f>
        <v>0</v>
      </c>
      <c r="G81" s="25" t="s">
        <v>1116</v>
      </c>
      <c r="H81" s="25"/>
      <c r="I81" s="25" t="s">
        <v>1608</v>
      </c>
      <c r="J81" s="25"/>
      <c r="K81" s="25" t="s">
        <v>1608</v>
      </c>
      <c r="L81" s="25" t="s">
        <v>1385</v>
      </c>
      <c r="M81" s="25"/>
      <c r="N81" s="25"/>
      <c r="O81" s="25"/>
      <c r="P81" s="25"/>
      <c r="Q81" s="25"/>
      <c r="R81" s="25"/>
      <c r="S81" s="25"/>
      <c r="T81" s="351" t="b" cm="1">
        <f t="array" aca="1" ref="T81" ca="1">T80</f>
        <v>0</v>
      </c>
      <c r="U81" s="25"/>
      <c r="V81" s="25"/>
      <c r="X81" s="1024"/>
      <c r="Z81" s="1008"/>
      <c r="AB81" s="133" t="s">
        <v>2045</v>
      </c>
      <c r="AC81" s="134" t="s">
        <v>2046</v>
      </c>
      <c r="AD81" s="7" t="s">
        <v>859</v>
      </c>
      <c r="AE81" s="170">
        <f ca="1">SUMIFS(Покупка!AE$25:AE$87,Покупка!$F$25:$F$87,$F81,Покупка!$AC$25:$AC$87,$G81)</f>
        <v>0</v>
      </c>
      <c r="AF81" s="170">
        <f ca="1">SUMIFS(Покупка!AF$25:AF$87,Покупка!$F$25:$F$87,$F81,Покупка!$AC$25:$AC$87,$G81)</f>
        <v>0</v>
      </c>
      <c r="AG81" s="170">
        <f ca="1">SUMIFS(Покупка!AG$25:AG$87,Покупка!$F$25:$F$87,$F81,Покупка!$AC$25:$AC$87,$G81)</f>
        <v>0</v>
      </c>
      <c r="AH81" s="170">
        <f t="shared" ca="1" si="7"/>
        <v>0</v>
      </c>
      <c r="AI81" s="170">
        <f ca="1">SUMIFS(Покупка!AH$25:AH$87,Покупка!$F$25:$F$87,$F81,Покупка!$AC$25:$AC$87,$G81)</f>
        <v>0</v>
      </c>
      <c r="AJ81" s="170">
        <f ca="1">SUMIFS(Покупка!AI$25:AI$87,Покупка!$F$25:$F$87,$F81,Покупка!$AC$25:$AC$87,$G81)</f>
        <v>0</v>
      </c>
      <c r="AK81" s="170">
        <f ca="1">SUMIFS(Покупка!AJ$25:AJ$87,Покупка!$F$25:$F$87,$F81,Покупка!$AC$25:$AC$87,$G81)</f>
        <v>0</v>
      </c>
      <c r="AL81" s="170">
        <f ca="1">SUMIFS(Покупка!AK$25:AK$87,Покупка!$F$25:$F$87,$F81,Покупка!$AC$25:$AC$87,$G81)</f>
        <v>0</v>
      </c>
      <c r="AM81" s="170">
        <f ca="1">SUMIFS(Покупка!AL$25:AL$87,Покупка!$F$25:$F$87,$F81,Покупка!$AC$25:$AC$87,$G81)</f>
        <v>0</v>
      </c>
      <c r="AN81" s="170">
        <f ca="1">SUMIFS(Покупка!AM$25:AM$87,Покупка!$F$25:$F$87,$F81,Покупка!$AC$25:$AC$87,$G81)</f>
        <v>0</v>
      </c>
      <c r="AO81" s="170">
        <f ca="1">SUMIFS(Покупка!AN$25:AN$87,Покупка!$F$25:$F$87,$F81,Покупка!$AC$25:$AC$87,$G81)</f>
        <v>0</v>
      </c>
      <c r="AP81" s="170">
        <f ca="1">SUMIFS(Покупка!AO$25:AO$87,Покупка!$F$25:$F$87,$F81,Покупка!$AC$25:$AC$87,$G81)</f>
        <v>0</v>
      </c>
      <c r="AQ81" s="170">
        <f ca="1">SUMIFS(Покупка!AP$25:AP$87,Покупка!$F$25:$F$87,$F81,Покупка!$AC$25:$AC$87,$G81)</f>
        <v>0</v>
      </c>
      <c r="AR81" s="170">
        <f ca="1">SUMIFS(Покупка!AQ$25:AQ$87,Покупка!$F$25:$F$87,$F81,Покупка!$AC$25:$AC$87,$G81)</f>
        <v>0</v>
      </c>
      <c r="AS81" s="170">
        <f ca="1">SUMIFS(Покупка!AR$25:AR$87,Покупка!$F$25:$F$87,$F81,Покупка!$AC$25:$AC$87,$G81)</f>
        <v>0</v>
      </c>
      <c r="AT81" s="170">
        <f ca="1">SUMIFS(Покупка!AS$25:AS$87,Покупка!$F$25:$F$87,$F81,Покупка!$AC$25:$AC$87,$G81)</f>
        <v>0</v>
      </c>
      <c r="AU81" s="170">
        <f ca="1">SUMIFS(Покупка!AT$25:AT$87,Покупка!$F$25:$F$87,$F81,Покупка!$AC$25:$AC$87,$G81)</f>
        <v>0</v>
      </c>
      <c r="AV81" s="170">
        <f ca="1">SUMIFS(Покупка!AU$25:AU$87,Покупка!$F$25:$F$87,$F81,Покупка!$AC$25:$AC$87,$G81)</f>
        <v>0</v>
      </c>
      <c r="AW81" s="170">
        <f ca="1">SUMIFS(Покупка!AV$25:AV$87,Покупка!$F$25:$F$87,$F81,Покупка!$AC$25:$AC$87,$G81)</f>
        <v>0</v>
      </c>
      <c r="AX81" s="170">
        <f ca="1">SUMIFS(Покупка!AW$25:AW$87,Покупка!$F$25:$F$87,$F81,Покупка!$AC$25:$AC$87,$G81)</f>
        <v>0</v>
      </c>
      <c r="AY81" s="170">
        <f ca="1">SUMIFS(Покупка!AX$25:AX$87,Покупка!$F$25:$F$87,$F81,Покупка!$AC$25:$AC$87,$G81)</f>
        <v>0</v>
      </c>
      <c r="AZ81" s="170">
        <f ca="1">SUMIFS(Покупка!AY$25:AY$87,Покупка!$F$25:$F$87,$F81,Покупка!$AC$25:$AC$87,$G81)</f>
        <v>0</v>
      </c>
      <c r="BA81" s="170">
        <f ca="1">SUMIFS(Покупка!AZ$25:AZ$87,Покупка!$F$25:$F$87,$F81,Покупка!$AC$25:$AC$87,$G81)</f>
        <v>0</v>
      </c>
      <c r="BB81" s="170">
        <f ca="1">SUMIFS(Покупка!BA$25:BA$87,Покупка!$F$25:$F$87,$F81,Покупка!$AC$25:$AC$87,$G81)</f>
        <v>0</v>
      </c>
      <c r="BC81" s="170">
        <f ca="1">SUMIFS(Покупка!BB$25:BB$87,Покупка!$F$25:$F$87,$F81,Покупка!$AC$25:$AC$87,$G81)</f>
        <v>0</v>
      </c>
      <c r="BD81" s="170">
        <f t="shared" ca="1" si="9"/>
        <v>0</v>
      </c>
      <c r="BE81" s="170">
        <f t="shared" ca="1" si="10"/>
        <v>0</v>
      </c>
      <c r="BF81" s="170">
        <f t="shared" ca="1" si="11"/>
        <v>0</v>
      </c>
      <c r="BG81" s="170">
        <f t="shared" ca="1" si="12"/>
        <v>0</v>
      </c>
      <c r="BH81" s="170">
        <f t="shared" ca="1" si="13"/>
        <v>0</v>
      </c>
      <c r="BI81" s="170">
        <f t="shared" ca="1" si="14"/>
        <v>0</v>
      </c>
      <c r="BJ81" s="170">
        <f t="shared" ca="1" si="15"/>
        <v>0</v>
      </c>
      <c r="BK81" s="170">
        <f t="shared" ca="1" si="16"/>
        <v>0</v>
      </c>
      <c r="BL81" s="170">
        <f t="shared" ca="1" si="17"/>
        <v>0</v>
      </c>
      <c r="BM81" s="170">
        <f t="shared" ca="1" si="18"/>
        <v>0</v>
      </c>
      <c r="BN81" s="774"/>
      <c r="BO81" s="778" t="str">
        <f ca="1">IF(IFERROR(INDEX(Покупка!$K$26:$L$87,MATCH($F81&amp;"7komm",Покупка!$K$26:$K$87,0),2),"")=0,"",IFERROR(INDEX(Покупка!$K$26:$L$87,MATCH($F81&amp;"7komm",Покупка!$K$26:$K$87,0),2),""))</f>
        <v/>
      </c>
      <c r="BP81" s="774"/>
      <c r="BS81" s="694" t="s">
        <v>1117</v>
      </c>
    </row>
    <row r="82" spans="2:75" ht="14.65" hidden="1" customHeight="1">
      <c r="B82" s="15"/>
      <c r="C82" s="25"/>
      <c r="D82" s="25"/>
      <c r="E82" s="449">
        <v>15</v>
      </c>
      <c r="F82" s="3" cm="1">
        <f t="array" aca="1" ref="F82" ca="1">OFFSET(E82,-1,1)</f>
        <v>0</v>
      </c>
      <c r="G82" s="25" t="s">
        <v>1091</v>
      </c>
      <c r="H82" s="25"/>
      <c r="I82" s="25" t="s">
        <v>1684</v>
      </c>
      <c r="J82" s="25"/>
      <c r="K82" s="25" t="s">
        <v>1684</v>
      </c>
      <c r="L82" s="25" t="s">
        <v>1553</v>
      </c>
      <c r="M82" s="25"/>
      <c r="N82" s="25"/>
      <c r="O82" s="25"/>
      <c r="P82" s="25"/>
      <c r="Q82" s="25"/>
      <c r="R82" s="25"/>
      <c r="S82" s="25"/>
      <c r="T82" s="351" t="b" cm="1">
        <f t="array" aca="1" ref="T82" ca="1">T81</f>
        <v>0</v>
      </c>
      <c r="U82" s="25"/>
      <c r="V82" s="25"/>
      <c r="X82" s="1024"/>
      <c r="Z82" s="1008"/>
      <c r="AB82" s="133" t="s">
        <v>2047</v>
      </c>
      <c r="AC82" s="134" t="s">
        <v>2048</v>
      </c>
      <c r="AD82" s="7" t="s">
        <v>859</v>
      </c>
      <c r="AE82" s="170">
        <f ca="1">SUMIFS(Покупка!AE$25:AE$87,Покупка!$F$25:$F$87,$F82,Покупка!$AC$25:$AC$87,$G82)</f>
        <v>0</v>
      </c>
      <c r="AF82" s="170">
        <f ca="1">SUMIFS(Покупка!AF$25:AF$87,Покупка!$F$25:$F$87,$F82,Покупка!$AC$25:$AC$87,$G82)</f>
        <v>0</v>
      </c>
      <c r="AG82" s="170">
        <f ca="1">SUMIFS(Покупка!AG$25:AG$87,Покупка!$F$25:$F$87,$F82,Покупка!$AC$25:$AC$87,$G82)</f>
        <v>0</v>
      </c>
      <c r="AH82" s="170">
        <f t="shared" ca="1" si="7"/>
        <v>0</v>
      </c>
      <c r="AI82" s="170">
        <f ca="1">SUMIFS(Покупка!AH$25:AH$87,Покупка!$F$25:$F$87,$F82,Покупка!$AC$25:$AC$87,$G82)</f>
        <v>0</v>
      </c>
      <c r="AJ82" s="170">
        <f ca="1">SUMIFS(Покупка!AI$25:AI$87,Покупка!$F$25:$F$87,$F82,Покупка!$AC$25:$AC$87,$G82)</f>
        <v>0</v>
      </c>
      <c r="AK82" s="170">
        <f ca="1">SUMIFS(Покупка!AJ$25:AJ$87,Покупка!$F$25:$F$87,$F82,Покупка!$AC$25:$AC$87,$G82)</f>
        <v>0</v>
      </c>
      <c r="AL82" s="170">
        <f ca="1">SUMIFS(Покупка!AK$25:AK$87,Покупка!$F$25:$F$87,$F82,Покупка!$AC$25:$AC$87,$G82)</f>
        <v>0</v>
      </c>
      <c r="AM82" s="170">
        <f ca="1">SUMIFS(Покупка!AL$25:AL$87,Покупка!$F$25:$F$87,$F82,Покупка!$AC$25:$AC$87,$G82)</f>
        <v>0</v>
      </c>
      <c r="AN82" s="170">
        <f ca="1">SUMIFS(Покупка!AM$25:AM$87,Покупка!$F$25:$F$87,$F82,Покупка!$AC$25:$AC$87,$G82)</f>
        <v>0</v>
      </c>
      <c r="AO82" s="170">
        <f ca="1">SUMIFS(Покупка!AN$25:AN$87,Покупка!$F$25:$F$87,$F82,Покупка!$AC$25:$AC$87,$G82)</f>
        <v>0</v>
      </c>
      <c r="AP82" s="170">
        <f ca="1">SUMIFS(Покупка!AO$25:AO$87,Покупка!$F$25:$F$87,$F82,Покупка!$AC$25:$AC$87,$G82)</f>
        <v>0</v>
      </c>
      <c r="AQ82" s="170">
        <f ca="1">SUMIFS(Покупка!AP$25:AP$87,Покупка!$F$25:$F$87,$F82,Покупка!$AC$25:$AC$87,$G82)</f>
        <v>0</v>
      </c>
      <c r="AR82" s="170">
        <f ca="1">SUMIFS(Покупка!AQ$25:AQ$87,Покупка!$F$25:$F$87,$F82,Покупка!$AC$25:$AC$87,$G82)</f>
        <v>0</v>
      </c>
      <c r="AS82" s="170">
        <f ca="1">SUMIFS(Покупка!AR$25:AR$87,Покупка!$F$25:$F$87,$F82,Покупка!$AC$25:$AC$87,$G82)</f>
        <v>0</v>
      </c>
      <c r="AT82" s="170">
        <f ca="1">SUMIFS(Покупка!AS$25:AS$87,Покупка!$F$25:$F$87,$F82,Покупка!$AC$25:$AC$87,$G82)</f>
        <v>0</v>
      </c>
      <c r="AU82" s="170">
        <f ca="1">SUMIFS(Покупка!AT$25:AT$87,Покупка!$F$25:$F$87,$F82,Покупка!$AC$25:$AC$87,$G82)</f>
        <v>0</v>
      </c>
      <c r="AV82" s="170">
        <f ca="1">SUMIFS(Покупка!AU$25:AU$87,Покупка!$F$25:$F$87,$F82,Покупка!$AC$25:$AC$87,$G82)</f>
        <v>0</v>
      </c>
      <c r="AW82" s="170">
        <f ca="1">SUMIFS(Покупка!AV$25:AV$87,Покупка!$F$25:$F$87,$F82,Покупка!$AC$25:$AC$87,$G82)</f>
        <v>0</v>
      </c>
      <c r="AX82" s="170">
        <f ca="1">SUMIFS(Покупка!AW$25:AW$87,Покупка!$F$25:$F$87,$F82,Покупка!$AC$25:$AC$87,$G82)</f>
        <v>0</v>
      </c>
      <c r="AY82" s="170">
        <f ca="1">SUMIFS(Покупка!AX$25:AX$87,Покупка!$F$25:$F$87,$F82,Покупка!$AC$25:$AC$87,$G82)</f>
        <v>0</v>
      </c>
      <c r="AZ82" s="170">
        <f ca="1">SUMIFS(Покупка!AY$25:AY$87,Покупка!$F$25:$F$87,$F82,Покупка!$AC$25:$AC$87,$G82)</f>
        <v>0</v>
      </c>
      <c r="BA82" s="170">
        <f ca="1">SUMIFS(Покупка!AZ$25:AZ$87,Покупка!$F$25:$F$87,$F82,Покупка!$AC$25:$AC$87,$G82)</f>
        <v>0</v>
      </c>
      <c r="BB82" s="170">
        <f ca="1">SUMIFS(Покупка!BA$25:BA$87,Покупка!$F$25:$F$87,$F82,Покупка!$AC$25:$AC$87,$G82)</f>
        <v>0</v>
      </c>
      <c r="BC82" s="170">
        <f ca="1">SUMIFS(Покупка!BB$25:BB$87,Покупка!$F$25:$F$87,$F82,Покупка!$AC$25:$AC$87,$G82)</f>
        <v>0</v>
      </c>
      <c r="BD82" s="170">
        <f t="shared" ca="1" si="9"/>
        <v>0</v>
      </c>
      <c r="BE82" s="170">
        <f t="shared" ca="1" si="10"/>
        <v>0</v>
      </c>
      <c r="BF82" s="170">
        <f t="shared" ca="1" si="11"/>
        <v>0</v>
      </c>
      <c r="BG82" s="170">
        <f t="shared" ca="1" si="12"/>
        <v>0</v>
      </c>
      <c r="BH82" s="170">
        <f t="shared" ca="1" si="13"/>
        <v>0</v>
      </c>
      <c r="BI82" s="170">
        <f t="shared" ca="1" si="14"/>
        <v>0</v>
      </c>
      <c r="BJ82" s="170">
        <f t="shared" ca="1" si="15"/>
        <v>0</v>
      </c>
      <c r="BK82" s="170">
        <f t="shared" ca="1" si="16"/>
        <v>0</v>
      </c>
      <c r="BL82" s="170">
        <f t="shared" ca="1" si="17"/>
        <v>0</v>
      </c>
      <c r="BM82" s="170">
        <f t="shared" ca="1" si="18"/>
        <v>0</v>
      </c>
      <c r="BN82" s="774"/>
      <c r="BO82" s="778" t="str">
        <f ca="1">IF(IFERROR(INDEX(Покупка!$K$26:$L$87,MATCH($F82&amp;"2komm",Покупка!$K$26:$K$87,0),2),"")=0,"",IFERROR(INDEX(Покупка!$K$26:$L$87,MATCH($F82&amp;"2komm",Покупка!$K$26:$K$87,0),2),""))</f>
        <v/>
      </c>
      <c r="BP82" s="774"/>
      <c r="BS82" s="694" t="s">
        <v>2049</v>
      </c>
    </row>
    <row r="83" spans="2:75" ht="14.65" hidden="1" customHeight="1">
      <c r="B83" s="15"/>
      <c r="C83" s="25"/>
      <c r="D83" s="25"/>
      <c r="E83" s="449">
        <v>15</v>
      </c>
      <c r="F83" s="3" cm="1">
        <f t="array" aca="1" ref="F83" ca="1">OFFSET(E83,-1,1)</f>
        <v>0</v>
      </c>
      <c r="G83" s="25" t="s">
        <v>1082</v>
      </c>
      <c r="H83" s="25"/>
      <c r="I83" s="25" t="s">
        <v>1686</v>
      </c>
      <c r="J83" s="25"/>
      <c r="K83" s="25" t="s">
        <v>1686</v>
      </c>
      <c r="L83" s="25" t="s">
        <v>1548</v>
      </c>
      <c r="M83" s="25"/>
      <c r="N83" s="25"/>
      <c r="O83" s="25"/>
      <c r="P83" s="25"/>
      <c r="Q83" s="25"/>
      <c r="R83" s="25"/>
      <c r="S83" s="25"/>
      <c r="T83" s="351" t="b" cm="1">
        <f t="array" aca="1" ref="T83" ca="1">T82</f>
        <v>0</v>
      </c>
      <c r="U83" s="25"/>
      <c r="V83" s="25"/>
      <c r="X83" s="1024"/>
      <c r="Z83" s="1008"/>
      <c r="AB83" s="133" t="s">
        <v>2050</v>
      </c>
      <c r="AC83" s="134" t="s">
        <v>2051</v>
      </c>
      <c r="AD83" s="7" t="s">
        <v>859</v>
      </c>
      <c r="AE83" s="170">
        <f ca="1">SUMIFS(Покупка!AE$25:AE$87,Покупка!$F$25:$F$87,$F83,Покупка!$AC$25:$AC$87,$G83)</f>
        <v>0</v>
      </c>
      <c r="AF83" s="170">
        <f ca="1">SUMIFS(Покупка!AF$25:AF$87,Покупка!$F$25:$F$87,$F83,Покупка!$AC$25:$AC$87,$G83)</f>
        <v>0</v>
      </c>
      <c r="AG83" s="170">
        <f ca="1">SUMIFS(Покупка!AG$25:AG$87,Покупка!$F$25:$F$87,$F83,Покупка!$AC$25:$AC$87,$G83)</f>
        <v>0</v>
      </c>
      <c r="AH83" s="170">
        <f t="shared" ca="1" si="7"/>
        <v>0</v>
      </c>
      <c r="AI83" s="170">
        <f ca="1">SUMIFS(Покупка!AH$25:AH$87,Покупка!$F$25:$F$87,$F83,Покупка!$AC$25:$AC$87,$G83)</f>
        <v>0</v>
      </c>
      <c r="AJ83" s="170">
        <f ca="1">SUMIFS(Покупка!AI$25:AI$87,Покупка!$F$25:$F$87,$F83,Покупка!$AC$25:$AC$87,$G83)</f>
        <v>0</v>
      </c>
      <c r="AK83" s="170">
        <f ca="1">SUMIFS(Покупка!AJ$25:AJ$87,Покупка!$F$25:$F$87,$F83,Покупка!$AC$25:$AC$87,$G83)</f>
        <v>0</v>
      </c>
      <c r="AL83" s="170">
        <f ca="1">SUMIFS(Покупка!AK$25:AK$87,Покупка!$F$25:$F$87,$F83,Покупка!$AC$25:$AC$87,$G83)</f>
        <v>0</v>
      </c>
      <c r="AM83" s="170">
        <f ca="1">SUMIFS(Покупка!AL$25:AL$87,Покупка!$F$25:$F$87,$F83,Покупка!$AC$25:$AC$87,$G83)</f>
        <v>0</v>
      </c>
      <c r="AN83" s="170">
        <f ca="1">SUMIFS(Покупка!AM$25:AM$87,Покупка!$F$25:$F$87,$F83,Покупка!$AC$25:$AC$87,$G83)</f>
        <v>0</v>
      </c>
      <c r="AO83" s="170">
        <f ca="1">SUMIFS(Покупка!AN$25:AN$87,Покупка!$F$25:$F$87,$F83,Покупка!$AC$25:$AC$87,$G83)</f>
        <v>0</v>
      </c>
      <c r="AP83" s="170">
        <f ca="1">SUMIFS(Покупка!AO$25:AO$87,Покупка!$F$25:$F$87,$F83,Покупка!$AC$25:$AC$87,$G83)</f>
        <v>0</v>
      </c>
      <c r="AQ83" s="170">
        <f ca="1">SUMIFS(Покупка!AP$25:AP$87,Покупка!$F$25:$F$87,$F83,Покупка!$AC$25:$AC$87,$G83)</f>
        <v>0</v>
      </c>
      <c r="AR83" s="170">
        <f ca="1">SUMIFS(Покупка!AQ$25:AQ$87,Покупка!$F$25:$F$87,$F83,Покупка!$AC$25:$AC$87,$G83)</f>
        <v>0</v>
      </c>
      <c r="AS83" s="170">
        <f ca="1">SUMIFS(Покупка!AR$25:AR$87,Покупка!$F$25:$F$87,$F83,Покупка!$AC$25:$AC$87,$G83)</f>
        <v>0</v>
      </c>
      <c r="AT83" s="170">
        <f ca="1">SUMIFS(Покупка!AS$25:AS$87,Покупка!$F$25:$F$87,$F83,Покупка!$AC$25:$AC$87,$G83)</f>
        <v>0</v>
      </c>
      <c r="AU83" s="170">
        <f ca="1">SUMIFS(Покупка!AT$25:AT$87,Покупка!$F$25:$F$87,$F83,Покупка!$AC$25:$AC$87,$G83)</f>
        <v>0</v>
      </c>
      <c r="AV83" s="170">
        <f ca="1">SUMIFS(Покупка!AU$25:AU$87,Покупка!$F$25:$F$87,$F83,Покупка!$AC$25:$AC$87,$G83)</f>
        <v>0</v>
      </c>
      <c r="AW83" s="170">
        <f ca="1">SUMIFS(Покупка!AV$25:AV$87,Покупка!$F$25:$F$87,$F83,Покупка!$AC$25:$AC$87,$G83)</f>
        <v>0</v>
      </c>
      <c r="AX83" s="170">
        <f ca="1">SUMIFS(Покупка!AW$25:AW$87,Покупка!$F$25:$F$87,$F83,Покупка!$AC$25:$AC$87,$G83)</f>
        <v>0</v>
      </c>
      <c r="AY83" s="170">
        <f ca="1">SUMIFS(Покупка!AX$25:AX$87,Покупка!$F$25:$F$87,$F83,Покупка!$AC$25:$AC$87,$G83)</f>
        <v>0</v>
      </c>
      <c r="AZ83" s="170">
        <f ca="1">SUMIFS(Покупка!AY$25:AY$87,Покупка!$F$25:$F$87,$F83,Покупка!$AC$25:$AC$87,$G83)</f>
        <v>0</v>
      </c>
      <c r="BA83" s="170">
        <f ca="1">SUMIFS(Покупка!AZ$25:AZ$87,Покупка!$F$25:$F$87,$F83,Покупка!$AC$25:$AC$87,$G83)</f>
        <v>0</v>
      </c>
      <c r="BB83" s="170">
        <f ca="1">SUMIFS(Покупка!BA$25:BA$87,Покупка!$F$25:$F$87,$F83,Покупка!$AC$25:$AC$87,$G83)</f>
        <v>0</v>
      </c>
      <c r="BC83" s="170">
        <f ca="1">SUMIFS(Покупка!BB$25:BB$87,Покупка!$F$25:$F$87,$F83,Покупка!$AC$25:$AC$87,$G83)</f>
        <v>0</v>
      </c>
      <c r="BD83" s="170">
        <f t="shared" ca="1" si="9"/>
        <v>0</v>
      </c>
      <c r="BE83" s="170">
        <f t="shared" ca="1" si="10"/>
        <v>0</v>
      </c>
      <c r="BF83" s="170">
        <f t="shared" ca="1" si="11"/>
        <v>0</v>
      </c>
      <c r="BG83" s="170">
        <f t="shared" ca="1" si="12"/>
        <v>0</v>
      </c>
      <c r="BH83" s="170">
        <f t="shared" ca="1" si="13"/>
        <v>0</v>
      </c>
      <c r="BI83" s="170">
        <f t="shared" ca="1" si="14"/>
        <v>0</v>
      </c>
      <c r="BJ83" s="170">
        <f t="shared" ca="1" si="15"/>
        <v>0</v>
      </c>
      <c r="BK83" s="170">
        <f t="shared" ca="1" si="16"/>
        <v>0</v>
      </c>
      <c r="BL83" s="170">
        <f t="shared" ca="1" si="17"/>
        <v>0</v>
      </c>
      <c r="BM83" s="170">
        <f t="shared" ca="1" si="18"/>
        <v>0</v>
      </c>
      <c r="BN83" s="774"/>
      <c r="BO83" s="778" t="str">
        <f ca="1">IF(IFERROR(INDEX(Покупка!$K$26:$L$87,MATCH($F83&amp;"1komm",Покупка!$K$26:$K$87,0),2),"")=0,"",IFERROR(INDEX(Покупка!$K$26:$L$87,MATCH($F83&amp;"1komm",Покупка!$K$26:$K$87,0),2),""))</f>
        <v/>
      </c>
      <c r="BP83" s="774"/>
      <c r="BS83" s="694" t="s">
        <v>2052</v>
      </c>
    </row>
    <row r="84" spans="2:75" ht="14.65" hidden="1" customHeight="1">
      <c r="B84" s="15"/>
      <c r="C84" s="25"/>
      <c r="D84" s="25"/>
      <c r="E84" s="449">
        <v>15</v>
      </c>
      <c r="F84" s="3" cm="1">
        <f t="array" aca="1" ref="F84" ca="1">OFFSET(E84,-1,1)</f>
        <v>0</v>
      </c>
      <c r="G84" s="25" t="s">
        <v>1118</v>
      </c>
      <c r="H84" s="25"/>
      <c r="I84" s="25" t="s">
        <v>1689</v>
      </c>
      <c r="J84" s="25"/>
      <c r="K84" s="25" t="s">
        <v>1689</v>
      </c>
      <c r="L84" s="25"/>
      <c r="M84" s="25"/>
      <c r="N84" s="25"/>
      <c r="O84" s="25"/>
      <c r="P84" s="25"/>
      <c r="Q84" s="25"/>
      <c r="R84" s="25"/>
      <c r="S84" s="25"/>
      <c r="T84" s="351" t="b" cm="1">
        <f t="array" aca="1" ref="T84" ca="1">T83</f>
        <v>0</v>
      </c>
      <c r="U84" s="25"/>
      <c r="V84" s="25"/>
      <c r="X84" s="1024"/>
      <c r="Z84" s="1008"/>
      <c r="AB84" s="133" t="s">
        <v>2053</v>
      </c>
      <c r="AC84" s="134" t="s">
        <v>2054</v>
      </c>
      <c r="AD84" s="7" t="s">
        <v>859</v>
      </c>
      <c r="AE84" s="170">
        <f ca="1">SUMIFS(Покупка!AE$25:AE$87,Покупка!$F$25:$F$87,$F84,Покупка!$AC$25:$AC$87,$G84)</f>
        <v>0</v>
      </c>
      <c r="AF84" s="170">
        <f ca="1">SUMIFS(Покупка!AF$25:AF$87,Покупка!$F$25:$F$87,$F84,Покупка!$AC$25:$AC$87,$G84)</f>
        <v>0</v>
      </c>
      <c r="AG84" s="170">
        <f ca="1">SUMIFS(Покупка!AG$25:AG$87,Покупка!$F$25:$F$87,$F84,Покупка!$AC$25:$AC$87,$G84)</f>
        <v>0</v>
      </c>
      <c r="AH84" s="170">
        <f t="shared" ca="1" si="7"/>
        <v>0</v>
      </c>
      <c r="AI84" s="170">
        <f ca="1">SUMIFS(Покупка!AH$25:AH$87,Покупка!$F$25:$F$87,$F84,Покупка!$AC$25:$AC$87,$G84)</f>
        <v>0</v>
      </c>
      <c r="AJ84" s="170">
        <f ca="1">SUMIFS(Покупка!AI$25:AI$87,Покупка!$F$25:$F$87,$F84,Покупка!$AC$25:$AC$87,$G84)</f>
        <v>0</v>
      </c>
      <c r="AK84" s="170">
        <f ca="1">SUMIFS(Покупка!AJ$25:AJ$87,Покупка!$F$25:$F$87,$F84,Покупка!$AC$25:$AC$87,$G84)</f>
        <v>0</v>
      </c>
      <c r="AL84" s="170">
        <f ca="1">SUMIFS(Покупка!AK$25:AK$87,Покупка!$F$25:$F$87,$F84,Покупка!$AC$25:$AC$87,$G84)</f>
        <v>0</v>
      </c>
      <c r="AM84" s="170">
        <f ca="1">SUMIFS(Покупка!AL$25:AL$87,Покупка!$F$25:$F$87,$F84,Покупка!$AC$25:$AC$87,$G84)</f>
        <v>0</v>
      </c>
      <c r="AN84" s="170">
        <f ca="1">SUMIFS(Покупка!AM$25:AM$87,Покупка!$F$25:$F$87,$F84,Покупка!$AC$25:$AC$87,$G84)</f>
        <v>0</v>
      </c>
      <c r="AO84" s="170">
        <f ca="1">SUMIFS(Покупка!AN$25:AN$87,Покупка!$F$25:$F$87,$F84,Покупка!$AC$25:$AC$87,$G84)</f>
        <v>0</v>
      </c>
      <c r="AP84" s="170">
        <f ca="1">SUMIFS(Покупка!AO$25:AO$87,Покупка!$F$25:$F$87,$F84,Покупка!$AC$25:$AC$87,$G84)</f>
        <v>0</v>
      </c>
      <c r="AQ84" s="170">
        <f ca="1">SUMIFS(Покупка!AP$25:AP$87,Покупка!$F$25:$F$87,$F84,Покупка!$AC$25:$AC$87,$G84)</f>
        <v>0</v>
      </c>
      <c r="AR84" s="170">
        <f ca="1">SUMIFS(Покупка!AQ$25:AQ$87,Покупка!$F$25:$F$87,$F84,Покупка!$AC$25:$AC$87,$G84)</f>
        <v>0</v>
      </c>
      <c r="AS84" s="170">
        <f ca="1">SUMIFS(Покупка!AR$25:AR$87,Покупка!$F$25:$F$87,$F84,Покупка!$AC$25:$AC$87,$G84)</f>
        <v>0</v>
      </c>
      <c r="AT84" s="170">
        <f ca="1">SUMIFS(Покупка!AS$25:AS$87,Покупка!$F$25:$F$87,$F84,Покупка!$AC$25:$AC$87,$G84)</f>
        <v>0</v>
      </c>
      <c r="AU84" s="170">
        <f ca="1">SUMIFS(Покупка!AT$25:AT$87,Покупка!$F$25:$F$87,$F84,Покупка!$AC$25:$AC$87,$G84)</f>
        <v>0</v>
      </c>
      <c r="AV84" s="170">
        <f ca="1">SUMIFS(Покупка!AU$25:AU$87,Покупка!$F$25:$F$87,$F84,Покупка!$AC$25:$AC$87,$G84)</f>
        <v>0</v>
      </c>
      <c r="AW84" s="170">
        <f ca="1">SUMIFS(Покупка!AV$25:AV$87,Покупка!$F$25:$F$87,$F84,Покупка!$AC$25:$AC$87,$G84)</f>
        <v>0</v>
      </c>
      <c r="AX84" s="170">
        <f ca="1">SUMIFS(Покупка!AW$25:AW$87,Покупка!$F$25:$F$87,$F84,Покупка!$AC$25:$AC$87,$G84)</f>
        <v>0</v>
      </c>
      <c r="AY84" s="170">
        <f ca="1">SUMIFS(Покупка!AX$25:AX$87,Покупка!$F$25:$F$87,$F84,Покупка!$AC$25:$AC$87,$G84)</f>
        <v>0</v>
      </c>
      <c r="AZ84" s="170">
        <f ca="1">SUMIFS(Покупка!AY$25:AY$87,Покупка!$F$25:$F$87,$F84,Покупка!$AC$25:$AC$87,$G84)</f>
        <v>0</v>
      </c>
      <c r="BA84" s="170">
        <f ca="1">SUMIFS(Покупка!AZ$25:AZ$87,Покупка!$F$25:$F$87,$F84,Покупка!$AC$25:$AC$87,$G84)</f>
        <v>0</v>
      </c>
      <c r="BB84" s="170">
        <f ca="1">SUMIFS(Покупка!BA$25:BA$87,Покупка!$F$25:$F$87,$F84,Покупка!$AC$25:$AC$87,$G84)</f>
        <v>0</v>
      </c>
      <c r="BC84" s="170">
        <f ca="1">SUMIFS(Покупка!BB$25:BB$87,Покупка!$F$25:$F$87,$F84,Покупка!$AC$25:$AC$87,$G84)</f>
        <v>0</v>
      </c>
      <c r="BD84" s="170">
        <f t="shared" ca="1" si="9"/>
        <v>0</v>
      </c>
      <c r="BE84" s="170">
        <f t="shared" ca="1" si="10"/>
        <v>0</v>
      </c>
      <c r="BF84" s="170">
        <f t="shared" ca="1" si="11"/>
        <v>0</v>
      </c>
      <c r="BG84" s="170">
        <f t="shared" ca="1" si="12"/>
        <v>0</v>
      </c>
      <c r="BH84" s="170">
        <f t="shared" ca="1" si="13"/>
        <v>0</v>
      </c>
      <c r="BI84" s="170">
        <f t="shared" ca="1" si="14"/>
        <v>0</v>
      </c>
      <c r="BJ84" s="170">
        <f t="shared" ca="1" si="15"/>
        <v>0</v>
      </c>
      <c r="BK84" s="170">
        <f t="shared" ca="1" si="16"/>
        <v>0</v>
      </c>
      <c r="BL84" s="170">
        <f t="shared" ca="1" si="17"/>
        <v>0</v>
      </c>
      <c r="BM84" s="170">
        <f t="shared" ca="1" si="18"/>
        <v>0</v>
      </c>
      <c r="BN84" s="774"/>
      <c r="BO84" s="778" t="str">
        <f ca="1">IF(IFERROR(INDEX(Покупка!$K$26:$L$87,MATCH($F84&amp;"8komm",Покупка!$K$26:$K$87,0),2),"")=0,"",IFERROR(INDEX(Покупка!$K$26:$L$87,MATCH($F84&amp;"8komm",Покупка!$K$26:$K$87,0),2),""))</f>
        <v/>
      </c>
      <c r="BP84" s="774"/>
      <c r="BS84" s="694" t="s">
        <v>1119</v>
      </c>
    </row>
    <row r="85" spans="2:75" ht="14.65" hidden="1" customHeight="1">
      <c r="B85" s="15"/>
      <c r="C85" s="25"/>
      <c r="D85" s="25"/>
      <c r="E85" s="449">
        <v>15</v>
      </c>
      <c r="F85" s="3" cm="1">
        <f t="array" aca="1" ref="F85" ca="1">OFFSET(E85,-1,1)</f>
        <v>0</v>
      </c>
      <c r="G85" s="25"/>
      <c r="H85" s="25"/>
      <c r="I85" s="25" t="s">
        <v>2055</v>
      </c>
      <c r="J85" s="25"/>
      <c r="K85" s="25" t="s">
        <v>2055</v>
      </c>
      <c r="L85" s="25"/>
      <c r="M85" s="25"/>
      <c r="N85" s="25"/>
      <c r="O85" s="25"/>
      <c r="P85" s="25"/>
      <c r="Q85" s="25"/>
      <c r="R85" s="25"/>
      <c r="S85" s="25"/>
      <c r="T85" s="351" t="b" cm="1">
        <f t="array" aca="1" ref="T85" ca="1">T84</f>
        <v>0</v>
      </c>
      <c r="U85" s="25"/>
      <c r="V85" s="25"/>
      <c r="X85" s="1024"/>
      <c r="Z85" s="1008"/>
      <c r="AB85" s="133" t="s">
        <v>2056</v>
      </c>
      <c r="AC85" s="134" t="s">
        <v>2057</v>
      </c>
      <c r="AD85" s="7" t="s">
        <v>859</v>
      </c>
      <c r="AE85" s="777"/>
      <c r="AF85" s="777"/>
      <c r="AG85" s="777"/>
      <c r="AH85" s="170">
        <f t="shared" si="7"/>
        <v>0</v>
      </c>
      <c r="AI85" s="777"/>
      <c r="AJ85" s="128"/>
      <c r="AK85" s="128"/>
      <c r="AL85" s="128"/>
      <c r="AM85" s="777"/>
      <c r="AN85" s="777"/>
      <c r="AO85" s="777"/>
      <c r="AP85" s="777"/>
      <c r="AQ85" s="777"/>
      <c r="AR85" s="777"/>
      <c r="AS85" s="777"/>
      <c r="AT85" s="128"/>
      <c r="AU85" s="128"/>
      <c r="AV85" s="128"/>
      <c r="AW85" s="777"/>
      <c r="AX85" s="777"/>
      <c r="AY85" s="777"/>
      <c r="AZ85" s="777"/>
      <c r="BA85" s="777"/>
      <c r="BB85" s="777"/>
      <c r="BC85" s="777"/>
      <c r="BD85" s="170">
        <f t="shared" si="9"/>
        <v>0</v>
      </c>
      <c r="BE85" s="170">
        <f t="shared" si="10"/>
        <v>0</v>
      </c>
      <c r="BF85" s="170">
        <f t="shared" si="11"/>
        <v>0</v>
      </c>
      <c r="BG85" s="170">
        <f t="shared" si="12"/>
        <v>0</v>
      </c>
      <c r="BH85" s="170">
        <f t="shared" si="13"/>
        <v>0</v>
      </c>
      <c r="BI85" s="170">
        <f t="shared" si="14"/>
        <v>0</v>
      </c>
      <c r="BJ85" s="170">
        <f t="shared" si="15"/>
        <v>0</v>
      </c>
      <c r="BK85" s="170">
        <f t="shared" si="16"/>
        <v>0</v>
      </c>
      <c r="BL85" s="170">
        <f t="shared" si="17"/>
        <v>0</v>
      </c>
      <c r="BM85" s="170">
        <f t="shared" si="18"/>
        <v>0</v>
      </c>
      <c r="BN85" s="774"/>
      <c r="BO85" s="774"/>
      <c r="BP85" s="774"/>
      <c r="BS85" s="694" t="s">
        <v>2058</v>
      </c>
    </row>
    <row r="86" spans="2:75" ht="14.65" hidden="1" customHeight="1">
      <c r="B86" s="15"/>
      <c r="C86" s="25"/>
      <c r="D86" s="25"/>
      <c r="E86" s="449">
        <v>15</v>
      </c>
      <c r="F86" s="3" cm="1">
        <f t="array" aca="1" ref="F86" ca="1">OFFSET(E86,-1,1)</f>
        <v>0</v>
      </c>
      <c r="G86" s="25"/>
      <c r="H86" s="25"/>
      <c r="I86" s="25" t="s">
        <v>2059</v>
      </c>
      <c r="J86" s="25"/>
      <c r="K86" s="25" t="s">
        <v>2059</v>
      </c>
      <c r="L86" s="25"/>
      <c r="M86" s="25"/>
      <c r="N86" s="25"/>
      <c r="O86" s="25"/>
      <c r="P86" s="25"/>
      <c r="Q86" s="25"/>
      <c r="R86" s="25"/>
      <c r="S86" s="25"/>
      <c r="T86" s="351" t="b" cm="1">
        <f t="array" aca="1" ref="T86" ca="1">T85</f>
        <v>0</v>
      </c>
      <c r="U86" s="25"/>
      <c r="V86" s="25"/>
      <c r="X86" s="1024"/>
      <c r="Z86" s="1008"/>
      <c r="AB86" s="133" t="s">
        <v>2060</v>
      </c>
      <c r="AC86" s="134" t="s">
        <v>2061</v>
      </c>
      <c r="AD86" s="7" t="s">
        <v>859</v>
      </c>
      <c r="AE86" s="777"/>
      <c r="AF86" s="777"/>
      <c r="AG86" s="777"/>
      <c r="AH86" s="170">
        <f t="shared" si="7"/>
        <v>0</v>
      </c>
      <c r="AI86" s="777"/>
      <c r="AJ86" s="128"/>
      <c r="AK86" s="128"/>
      <c r="AL86" s="128"/>
      <c r="AM86" s="777"/>
      <c r="AN86" s="777"/>
      <c r="AO86" s="777"/>
      <c r="AP86" s="777"/>
      <c r="AQ86" s="777"/>
      <c r="AR86" s="777"/>
      <c r="AS86" s="777"/>
      <c r="AT86" s="128"/>
      <c r="AU86" s="128"/>
      <c r="AV86" s="128"/>
      <c r="AW86" s="777"/>
      <c r="AX86" s="777"/>
      <c r="AY86" s="777"/>
      <c r="AZ86" s="777"/>
      <c r="BA86" s="777"/>
      <c r="BB86" s="777"/>
      <c r="BC86" s="777"/>
      <c r="BD86" s="170">
        <f t="shared" si="9"/>
        <v>0</v>
      </c>
      <c r="BE86" s="170">
        <f t="shared" si="10"/>
        <v>0</v>
      </c>
      <c r="BF86" s="170">
        <f t="shared" si="11"/>
        <v>0</v>
      </c>
      <c r="BG86" s="170">
        <f t="shared" si="12"/>
        <v>0</v>
      </c>
      <c r="BH86" s="170">
        <f t="shared" si="13"/>
        <v>0</v>
      </c>
      <c r="BI86" s="170">
        <f t="shared" si="14"/>
        <v>0</v>
      </c>
      <c r="BJ86" s="170">
        <f t="shared" si="15"/>
        <v>0</v>
      </c>
      <c r="BK86" s="170">
        <f t="shared" si="16"/>
        <v>0</v>
      </c>
      <c r="BL86" s="170">
        <f t="shared" si="17"/>
        <v>0</v>
      </c>
      <c r="BM86" s="170">
        <f t="shared" si="18"/>
        <v>0</v>
      </c>
      <c r="BN86" s="774"/>
      <c r="BO86" s="774"/>
      <c r="BP86" s="774"/>
      <c r="BS86" s="694" t="s">
        <v>2062</v>
      </c>
    </row>
    <row r="87" spans="2:75" ht="14.65" hidden="1" customHeight="1">
      <c r="B87" s="15"/>
      <c r="C87" s="25"/>
      <c r="D87" s="25"/>
      <c r="E87" s="449">
        <v>15</v>
      </c>
      <c r="F87" s="3" cm="1">
        <f t="array" aca="1" ref="F87" ca="1">OFFSET(E87,-1,1)</f>
        <v>0</v>
      </c>
      <c r="G87" s="25" t="s">
        <v>1096</v>
      </c>
      <c r="H87" s="25"/>
      <c r="I87" s="25" t="s">
        <v>2063</v>
      </c>
      <c r="J87" s="25"/>
      <c r="K87" s="25" t="s">
        <v>2063</v>
      </c>
      <c r="L87" s="25" t="s">
        <v>1562</v>
      </c>
      <c r="M87" s="25"/>
      <c r="N87" s="25"/>
      <c r="O87" s="25"/>
      <c r="P87" s="25"/>
      <c r="Q87" s="25"/>
      <c r="R87" s="25"/>
      <c r="S87" s="25"/>
      <c r="T87" s="351" t="b" cm="1">
        <f t="array" aca="1" ref="T87" ca="1">T86</f>
        <v>0</v>
      </c>
      <c r="U87" s="25"/>
      <c r="V87" s="25"/>
      <c r="X87" s="1024"/>
      <c r="Z87" s="1008"/>
      <c r="AB87" s="133" t="s">
        <v>2064</v>
      </c>
      <c r="AC87" s="134" t="s">
        <v>2065</v>
      </c>
      <c r="AD87" s="7" t="s">
        <v>859</v>
      </c>
      <c r="AE87" s="170">
        <f ca="1">SUMIFS(Покупка!AE$25:AE$87,Покупка!$F$25:$F$87,$F87,Покупка!$AC$25:$AC$87,$G87)</f>
        <v>0</v>
      </c>
      <c r="AF87" s="170">
        <f ca="1">SUMIFS(Покупка!AF$25:AF$87,Покупка!$F$25:$F$87,$F87,Покупка!$AC$25:$AC$87,$G87)</f>
        <v>0</v>
      </c>
      <c r="AG87" s="170">
        <f ca="1">SUMIFS(Покупка!AG$25:AG$87,Покупка!$F$25:$F$87,$F87,Покупка!$AC$25:$AC$87,$G87)</f>
        <v>0</v>
      </c>
      <c r="AH87" s="170">
        <f t="shared" ca="1" si="7"/>
        <v>0</v>
      </c>
      <c r="AI87" s="170">
        <f ca="1">SUMIFS(Покупка!AH$25:AH$87,Покупка!$F$25:$F$87,$F87,Покупка!$AC$25:$AC$87,$G87)</f>
        <v>0</v>
      </c>
      <c r="AJ87" s="170">
        <f ca="1">SUMIFS(Покупка!AI$25:AI$87,Покупка!$F$25:$F$87,$F87,Покупка!$AC$25:$AC$87,$G87)</f>
        <v>0</v>
      </c>
      <c r="AK87" s="170">
        <f ca="1">SUMIFS(Покупка!AJ$25:AJ$87,Покупка!$F$25:$F$87,$F87,Покупка!$AC$25:$AC$87,$G87)</f>
        <v>0</v>
      </c>
      <c r="AL87" s="170">
        <f ca="1">SUMIFS(Покупка!AK$25:AK$87,Покупка!$F$25:$F$87,$F87,Покупка!$AC$25:$AC$87,$G87)</f>
        <v>0</v>
      </c>
      <c r="AM87" s="170">
        <f ca="1">SUMIFS(Покупка!AL$25:AL$87,Покупка!$F$25:$F$87,$F87,Покупка!$AC$25:$AC$87,$G87)</f>
        <v>0</v>
      </c>
      <c r="AN87" s="170">
        <f ca="1">SUMIFS(Покупка!AM$25:AM$87,Покупка!$F$25:$F$87,$F87,Покупка!$AC$25:$AC$87,$G87)</f>
        <v>0</v>
      </c>
      <c r="AO87" s="170">
        <f ca="1">SUMIFS(Покупка!AN$25:AN$87,Покупка!$F$25:$F$87,$F87,Покупка!$AC$25:$AC$87,$G87)</f>
        <v>0</v>
      </c>
      <c r="AP87" s="170">
        <f ca="1">SUMIFS(Покупка!AO$25:AO$87,Покупка!$F$25:$F$87,$F87,Покупка!$AC$25:$AC$87,$G87)</f>
        <v>0</v>
      </c>
      <c r="AQ87" s="170">
        <f ca="1">SUMIFS(Покупка!AP$25:AP$87,Покупка!$F$25:$F$87,$F87,Покупка!$AC$25:$AC$87,$G87)</f>
        <v>0</v>
      </c>
      <c r="AR87" s="170">
        <f ca="1">SUMIFS(Покупка!AQ$25:AQ$87,Покупка!$F$25:$F$87,$F87,Покупка!$AC$25:$AC$87,$G87)</f>
        <v>0</v>
      </c>
      <c r="AS87" s="170">
        <f ca="1">SUMIFS(Покупка!AR$25:AR$87,Покупка!$F$25:$F$87,$F87,Покупка!$AC$25:$AC$87,$G87)</f>
        <v>0</v>
      </c>
      <c r="AT87" s="170">
        <f ca="1">SUMIFS(Покупка!AS$25:AS$87,Покупка!$F$25:$F$87,$F87,Покупка!$AC$25:$AC$87,$G87)</f>
        <v>0</v>
      </c>
      <c r="AU87" s="170">
        <f ca="1">SUMIFS(Покупка!AT$25:AT$87,Покупка!$F$25:$F$87,$F87,Покупка!$AC$25:$AC$87,$G87)</f>
        <v>0</v>
      </c>
      <c r="AV87" s="170">
        <f ca="1">SUMIFS(Покупка!AU$25:AU$87,Покупка!$F$25:$F$87,$F87,Покупка!$AC$25:$AC$87,$G87)</f>
        <v>0</v>
      </c>
      <c r="AW87" s="170">
        <f ca="1">SUMIFS(Покупка!AV$25:AV$87,Покупка!$F$25:$F$87,$F87,Покупка!$AC$25:$AC$87,$G87)</f>
        <v>0</v>
      </c>
      <c r="AX87" s="170">
        <f ca="1">SUMIFS(Покупка!AW$25:AW$87,Покупка!$F$25:$F$87,$F87,Покупка!$AC$25:$AC$87,$G87)</f>
        <v>0</v>
      </c>
      <c r="AY87" s="170">
        <f ca="1">SUMIFS(Покупка!AX$25:AX$87,Покупка!$F$25:$F$87,$F87,Покупка!$AC$25:$AC$87,$G87)</f>
        <v>0</v>
      </c>
      <c r="AZ87" s="170">
        <f ca="1">SUMIFS(Покупка!AY$25:AY$87,Покупка!$F$25:$F$87,$F87,Покупка!$AC$25:$AC$87,$G87)</f>
        <v>0</v>
      </c>
      <c r="BA87" s="170">
        <f ca="1">SUMIFS(Покупка!AZ$25:AZ$87,Покупка!$F$25:$F$87,$F87,Покупка!$AC$25:$AC$87,$G87)</f>
        <v>0</v>
      </c>
      <c r="BB87" s="170">
        <f ca="1">SUMIFS(Покупка!BA$25:BA$87,Покупка!$F$25:$F$87,$F87,Покупка!$AC$25:$AC$87,$G87)</f>
        <v>0</v>
      </c>
      <c r="BC87" s="170">
        <f ca="1">SUMIFS(Покупка!BB$25:BB$87,Покупка!$F$25:$F$87,$F87,Покупка!$AC$25:$AC$87,$G87)</f>
        <v>0</v>
      </c>
      <c r="BD87" s="170">
        <f t="shared" ca="1" si="9"/>
        <v>0</v>
      </c>
      <c r="BE87" s="170">
        <f t="shared" ca="1" si="10"/>
        <v>0</v>
      </c>
      <c r="BF87" s="170">
        <f t="shared" ca="1" si="11"/>
        <v>0</v>
      </c>
      <c r="BG87" s="170">
        <f t="shared" ca="1" si="12"/>
        <v>0</v>
      </c>
      <c r="BH87" s="170">
        <f t="shared" ca="1" si="13"/>
        <v>0</v>
      </c>
      <c r="BI87" s="170">
        <f t="shared" ca="1" si="14"/>
        <v>0</v>
      </c>
      <c r="BJ87" s="170">
        <f t="shared" ca="1" si="15"/>
        <v>0</v>
      </c>
      <c r="BK87" s="170">
        <f t="shared" ca="1" si="16"/>
        <v>0</v>
      </c>
      <c r="BL87" s="170">
        <f t="shared" ca="1" si="17"/>
        <v>0</v>
      </c>
      <c r="BM87" s="170">
        <f t="shared" ca="1" si="18"/>
        <v>0</v>
      </c>
      <c r="BN87" s="774"/>
      <c r="BO87" s="778" t="str">
        <f ca="1">IF(IFERROR(INDEX(Покупка!$K$26:$L$87,MATCH($F87&amp;"3komm",Покупка!$K$26:$K$87,0),2),"")=0,"",IFERROR(INDEX(Покупка!$K$26:$L$87,MATCH($F87&amp;"3komm",Покупка!$K$26:$K$87,0),2),""))</f>
        <v/>
      </c>
      <c r="BP87" s="774"/>
      <c r="BS87" s="694" t="s">
        <v>1764</v>
      </c>
    </row>
    <row r="88" spans="2:75" ht="14.65" hidden="1" customHeight="1">
      <c r="B88" s="15"/>
      <c r="C88" s="25"/>
      <c r="D88" s="25"/>
      <c r="E88" s="449">
        <v>15</v>
      </c>
      <c r="F88" s="3" cm="1">
        <f t="array" aca="1" ref="F88" ca="1">OFFSET(E88,-1,1)</f>
        <v>0</v>
      </c>
      <c r="G88" s="25" t="s">
        <v>1102</v>
      </c>
      <c r="H88" s="25"/>
      <c r="I88" s="25" t="s">
        <v>2066</v>
      </c>
      <c r="J88" s="25"/>
      <c r="K88" s="25" t="s">
        <v>2066</v>
      </c>
      <c r="L88" s="25" t="s">
        <v>1567</v>
      </c>
      <c r="M88" s="25"/>
      <c r="N88" s="25"/>
      <c r="O88" s="25"/>
      <c r="P88" s="25"/>
      <c r="Q88" s="25"/>
      <c r="R88" s="25"/>
      <c r="S88" s="25"/>
      <c r="T88" s="351" t="b" cm="1">
        <f t="array" aca="1" ref="T88" ca="1">T87</f>
        <v>0</v>
      </c>
      <c r="U88" s="25"/>
      <c r="V88" s="25"/>
      <c r="X88" s="1024"/>
      <c r="Z88" s="1008"/>
      <c r="AB88" s="133" t="s">
        <v>2067</v>
      </c>
      <c r="AC88" s="134" t="s">
        <v>2068</v>
      </c>
      <c r="AD88" s="7" t="s">
        <v>859</v>
      </c>
      <c r="AE88" s="170">
        <f ca="1">SUMIFS(Покупка!AE$25:AE$87,Покупка!$F$25:$F$87,$F88,Покупка!$AC$25:$AC$87,$G88)</f>
        <v>0</v>
      </c>
      <c r="AF88" s="170">
        <f ca="1">SUMIFS(Покупка!AF$25:AF$87,Покупка!$F$25:$F$87,$F88,Покупка!$AC$25:$AC$87,$G88)</f>
        <v>0</v>
      </c>
      <c r="AG88" s="170">
        <f ca="1">SUMIFS(Покупка!AG$25:AG$87,Покупка!$F$25:$F$87,$F88,Покупка!$AC$25:$AC$87,$G88)</f>
        <v>0</v>
      </c>
      <c r="AH88" s="170">
        <f t="shared" ca="1" si="7"/>
        <v>0</v>
      </c>
      <c r="AI88" s="170">
        <f ca="1">SUMIFS(Покупка!AH$25:AH$87,Покупка!$F$25:$F$87,$F88,Покупка!$AC$25:$AC$87,$G88)</f>
        <v>0</v>
      </c>
      <c r="AJ88" s="170">
        <f ca="1">SUMIFS(Покупка!AI$25:AI$87,Покупка!$F$25:$F$87,$F88,Покупка!$AC$25:$AC$87,$G88)</f>
        <v>0</v>
      </c>
      <c r="AK88" s="170">
        <f ca="1">SUMIFS(Покупка!AJ$25:AJ$87,Покупка!$F$25:$F$87,$F88,Покупка!$AC$25:$AC$87,$G88)</f>
        <v>0</v>
      </c>
      <c r="AL88" s="170">
        <f ca="1">SUMIFS(Покупка!AK$25:AK$87,Покупка!$F$25:$F$87,$F88,Покупка!$AC$25:$AC$87,$G88)</f>
        <v>0</v>
      </c>
      <c r="AM88" s="170">
        <f ca="1">SUMIFS(Покупка!AL$25:AL$87,Покупка!$F$25:$F$87,$F88,Покупка!$AC$25:$AC$87,$G88)</f>
        <v>0</v>
      </c>
      <c r="AN88" s="170">
        <f ca="1">SUMIFS(Покупка!AM$25:AM$87,Покупка!$F$25:$F$87,$F88,Покупка!$AC$25:$AC$87,$G88)</f>
        <v>0</v>
      </c>
      <c r="AO88" s="170">
        <f ca="1">SUMIFS(Покупка!AN$25:AN$87,Покупка!$F$25:$F$87,$F88,Покупка!$AC$25:$AC$87,$G88)</f>
        <v>0</v>
      </c>
      <c r="AP88" s="170">
        <f ca="1">SUMIFS(Покупка!AO$25:AO$87,Покупка!$F$25:$F$87,$F88,Покупка!$AC$25:$AC$87,$G88)</f>
        <v>0</v>
      </c>
      <c r="AQ88" s="170">
        <f ca="1">SUMIFS(Покупка!AP$25:AP$87,Покупка!$F$25:$F$87,$F88,Покупка!$AC$25:$AC$87,$G88)</f>
        <v>0</v>
      </c>
      <c r="AR88" s="170">
        <f ca="1">SUMIFS(Покупка!AQ$25:AQ$87,Покупка!$F$25:$F$87,$F88,Покупка!$AC$25:$AC$87,$G88)</f>
        <v>0</v>
      </c>
      <c r="AS88" s="170">
        <f ca="1">SUMIFS(Покупка!AR$25:AR$87,Покупка!$F$25:$F$87,$F88,Покупка!$AC$25:$AC$87,$G88)</f>
        <v>0</v>
      </c>
      <c r="AT88" s="170">
        <f ca="1">SUMIFS(Покупка!AS$25:AS$87,Покупка!$F$25:$F$87,$F88,Покупка!$AC$25:$AC$87,$G88)</f>
        <v>0</v>
      </c>
      <c r="AU88" s="170">
        <f ca="1">SUMIFS(Покупка!AT$25:AT$87,Покупка!$F$25:$F$87,$F88,Покупка!$AC$25:$AC$87,$G88)</f>
        <v>0</v>
      </c>
      <c r="AV88" s="170">
        <f ca="1">SUMIFS(Покупка!AU$25:AU$87,Покупка!$F$25:$F$87,$F88,Покупка!$AC$25:$AC$87,$G88)</f>
        <v>0</v>
      </c>
      <c r="AW88" s="170">
        <f ca="1">SUMIFS(Покупка!AV$25:AV$87,Покупка!$F$25:$F$87,$F88,Покупка!$AC$25:$AC$87,$G88)</f>
        <v>0</v>
      </c>
      <c r="AX88" s="170">
        <f ca="1">SUMIFS(Покупка!AW$25:AW$87,Покупка!$F$25:$F$87,$F88,Покупка!$AC$25:$AC$87,$G88)</f>
        <v>0</v>
      </c>
      <c r="AY88" s="170">
        <f ca="1">SUMIFS(Покупка!AX$25:AX$87,Покупка!$F$25:$F$87,$F88,Покупка!$AC$25:$AC$87,$G88)</f>
        <v>0</v>
      </c>
      <c r="AZ88" s="170">
        <f ca="1">SUMIFS(Покупка!AY$25:AY$87,Покупка!$F$25:$F$87,$F88,Покупка!$AC$25:$AC$87,$G88)</f>
        <v>0</v>
      </c>
      <c r="BA88" s="170">
        <f ca="1">SUMIFS(Покупка!AZ$25:AZ$87,Покупка!$F$25:$F$87,$F88,Покупка!$AC$25:$AC$87,$G88)</f>
        <v>0</v>
      </c>
      <c r="BB88" s="170">
        <f ca="1">SUMIFS(Покупка!BA$25:BA$87,Покупка!$F$25:$F$87,$F88,Покупка!$AC$25:$AC$87,$G88)</f>
        <v>0</v>
      </c>
      <c r="BC88" s="170">
        <f ca="1">SUMIFS(Покупка!BB$25:BB$87,Покупка!$F$25:$F$87,$F88,Покупка!$AC$25:$AC$87,$G88)</f>
        <v>0</v>
      </c>
      <c r="BD88" s="170">
        <f t="shared" ca="1" si="9"/>
        <v>0</v>
      </c>
      <c r="BE88" s="170">
        <f t="shared" ca="1" si="10"/>
        <v>0</v>
      </c>
      <c r="BF88" s="170">
        <f t="shared" ca="1" si="11"/>
        <v>0</v>
      </c>
      <c r="BG88" s="170">
        <f t="shared" ca="1" si="12"/>
        <v>0</v>
      </c>
      <c r="BH88" s="170">
        <f t="shared" ca="1" si="13"/>
        <v>0</v>
      </c>
      <c r="BI88" s="170">
        <f t="shared" ca="1" si="14"/>
        <v>0</v>
      </c>
      <c r="BJ88" s="170">
        <f t="shared" ca="1" si="15"/>
        <v>0</v>
      </c>
      <c r="BK88" s="170">
        <f t="shared" ca="1" si="16"/>
        <v>0</v>
      </c>
      <c r="BL88" s="170">
        <f t="shared" ca="1" si="17"/>
        <v>0</v>
      </c>
      <c r="BM88" s="170">
        <f t="shared" ca="1" si="18"/>
        <v>0</v>
      </c>
      <c r="BN88" s="774"/>
      <c r="BO88" s="778" t="str">
        <f ca="1">IF(IFERROR(INDEX(Покупка!$K$26:$L$87,MATCH($F88&amp;"4komm",Покупка!$K$26:$K$87,0),2),"")=0,"",IFERROR(INDEX(Покупка!$K$26:$L$87,MATCH($F87&amp;"3komm",Покупка!$K$26:$K$87,0),2),""))</f>
        <v/>
      </c>
      <c r="BP88" s="774"/>
      <c r="BS88" s="694" t="s">
        <v>1767</v>
      </c>
    </row>
    <row r="89" spans="2:75" ht="14.65" hidden="1" customHeight="1">
      <c r="B89" s="15"/>
      <c r="C89" s="25"/>
      <c r="D89" s="25"/>
      <c r="E89" s="449">
        <v>15</v>
      </c>
      <c r="F89" s="3" cm="1">
        <f t="array" aca="1" ref="F89" ca="1">OFFSET(E89,-1,1)</f>
        <v>0</v>
      </c>
      <c r="G89" s="25" t="s">
        <v>1108</v>
      </c>
      <c r="H89" s="25"/>
      <c r="I89" s="25" t="s">
        <v>2069</v>
      </c>
      <c r="J89" s="25"/>
      <c r="K89" s="25" t="s">
        <v>2069</v>
      </c>
      <c r="L89" s="25" t="s">
        <v>1577</v>
      </c>
      <c r="M89" s="25"/>
      <c r="N89" s="25"/>
      <c r="O89" s="25"/>
      <c r="P89" s="25"/>
      <c r="Q89" s="25"/>
      <c r="R89" s="25"/>
      <c r="S89" s="25"/>
      <c r="T89" s="351" t="b" cm="1">
        <f t="array" aca="1" ref="T89" ca="1">T88</f>
        <v>0</v>
      </c>
      <c r="U89" s="25"/>
      <c r="V89" s="25"/>
      <c r="X89" s="1024"/>
      <c r="Z89" s="1008"/>
      <c r="AB89" s="133" t="s">
        <v>2070</v>
      </c>
      <c r="AC89" s="134" t="s">
        <v>2071</v>
      </c>
      <c r="AD89" s="7" t="s">
        <v>859</v>
      </c>
      <c r="AE89" s="170">
        <f ca="1">SUMIFS(Покупка!AE$25:AE$87,Покупка!$F$25:$F$87,$F89,Покупка!$AC$25:$AC$87,$G89)</f>
        <v>0</v>
      </c>
      <c r="AF89" s="170">
        <f ca="1">SUMIFS(Покупка!AF$25:AF$87,Покупка!$F$25:$F$87,$F89,Покупка!$AC$25:$AC$87,$G89)</f>
        <v>0</v>
      </c>
      <c r="AG89" s="170">
        <f ca="1">SUMIFS(Покупка!AG$25:AG$87,Покупка!$F$25:$F$87,$F89,Покупка!$AC$25:$AC$87,$G89)</f>
        <v>0</v>
      </c>
      <c r="AH89" s="170">
        <f t="shared" ca="1" si="7"/>
        <v>0</v>
      </c>
      <c r="AI89" s="170">
        <f ca="1">SUMIFS(Покупка!AH$25:AH$87,Покупка!$F$25:$F$87,$F89,Покупка!$AC$25:$AC$87,$G89)</f>
        <v>0</v>
      </c>
      <c r="AJ89" s="170">
        <f ca="1">SUMIFS(Покупка!AI$25:AI$87,Покупка!$F$25:$F$87,$F89,Покупка!$AC$25:$AC$87,$G89)</f>
        <v>0</v>
      </c>
      <c r="AK89" s="170">
        <f ca="1">SUMIFS(Покупка!AJ$25:AJ$87,Покупка!$F$25:$F$87,$F89,Покупка!$AC$25:$AC$87,$G89)</f>
        <v>0</v>
      </c>
      <c r="AL89" s="170">
        <f ca="1">SUMIFS(Покупка!AK$25:AK$87,Покупка!$F$25:$F$87,$F89,Покупка!$AC$25:$AC$87,$G89)</f>
        <v>0</v>
      </c>
      <c r="AM89" s="170">
        <f ca="1">SUMIFS(Покупка!AL$25:AL$87,Покупка!$F$25:$F$87,$F89,Покупка!$AC$25:$AC$87,$G89)</f>
        <v>0</v>
      </c>
      <c r="AN89" s="170">
        <f ca="1">SUMIFS(Покупка!AM$25:AM$87,Покупка!$F$25:$F$87,$F89,Покупка!$AC$25:$AC$87,$G89)</f>
        <v>0</v>
      </c>
      <c r="AO89" s="170">
        <f ca="1">SUMIFS(Покупка!AN$25:AN$87,Покупка!$F$25:$F$87,$F89,Покупка!$AC$25:$AC$87,$G89)</f>
        <v>0</v>
      </c>
      <c r="AP89" s="170">
        <f ca="1">SUMIFS(Покупка!AO$25:AO$87,Покупка!$F$25:$F$87,$F89,Покупка!$AC$25:$AC$87,$G89)</f>
        <v>0</v>
      </c>
      <c r="AQ89" s="170">
        <f ca="1">SUMIFS(Покупка!AP$25:AP$87,Покупка!$F$25:$F$87,$F89,Покупка!$AC$25:$AC$87,$G89)</f>
        <v>0</v>
      </c>
      <c r="AR89" s="170">
        <f ca="1">SUMIFS(Покупка!AQ$25:AQ$87,Покупка!$F$25:$F$87,$F89,Покупка!$AC$25:$AC$87,$G89)</f>
        <v>0</v>
      </c>
      <c r="AS89" s="170">
        <f ca="1">SUMIFS(Покупка!AR$25:AR$87,Покупка!$F$25:$F$87,$F89,Покупка!$AC$25:$AC$87,$G89)</f>
        <v>0</v>
      </c>
      <c r="AT89" s="170">
        <f ca="1">SUMIFS(Покупка!AS$25:AS$87,Покупка!$F$25:$F$87,$F89,Покупка!$AC$25:$AC$87,$G89)</f>
        <v>0</v>
      </c>
      <c r="AU89" s="170">
        <f ca="1">SUMIFS(Покупка!AT$25:AT$87,Покупка!$F$25:$F$87,$F89,Покупка!$AC$25:$AC$87,$G89)</f>
        <v>0</v>
      </c>
      <c r="AV89" s="170">
        <f ca="1">SUMIFS(Покупка!AU$25:AU$87,Покупка!$F$25:$F$87,$F89,Покупка!$AC$25:$AC$87,$G89)</f>
        <v>0</v>
      </c>
      <c r="AW89" s="170">
        <f ca="1">SUMIFS(Покупка!AV$25:AV$87,Покупка!$F$25:$F$87,$F89,Покупка!$AC$25:$AC$87,$G89)</f>
        <v>0</v>
      </c>
      <c r="AX89" s="170">
        <f ca="1">SUMIFS(Покупка!AW$25:AW$87,Покупка!$F$25:$F$87,$F89,Покупка!$AC$25:$AC$87,$G89)</f>
        <v>0</v>
      </c>
      <c r="AY89" s="170">
        <f ca="1">SUMIFS(Покупка!AX$25:AX$87,Покупка!$F$25:$F$87,$F89,Покупка!$AC$25:$AC$87,$G89)</f>
        <v>0</v>
      </c>
      <c r="AZ89" s="170">
        <f ca="1">SUMIFS(Покупка!AY$25:AY$87,Покупка!$F$25:$F$87,$F89,Покупка!$AC$25:$AC$87,$G89)</f>
        <v>0</v>
      </c>
      <c r="BA89" s="170">
        <f ca="1">SUMIFS(Покупка!AZ$25:AZ$87,Покупка!$F$25:$F$87,$F89,Покупка!$AC$25:$AC$87,$G89)</f>
        <v>0</v>
      </c>
      <c r="BB89" s="170">
        <f ca="1">SUMIFS(Покупка!BA$25:BA$87,Покупка!$F$25:$F$87,$F89,Покупка!$AC$25:$AC$87,$G89)</f>
        <v>0</v>
      </c>
      <c r="BC89" s="170">
        <f ca="1">SUMIFS(Покупка!BB$25:BB$87,Покупка!$F$25:$F$87,$F89,Покупка!$AC$25:$AC$87,$G89)</f>
        <v>0</v>
      </c>
      <c r="BD89" s="170">
        <f t="shared" ca="1" si="9"/>
        <v>0</v>
      </c>
      <c r="BE89" s="170">
        <f t="shared" ca="1" si="10"/>
        <v>0</v>
      </c>
      <c r="BF89" s="170">
        <f t="shared" ca="1" si="11"/>
        <v>0</v>
      </c>
      <c r="BG89" s="170">
        <f t="shared" ca="1" si="12"/>
        <v>0</v>
      </c>
      <c r="BH89" s="170">
        <f t="shared" ca="1" si="13"/>
        <v>0</v>
      </c>
      <c r="BI89" s="170">
        <f t="shared" ca="1" si="14"/>
        <v>0</v>
      </c>
      <c r="BJ89" s="170">
        <f t="shared" ca="1" si="15"/>
        <v>0</v>
      </c>
      <c r="BK89" s="170">
        <f t="shared" ca="1" si="16"/>
        <v>0</v>
      </c>
      <c r="BL89" s="170">
        <f t="shared" ca="1" si="17"/>
        <v>0</v>
      </c>
      <c r="BM89" s="170">
        <f t="shared" ca="1" si="18"/>
        <v>0</v>
      </c>
      <c r="BN89" s="774"/>
      <c r="BO89" s="778" t="str">
        <f ca="1">IF(IFERROR(INDEX(Покупка!$K$26:$L$87,MATCH($F89&amp;"5komm",Покупка!$K$26:$K$87,0),2),"")=0,"",IFERROR(INDEX(Покупка!$K$26:$L$87,MATCH($F89&amp;"5komm",Покупка!$K$26:$K$87,0),2),""))</f>
        <v/>
      </c>
      <c r="BP89" s="774"/>
      <c r="BS89" s="694" t="s">
        <v>1770</v>
      </c>
    </row>
    <row r="90" spans="2:75" s="374" customFormat="1" ht="14.65" hidden="1" customHeight="1">
      <c r="B90" s="15"/>
      <c r="C90" s="25"/>
      <c r="D90" s="25"/>
      <c r="E90" s="449">
        <v>15</v>
      </c>
      <c r="F90" s="3" cm="1">
        <f t="array" aca="1" ref="F90" ca="1">OFFSET(E90,-1,1)</f>
        <v>0</v>
      </c>
      <c r="G90" s="25" t="s">
        <v>1120</v>
      </c>
      <c r="H90" s="25"/>
      <c r="I90" s="25"/>
      <c r="J90" s="25"/>
      <c r="K90" s="25"/>
      <c r="L90" s="25" t="s">
        <v>1544</v>
      </c>
      <c r="M90" s="25"/>
      <c r="N90" s="25"/>
      <c r="O90" s="25"/>
      <c r="P90" s="25"/>
      <c r="Q90" s="25"/>
      <c r="R90" s="25"/>
      <c r="S90" s="25"/>
      <c r="T90" s="351" t="b" cm="1">
        <f t="array" aca="1" ref="T90" ca="1">T89</f>
        <v>0</v>
      </c>
      <c r="U90" s="25"/>
      <c r="V90" s="25"/>
      <c r="X90" s="1024"/>
      <c r="Z90" s="1008"/>
      <c r="AB90" s="133" t="s">
        <v>2072</v>
      </c>
      <c r="AC90" s="134" t="s">
        <v>2073</v>
      </c>
      <c r="AD90" s="7" t="s">
        <v>859</v>
      </c>
      <c r="AE90" s="170">
        <f ca="1">SUMIFS(Покупка!AE$25:AE$87,Покупка!$F$25:$F$87,$F90,Покупка!$AC$25:$AC$87,$G90)</f>
        <v>0</v>
      </c>
      <c r="AF90" s="170">
        <f ca="1">SUMIFS(Покупка!AF$25:AF$87,Покупка!$F$25:$F$87,$F90,Покупка!$AC$25:$AC$87,$G90)</f>
        <v>0</v>
      </c>
      <c r="AG90" s="170">
        <f ca="1">SUMIFS(Покупка!AG$25:AG$87,Покупка!$F$25:$F$87,$F90,Покупка!$AC$25:$AC$87,$G90)</f>
        <v>0</v>
      </c>
      <c r="AH90" s="170">
        <f t="shared" ca="1" si="7"/>
        <v>0</v>
      </c>
      <c r="AI90" s="170">
        <f ca="1">SUMIFS(Покупка!AH$25:AH$87,Покупка!$F$25:$F$87,$F90,Покупка!$AC$25:$AC$87,$G90)</f>
        <v>0</v>
      </c>
      <c r="AJ90" s="170">
        <f ca="1">SUMIFS(Покупка!AI$25:AI$87,Покупка!$F$25:$F$87,$F90,Покупка!$AC$25:$AC$87,$G90)</f>
        <v>0</v>
      </c>
      <c r="AK90" s="170">
        <f ca="1">SUMIFS(Покупка!AJ$25:AJ$87,Покупка!$F$25:$F$87,$F90,Покупка!$AC$25:$AC$87,$G90)</f>
        <v>0</v>
      </c>
      <c r="AL90" s="170">
        <f ca="1">SUMIFS(Покупка!AK$25:AK$87,Покупка!$F$25:$F$87,$F90,Покупка!$AC$25:$AC$87,$G90)</f>
        <v>0</v>
      </c>
      <c r="AM90" s="170">
        <f ca="1">SUMIFS(Покупка!AL$25:AL$87,Покупка!$F$25:$F$87,$F90,Покупка!$AC$25:$AC$87,$G90)</f>
        <v>0</v>
      </c>
      <c r="AN90" s="170">
        <f ca="1">SUMIFS(Покупка!AM$25:AM$87,Покупка!$F$25:$F$87,$F90,Покупка!$AC$25:$AC$87,$G90)</f>
        <v>0</v>
      </c>
      <c r="AO90" s="170">
        <f ca="1">SUMIFS(Покупка!AN$25:AN$87,Покупка!$F$25:$F$87,$F90,Покупка!$AC$25:$AC$87,$G90)</f>
        <v>0</v>
      </c>
      <c r="AP90" s="170">
        <f ca="1">SUMIFS(Покупка!AO$25:AO$87,Покупка!$F$25:$F$87,$F90,Покупка!$AC$25:$AC$87,$G90)</f>
        <v>0</v>
      </c>
      <c r="AQ90" s="170">
        <f ca="1">SUMIFS(Покупка!AP$25:AP$87,Покупка!$F$25:$F$87,$F90,Покупка!$AC$25:$AC$87,$G90)</f>
        <v>0</v>
      </c>
      <c r="AR90" s="170">
        <f ca="1">SUMIFS(Покупка!AQ$25:AQ$87,Покупка!$F$25:$F$87,$F90,Покупка!$AC$25:$AC$87,$G90)</f>
        <v>0</v>
      </c>
      <c r="AS90" s="170">
        <f ca="1">SUMIFS(Покупка!AR$25:AR$87,Покупка!$F$25:$F$87,$F90,Покупка!$AC$25:$AC$87,$G90)</f>
        <v>0</v>
      </c>
      <c r="AT90" s="170">
        <f ca="1">SUMIFS(Покупка!AS$25:AS$87,Покупка!$F$25:$F$87,$F90,Покупка!$AC$25:$AC$87,$G90)</f>
        <v>0</v>
      </c>
      <c r="AU90" s="170">
        <f ca="1">SUMIFS(Покупка!AT$25:AT$87,Покупка!$F$25:$F$87,$F90,Покупка!$AC$25:$AC$87,$G90)</f>
        <v>0</v>
      </c>
      <c r="AV90" s="170">
        <f ca="1">SUMIFS(Покупка!AU$25:AU$87,Покупка!$F$25:$F$87,$F90,Покупка!$AC$25:$AC$87,$G90)</f>
        <v>0</v>
      </c>
      <c r="AW90" s="170">
        <f ca="1">SUMIFS(Покупка!AV$25:AV$87,Покупка!$F$25:$F$87,$F90,Покупка!$AC$25:$AC$87,$G90)</f>
        <v>0</v>
      </c>
      <c r="AX90" s="170">
        <f ca="1">SUMIFS(Покупка!AW$25:AW$87,Покупка!$F$25:$F$87,$F90,Покупка!$AC$25:$AC$87,$G90)</f>
        <v>0</v>
      </c>
      <c r="AY90" s="170">
        <f ca="1">SUMIFS(Покупка!AX$25:AX$87,Покупка!$F$25:$F$87,$F90,Покупка!$AC$25:$AC$87,$G90)</f>
        <v>0</v>
      </c>
      <c r="AZ90" s="170">
        <f ca="1">SUMIFS(Покупка!AY$25:AY$87,Покупка!$F$25:$F$87,$F90,Покупка!$AC$25:$AC$87,$G90)</f>
        <v>0</v>
      </c>
      <c r="BA90" s="170">
        <f ca="1">SUMIFS(Покупка!AZ$25:AZ$87,Покупка!$F$25:$F$87,$F90,Покупка!$AC$25:$AC$87,$G90)</f>
        <v>0</v>
      </c>
      <c r="BB90" s="170">
        <f ca="1">SUMIFS(Покупка!BA$25:BA$87,Покупка!$F$25:$F$87,$F90,Покупка!$AC$25:$AC$87,$G90)</f>
        <v>0</v>
      </c>
      <c r="BC90" s="170">
        <f ca="1">SUMIFS(Покупка!BB$25:BB$87,Покупка!$F$25:$F$87,$F90,Покупка!$AC$25:$AC$87,$G90)</f>
        <v>0</v>
      </c>
      <c r="BD90" s="170">
        <f t="shared" ca="1" si="9"/>
        <v>0</v>
      </c>
      <c r="BE90" s="170">
        <f t="shared" ca="1" si="10"/>
        <v>0</v>
      </c>
      <c r="BF90" s="170">
        <f t="shared" ca="1" si="11"/>
        <v>0</v>
      </c>
      <c r="BG90" s="170">
        <f t="shared" ca="1" si="12"/>
        <v>0</v>
      </c>
      <c r="BH90" s="170">
        <f t="shared" ca="1" si="13"/>
        <v>0</v>
      </c>
      <c r="BI90" s="170">
        <f t="shared" ca="1" si="14"/>
        <v>0</v>
      </c>
      <c r="BJ90" s="170">
        <f t="shared" ca="1" si="15"/>
        <v>0</v>
      </c>
      <c r="BK90" s="170">
        <f t="shared" ca="1" si="16"/>
        <v>0</v>
      </c>
      <c r="BL90" s="170">
        <f t="shared" ca="1" si="17"/>
        <v>0</v>
      </c>
      <c r="BM90" s="170">
        <f t="shared" ca="1" si="18"/>
        <v>0</v>
      </c>
      <c r="BN90" s="774"/>
      <c r="BO90" s="778" t="str">
        <f ca="1">IF(IFERROR(INDEX(Покупка!$K$26:$L$87,MATCH($F90&amp;"9komm",Покупка!$K$26:$K$87,0),2),"")=0,"",IFERROR(INDEX(Покупка!$K$26:$L$87,MATCH($F90&amp;"9komm",Покупка!$K$26:$K$87,0),2),""))</f>
        <v/>
      </c>
      <c r="BP90" s="774"/>
      <c r="BS90" s="694" t="s">
        <v>1121</v>
      </c>
      <c r="BT90" s="694"/>
      <c r="BU90" s="694"/>
      <c r="BV90" s="505"/>
      <c r="BW90" s="505"/>
    </row>
    <row r="91" spans="2:75" ht="14.65" hidden="1" customHeight="1">
      <c r="B91" s="15"/>
      <c r="C91" s="25"/>
      <c r="D91" s="25"/>
      <c r="E91" s="449">
        <v>15</v>
      </c>
      <c r="F91" s="3" cm="1">
        <f t="array" aca="1" ref="F91" ca="1">OFFSET(E91,-1,1)</f>
        <v>0</v>
      </c>
      <c r="G91" s="25"/>
      <c r="H91" s="25"/>
      <c r="I91" s="25" t="s">
        <v>528</v>
      </c>
      <c r="J91" s="25"/>
      <c r="K91" s="25" t="s">
        <v>528</v>
      </c>
      <c r="L91" s="25"/>
      <c r="M91" s="25"/>
      <c r="N91" s="25"/>
      <c r="O91" s="25"/>
      <c r="P91" s="25"/>
      <c r="Q91" s="25"/>
      <c r="R91" s="25"/>
      <c r="S91" s="25"/>
      <c r="T91" s="351" t="b" cm="1">
        <f t="array" aca="1" ref="T91" ca="1">T90</f>
        <v>0</v>
      </c>
      <c r="U91" s="25"/>
      <c r="V91" s="25"/>
      <c r="X91" s="1024"/>
      <c r="Z91" s="1008"/>
      <c r="AB91" s="133" t="s">
        <v>592</v>
      </c>
      <c r="AC91" s="127" t="s">
        <v>2074</v>
      </c>
      <c r="AD91" s="99" t="s">
        <v>859</v>
      </c>
      <c r="AE91" s="170">
        <f ca="1">SUMIFS('Сырье и материалы'!AE$25:AE$36,'Сырье и материалы'!$F$25:$F$36,$F91,'Сырье и материалы'!$AC$25:$AC$36,"Всего по тарифу")</f>
        <v>0</v>
      </c>
      <c r="AF91" s="170">
        <f ca="1">SUMIFS('Сырье и материалы'!AF$25:AF$36,'Сырье и материалы'!$F$25:$F$36,$F91,'Сырье и материалы'!$AC$25:$AC$36,"Всего по тарифу")</f>
        <v>0</v>
      </c>
      <c r="AG91" s="170">
        <f ca="1">SUMIFS('Сырье и материалы'!AG$25:AG$36,'Сырье и материалы'!$F$25:$F$36,$F91,'Сырье и материалы'!$AC$25:$AC$36,"Всего по тарифу")</f>
        <v>0</v>
      </c>
      <c r="AH91" s="170">
        <f t="shared" ca="1" si="7"/>
        <v>0</v>
      </c>
      <c r="AI91" s="170">
        <f ca="1">SUMIFS('Сырье и материалы'!AH$25:AH$36,'Сырье и материалы'!$F$25:$F$36,$F91,'Сырье и материалы'!$AC$25:$AC$36,"Всего по тарифу")</f>
        <v>0</v>
      </c>
      <c r="AJ91" s="170">
        <f ca="1">SUMIFS('Сырье и материалы'!AI$25:AI$36,'Сырье и материалы'!$F$25:$F$36,$F91,'Сырье и материалы'!$AC$25:$AC$36,"Всего по тарифу")</f>
        <v>0</v>
      </c>
      <c r="AK91" s="170">
        <f ca="1">SUMIFS('Сырье и материалы'!AJ$25:AJ$36,'Сырье и материалы'!$F$25:$F$36,$F91,'Сырье и материалы'!$AC$25:$AC$36,"Всего по тарифу")</f>
        <v>0</v>
      </c>
      <c r="AL91" s="170">
        <f ca="1">SUMIFS('Сырье и материалы'!AK$25:AK$36,'Сырье и материалы'!$F$25:$F$36,$F91,'Сырье и материалы'!$AC$25:$AC$36,"Всего по тарифу")</f>
        <v>0</v>
      </c>
      <c r="AM91" s="170">
        <f ca="1">SUMIFS('Сырье и материалы'!AL$25:AL$36,'Сырье и материалы'!$F$25:$F$36,$F91,'Сырье и материалы'!$AC$25:$AC$36,"Всего по тарифу")</f>
        <v>0</v>
      </c>
      <c r="AN91" s="170">
        <f ca="1">SUMIFS('Сырье и материалы'!AM$25:AM$36,'Сырье и материалы'!$F$25:$F$36,$F91,'Сырье и материалы'!$AC$25:$AC$36,"Всего по тарифу")</f>
        <v>0</v>
      </c>
      <c r="AO91" s="170">
        <f ca="1">SUMIFS('Сырье и материалы'!AN$25:AN$36,'Сырье и материалы'!$F$25:$F$36,$F91,'Сырье и материалы'!$AC$25:$AC$36,"Всего по тарифу")</f>
        <v>0</v>
      </c>
      <c r="AP91" s="170">
        <f ca="1">SUMIFS('Сырье и материалы'!AO$25:AO$36,'Сырье и материалы'!$F$25:$F$36,$F91,'Сырье и материалы'!$AC$25:$AC$36,"Всего по тарифу")</f>
        <v>0</v>
      </c>
      <c r="AQ91" s="170">
        <f ca="1">SUMIFS('Сырье и материалы'!AP$25:AP$36,'Сырье и материалы'!$F$25:$F$36,$F91,'Сырье и материалы'!$AC$25:$AC$36,"Всего по тарифу")</f>
        <v>0</v>
      </c>
      <c r="AR91" s="170">
        <f ca="1">SUMIFS('Сырье и материалы'!AQ$25:AQ$36,'Сырье и материалы'!$F$25:$F$36,$F91,'Сырье и материалы'!$AC$25:$AC$36,"Всего по тарифу")</f>
        <v>0</v>
      </c>
      <c r="AS91" s="170">
        <f ca="1">SUMIFS('Сырье и материалы'!AR$25:AR$36,'Сырье и материалы'!$F$25:$F$36,$F91,'Сырье и материалы'!$AC$25:$AC$36,"Всего по тарифу")</f>
        <v>0</v>
      </c>
      <c r="AT91" s="170">
        <f ca="1">SUMIFS('Сырье и материалы'!AS$25:AS$36,'Сырье и материалы'!$F$25:$F$36,$F91,'Сырье и материалы'!$AC$25:$AC$36,"Всего по тарифу")</f>
        <v>0</v>
      </c>
      <c r="AU91" s="170">
        <f ca="1">SUMIFS('Сырье и материалы'!AT$25:AT$36,'Сырье и материалы'!$F$25:$F$36,$F91,'Сырье и материалы'!$AC$25:$AC$36,"Всего по тарифу")</f>
        <v>0</v>
      </c>
      <c r="AV91" s="170">
        <f ca="1">SUMIFS('Сырье и материалы'!AU$25:AU$36,'Сырье и материалы'!$F$25:$F$36,$F91,'Сырье и материалы'!$AC$25:$AC$36,"Всего по тарифу")</f>
        <v>0</v>
      </c>
      <c r="AW91" s="170">
        <f ca="1">SUMIFS('Сырье и материалы'!AV$25:AV$36,'Сырье и материалы'!$F$25:$F$36,$F91,'Сырье и материалы'!$AC$25:$AC$36,"Всего по тарифу")</f>
        <v>0</v>
      </c>
      <c r="AX91" s="170">
        <f ca="1">SUMIFS('Сырье и материалы'!AW$25:AW$36,'Сырье и материалы'!$F$25:$F$36,$F91,'Сырье и материалы'!$AC$25:$AC$36,"Всего по тарифу")</f>
        <v>0</v>
      </c>
      <c r="AY91" s="170">
        <f ca="1">SUMIFS('Сырье и материалы'!AX$25:AX$36,'Сырье и материалы'!$F$25:$F$36,$F91,'Сырье и материалы'!$AC$25:$AC$36,"Всего по тарифу")</f>
        <v>0</v>
      </c>
      <c r="AZ91" s="170">
        <f ca="1">SUMIFS('Сырье и материалы'!AY$25:AY$36,'Сырье и материалы'!$F$25:$F$36,$F91,'Сырье и материалы'!$AC$25:$AC$36,"Всего по тарифу")</f>
        <v>0</v>
      </c>
      <c r="BA91" s="170">
        <f ca="1">SUMIFS('Сырье и материалы'!AZ$25:AZ$36,'Сырье и материалы'!$F$25:$F$36,$F91,'Сырье и материалы'!$AC$25:$AC$36,"Всего по тарифу")</f>
        <v>0</v>
      </c>
      <c r="BB91" s="170">
        <f ca="1">SUMIFS('Сырье и материалы'!BA$25:BA$36,'Сырье и материалы'!$F$25:$F$36,$F91,'Сырье и материалы'!$AC$25:$AC$36,"Всего по тарифу")</f>
        <v>0</v>
      </c>
      <c r="BC91" s="170">
        <f ca="1">SUMIFS('Сырье и материалы'!BB$25:BB$36,'Сырье и материалы'!$F$25:$F$36,$F91,'Сырье и материалы'!$AC$25:$AC$36,"Всего по тарифу")</f>
        <v>0</v>
      </c>
      <c r="BD91" s="170">
        <f t="shared" ca="1" si="9"/>
        <v>0</v>
      </c>
      <c r="BE91" s="170">
        <f t="shared" ca="1" si="10"/>
        <v>0</v>
      </c>
      <c r="BF91" s="170">
        <f t="shared" ca="1" si="11"/>
        <v>0</v>
      </c>
      <c r="BG91" s="170">
        <f t="shared" ca="1" si="12"/>
        <v>0</v>
      </c>
      <c r="BH91" s="170">
        <f t="shared" ca="1" si="13"/>
        <v>0</v>
      </c>
      <c r="BI91" s="170">
        <f t="shared" ca="1" si="14"/>
        <v>0</v>
      </c>
      <c r="BJ91" s="170">
        <f t="shared" ca="1" si="15"/>
        <v>0</v>
      </c>
      <c r="BK91" s="170">
        <f t="shared" ca="1" si="16"/>
        <v>0</v>
      </c>
      <c r="BL91" s="170">
        <f t="shared" ca="1" si="17"/>
        <v>0</v>
      </c>
      <c r="BM91" s="170">
        <f t="shared" ca="1" si="18"/>
        <v>0</v>
      </c>
      <c r="BN91" s="774"/>
      <c r="BO91" s="778" t="str">
        <f ca="1">IF(IFERROR(INDEX('Сырье и материалы'!$K$26:$L$36,MATCH($F91&amp;"komm",'Сырье и материалы'!$K$26:$K$36,0),2),"")=0,"",IFERROR(INDEX('Сырье и материалы'!$K$26:$L$36,MATCH($F91&amp;"komm",'Сырье и материалы'!$K$26:$K$36,0),2),""))</f>
        <v/>
      </c>
      <c r="BP91" s="774"/>
      <c r="BS91" s="694" t="s">
        <v>1743</v>
      </c>
    </row>
    <row r="92" spans="2:75" s="76" customFormat="1" ht="20.45" hidden="1" customHeight="1">
      <c r="B92" s="29"/>
      <c r="C92" s="27"/>
      <c r="D92" s="27"/>
      <c r="E92" s="557">
        <v>21</v>
      </c>
      <c r="F92" s="3" cm="1">
        <f t="array" aca="1" ref="F92" ca="1">OFFSET(E92,-1,1)</f>
        <v>0</v>
      </c>
      <c r="G92" s="27"/>
      <c r="H92" s="25"/>
      <c r="I92" s="25" t="s">
        <v>956</v>
      </c>
      <c r="J92" s="27"/>
      <c r="K92" s="25" t="s">
        <v>956</v>
      </c>
      <c r="L92" s="27" t="s">
        <v>560</v>
      </c>
      <c r="M92" s="27"/>
      <c r="N92" s="27"/>
      <c r="O92" s="27"/>
      <c r="P92" s="27"/>
      <c r="Q92" s="27"/>
      <c r="R92" s="27"/>
      <c r="S92" s="27"/>
      <c r="T92" s="351" t="b" cm="1">
        <f t="array" aca="1" ref="T92" ca="1">T91</f>
        <v>0</v>
      </c>
      <c r="U92" s="27"/>
      <c r="V92" s="27"/>
      <c r="X92" s="1024"/>
      <c r="Z92" s="1008"/>
      <c r="AB92" s="131" t="s">
        <v>596</v>
      </c>
      <c r="AC92" s="262" t="s">
        <v>2075</v>
      </c>
      <c r="AD92" s="124" t="s">
        <v>859</v>
      </c>
      <c r="AE92" s="126">
        <f ca="1">SUM(AE93:AE102)</f>
        <v>0</v>
      </c>
      <c r="AF92" s="126">
        <f ca="1">SUM(AF93:AF102)</f>
        <v>0</v>
      </c>
      <c r="AG92" s="126">
        <f ca="1">SUM(AG93:AG102)</f>
        <v>0</v>
      </c>
      <c r="AH92" s="126">
        <f t="shared" ca="1" si="7"/>
        <v>0</v>
      </c>
      <c r="AI92" s="126">
        <f t="shared" ref="AI92:BC92" ca="1" si="20">SUM(AI93:AI102)</f>
        <v>0</v>
      </c>
      <c r="AJ92" s="126">
        <f t="shared" ca="1" si="20"/>
        <v>0</v>
      </c>
      <c r="AK92" s="126">
        <f t="shared" ca="1" si="20"/>
        <v>0</v>
      </c>
      <c r="AL92" s="126">
        <f t="shared" ca="1" si="20"/>
        <v>0</v>
      </c>
      <c r="AM92" s="126">
        <f t="shared" ca="1" si="20"/>
        <v>0</v>
      </c>
      <c r="AN92" s="126">
        <f t="shared" ca="1" si="20"/>
        <v>0</v>
      </c>
      <c r="AO92" s="126">
        <f t="shared" ca="1" si="20"/>
        <v>0</v>
      </c>
      <c r="AP92" s="126">
        <f t="shared" ca="1" si="20"/>
        <v>0</v>
      </c>
      <c r="AQ92" s="126">
        <f t="shared" ca="1" si="20"/>
        <v>0</v>
      </c>
      <c r="AR92" s="126">
        <f t="shared" ca="1" si="20"/>
        <v>0</v>
      </c>
      <c r="AS92" s="126">
        <f t="shared" ca="1" si="20"/>
        <v>0</v>
      </c>
      <c r="AT92" s="126">
        <f t="shared" ca="1" si="20"/>
        <v>0</v>
      </c>
      <c r="AU92" s="126">
        <f t="shared" ca="1" si="20"/>
        <v>0</v>
      </c>
      <c r="AV92" s="126">
        <f t="shared" ca="1" si="20"/>
        <v>0</v>
      </c>
      <c r="AW92" s="126">
        <f t="shared" ca="1" si="20"/>
        <v>0</v>
      </c>
      <c r="AX92" s="126">
        <f t="shared" ca="1" si="20"/>
        <v>0</v>
      </c>
      <c r="AY92" s="126">
        <f t="shared" ca="1" si="20"/>
        <v>0</v>
      </c>
      <c r="AZ92" s="126">
        <f t="shared" ca="1" si="20"/>
        <v>0</v>
      </c>
      <c r="BA92" s="126">
        <f t="shared" ca="1" si="20"/>
        <v>0</v>
      </c>
      <c r="BB92" s="126">
        <f t="shared" ca="1" si="20"/>
        <v>0</v>
      </c>
      <c r="BC92" s="126">
        <f t="shared" ca="1" si="20"/>
        <v>0</v>
      </c>
      <c r="BD92" s="126">
        <f t="shared" ca="1" si="9"/>
        <v>0</v>
      </c>
      <c r="BE92" s="126">
        <f t="shared" ca="1" si="10"/>
        <v>0</v>
      </c>
      <c r="BF92" s="126">
        <f t="shared" ca="1" si="11"/>
        <v>0</v>
      </c>
      <c r="BG92" s="126">
        <f t="shared" ca="1" si="12"/>
        <v>0</v>
      </c>
      <c r="BH92" s="126">
        <f t="shared" ca="1" si="13"/>
        <v>0</v>
      </c>
      <c r="BI92" s="126">
        <f t="shared" ca="1" si="14"/>
        <v>0</v>
      </c>
      <c r="BJ92" s="126">
        <f t="shared" ca="1" si="15"/>
        <v>0</v>
      </c>
      <c r="BK92" s="126">
        <f t="shared" ca="1" si="16"/>
        <v>0</v>
      </c>
      <c r="BL92" s="126">
        <f t="shared" ca="1" si="17"/>
        <v>0</v>
      </c>
      <c r="BM92" s="126">
        <f t="shared" ca="1" si="18"/>
        <v>0</v>
      </c>
      <c r="BN92" s="776"/>
      <c r="BO92" s="778" t="str">
        <f ca="1">IF(IFERROR(INDEX(Налоги!$K$26:$L$55,MATCH($F92&amp;"komm",Налоги!$K$26:$K$55,0),2),"")=0,"",IFERROR(INDEX(Налоги!$K$26:$L$55,MATCH($F92&amp;"komm",Налоги!$K$26:$K$55,0),2),""))</f>
        <v/>
      </c>
      <c r="BP92" s="776"/>
      <c r="BS92" s="700" t="s">
        <v>1294</v>
      </c>
      <c r="BT92" s="700"/>
      <c r="BU92" s="700"/>
      <c r="BV92" s="509"/>
      <c r="BW92" s="509"/>
    </row>
    <row r="93" spans="2:75" ht="14.65" hidden="1" customHeight="1">
      <c r="B93" s="15"/>
      <c r="C93" s="25"/>
      <c r="D93" s="25"/>
      <c r="E93" s="449">
        <v>15</v>
      </c>
      <c r="F93" s="3" cm="1">
        <f t="array" aca="1" ref="F93" ca="1">OFFSET(E93,-1,1)</f>
        <v>0</v>
      </c>
      <c r="G93" s="609">
        <v>7</v>
      </c>
      <c r="H93" s="25"/>
      <c r="I93" s="25" t="s">
        <v>2076</v>
      </c>
      <c r="J93" s="25"/>
      <c r="K93" s="25" t="s">
        <v>2076</v>
      </c>
      <c r="L93" s="25"/>
      <c r="M93" s="25"/>
      <c r="N93" s="25"/>
      <c r="O93" s="25"/>
      <c r="P93" s="25"/>
      <c r="Q93" s="25"/>
      <c r="R93" s="25"/>
      <c r="S93" s="25"/>
      <c r="T93" s="351" t="b" cm="1">
        <f t="array" aca="1" ref="T93" ca="1">T92</f>
        <v>0</v>
      </c>
      <c r="U93" s="25"/>
      <c r="V93" s="25"/>
      <c r="X93" s="1024"/>
      <c r="Z93" s="1008"/>
      <c r="AB93" s="133" t="s">
        <v>544</v>
      </c>
      <c r="AC93" s="134" t="s">
        <v>1308</v>
      </c>
      <c r="AD93" s="7" t="s">
        <v>859</v>
      </c>
      <c r="AE93" s="170">
        <f ca="1">SUMIFS(Налоги!AE$25:AE$55,Налоги!$F$25:$F$55,$F93,Налоги!$AB$25:$AB$55,$G93)</f>
        <v>0</v>
      </c>
      <c r="AF93" s="170">
        <f ca="1">SUMIFS(Налоги!AF$25:AF$55,Налоги!$F$25:$F$55,$F93,Налоги!$AB$25:$AB$55,$G93)</f>
        <v>0</v>
      </c>
      <c r="AG93" s="170">
        <f ca="1">SUMIFS(Налоги!AG$25:AG$55,Налоги!$F$25:$F$55,$F93,Налоги!$AB$25:$AB$55,$G93)</f>
        <v>0</v>
      </c>
      <c r="AH93" s="170">
        <f t="shared" ca="1" si="7"/>
        <v>0</v>
      </c>
      <c r="AI93" s="170">
        <f ca="1">SUMIFS(Налоги!AH$25:AH$55,Налоги!$F$25:$F$55,$F93,Налоги!$AB$25:$AB$55,$G93)</f>
        <v>0</v>
      </c>
      <c r="AJ93" s="170">
        <f ca="1">SUMIFS(Налоги!AI$25:AI$55,Налоги!$F$25:$F$55,$F93,Налоги!$AB$25:$AB$55,$G93)</f>
        <v>0</v>
      </c>
      <c r="AK93" s="170">
        <f ca="1">SUMIFS(Налоги!AJ$25:AJ$55,Налоги!$F$25:$F$55,$F93,Налоги!$AB$25:$AB$55,$G93)</f>
        <v>0</v>
      </c>
      <c r="AL93" s="170">
        <f ca="1">SUMIFS(Налоги!AK$25:AK$55,Налоги!$F$25:$F$55,$F93,Налоги!$AB$25:$AB$55,$G93)</f>
        <v>0</v>
      </c>
      <c r="AM93" s="170">
        <f ca="1">SUMIFS(Налоги!AL$25:AL$55,Налоги!$F$25:$F$55,$F93,Налоги!$AB$25:$AB$55,$G93)</f>
        <v>0</v>
      </c>
      <c r="AN93" s="170">
        <f ca="1">SUMIFS(Налоги!AM$25:AM$55,Налоги!$F$25:$F$55,$F93,Налоги!$AB$25:$AB$55,$G93)</f>
        <v>0</v>
      </c>
      <c r="AO93" s="170">
        <f ca="1">SUMIFS(Налоги!AN$25:AN$55,Налоги!$F$25:$F$55,$F93,Налоги!$AB$25:$AB$55,$G93)</f>
        <v>0</v>
      </c>
      <c r="AP93" s="170">
        <f ca="1">SUMIFS(Налоги!AO$25:AO$55,Налоги!$F$25:$F$55,$F93,Налоги!$AB$25:$AB$55,$G93)</f>
        <v>0</v>
      </c>
      <c r="AQ93" s="170">
        <f ca="1">SUMIFS(Налоги!AP$25:AP$55,Налоги!$F$25:$F$55,$F93,Налоги!$AB$25:$AB$55,$G93)</f>
        <v>0</v>
      </c>
      <c r="AR93" s="170">
        <f ca="1">SUMIFS(Налоги!AQ$25:AQ$55,Налоги!$F$25:$F$55,$F93,Налоги!$AB$25:$AB$55,$G93)</f>
        <v>0</v>
      </c>
      <c r="AS93" s="170">
        <f ca="1">SUMIFS(Налоги!AR$25:AR$55,Налоги!$F$25:$F$55,$F93,Налоги!$AB$25:$AB$55,$G93)</f>
        <v>0</v>
      </c>
      <c r="AT93" s="170">
        <f ca="1">SUMIFS(Налоги!AS$25:AS$55,Налоги!$F$25:$F$55,$F93,Налоги!$AB$25:$AB$55,$G93)</f>
        <v>0</v>
      </c>
      <c r="AU93" s="170">
        <f ca="1">SUMIFS(Налоги!AT$25:AT$55,Налоги!$F$25:$F$55,$F93,Налоги!$AB$25:$AB$55,$G93)</f>
        <v>0</v>
      </c>
      <c r="AV93" s="170">
        <f ca="1">SUMIFS(Налоги!AU$25:AU$55,Налоги!$F$25:$F$55,$F93,Налоги!$AB$25:$AB$55,$G93)</f>
        <v>0</v>
      </c>
      <c r="AW93" s="170">
        <f ca="1">SUMIFS(Налоги!AV$25:AV$55,Налоги!$F$25:$F$55,$F93,Налоги!$AB$25:$AB$55,$G93)</f>
        <v>0</v>
      </c>
      <c r="AX93" s="170">
        <f ca="1">SUMIFS(Налоги!AW$25:AW$55,Налоги!$F$25:$F$55,$F93,Налоги!$AB$25:$AB$55,$G93)</f>
        <v>0</v>
      </c>
      <c r="AY93" s="170">
        <f ca="1">SUMIFS(Налоги!AX$25:AX$55,Налоги!$F$25:$F$55,$F93,Налоги!$AB$25:$AB$55,$G93)</f>
        <v>0</v>
      </c>
      <c r="AZ93" s="170">
        <f ca="1">SUMIFS(Налоги!AY$25:AY$55,Налоги!$F$25:$F$55,$F93,Налоги!$AB$25:$AB$55,$G93)</f>
        <v>0</v>
      </c>
      <c r="BA93" s="170">
        <f ca="1">SUMIFS(Налоги!AZ$25:AZ$55,Налоги!$F$25:$F$55,$F93,Налоги!$AB$25:$AB$55,$G93)</f>
        <v>0</v>
      </c>
      <c r="BB93" s="170">
        <f ca="1">SUMIFS(Налоги!BA$25:BA$55,Налоги!$F$25:$F$55,$F93,Налоги!$AB$25:$AB$55,$G93)</f>
        <v>0</v>
      </c>
      <c r="BC93" s="170">
        <f ca="1">SUMIFS(Налоги!BB$25:BB$55,Налоги!$F$25:$F$55,$F93,Налоги!$AB$25:$AB$55,$G93)</f>
        <v>0</v>
      </c>
      <c r="BD93" s="170">
        <f t="shared" ca="1" si="9"/>
        <v>0</v>
      </c>
      <c r="BE93" s="170">
        <f t="shared" ca="1" si="10"/>
        <v>0</v>
      </c>
      <c r="BF93" s="170">
        <f t="shared" ca="1" si="11"/>
        <v>0</v>
      </c>
      <c r="BG93" s="170">
        <f t="shared" ca="1" si="12"/>
        <v>0</v>
      </c>
      <c r="BH93" s="170">
        <f t="shared" ca="1" si="13"/>
        <v>0</v>
      </c>
      <c r="BI93" s="170">
        <f t="shared" ca="1" si="14"/>
        <v>0</v>
      </c>
      <c r="BJ93" s="170">
        <f t="shared" ca="1" si="15"/>
        <v>0</v>
      </c>
      <c r="BK93" s="170">
        <f t="shared" ca="1" si="16"/>
        <v>0</v>
      </c>
      <c r="BL93" s="170">
        <f t="shared" ca="1" si="17"/>
        <v>0</v>
      </c>
      <c r="BM93" s="170">
        <f t="shared" ca="1" si="18"/>
        <v>0</v>
      </c>
      <c r="BN93" s="774"/>
      <c r="BO93" s="778" t="str">
        <f ca="1">IF(IFERROR(INDEX(Налоги!$K$26:$L$55,MATCH($F93&amp;"7komm",Налоги!$K$26:$K$55,0),2),"")=0,"",IFERROR(INDEX(Налоги!$K$26:$L$55,MATCH($F93&amp;"7komm",Налоги!$K$26:$K$55,0),2),""))</f>
        <v/>
      </c>
      <c r="BP93" s="774"/>
      <c r="BS93" s="694" t="s">
        <v>2077</v>
      </c>
    </row>
    <row r="94" spans="2:75" ht="14.65" hidden="1" customHeight="1">
      <c r="B94" s="15"/>
      <c r="C94" s="25"/>
      <c r="D94" s="25"/>
      <c r="E94" s="449">
        <v>15</v>
      </c>
      <c r="F94" s="3" cm="1">
        <f t="array" aca="1" ref="F94" ca="1">OFFSET(E94,-1,1)</f>
        <v>0</v>
      </c>
      <c r="G94" s="609">
        <v>6</v>
      </c>
      <c r="H94" s="25"/>
      <c r="I94" s="25" t="s">
        <v>2078</v>
      </c>
      <c r="J94" s="25"/>
      <c r="K94" s="25" t="s">
        <v>2078</v>
      </c>
      <c r="L94" s="25"/>
      <c r="M94" s="25"/>
      <c r="N94" s="25"/>
      <c r="O94" s="25"/>
      <c r="P94" s="25"/>
      <c r="Q94" s="25"/>
      <c r="R94" s="25"/>
      <c r="S94" s="25"/>
      <c r="T94" s="351" t="b" cm="1">
        <f t="array" aca="1" ref="T94" ca="1">T93</f>
        <v>0</v>
      </c>
      <c r="U94" s="25"/>
      <c r="V94" s="25"/>
      <c r="X94" s="1024"/>
      <c r="Z94" s="1008"/>
      <c r="AB94" s="133" t="s">
        <v>1534</v>
      </c>
      <c r="AC94" s="134" t="s">
        <v>2079</v>
      </c>
      <c r="AD94" s="7" t="s">
        <v>859</v>
      </c>
      <c r="AE94" s="170">
        <f ca="1">SUMIFS(Налоги!AE$25:AE$55,Налоги!$F$25:$F$55,$F94,Налоги!$AB$25:$AB$55,$G94)</f>
        <v>0</v>
      </c>
      <c r="AF94" s="170">
        <f ca="1">SUMIFS(Налоги!AF$25:AF$55,Налоги!$F$25:$F$55,$F94,Налоги!$AB$25:$AB$55,$G94)</f>
        <v>0</v>
      </c>
      <c r="AG94" s="170">
        <f ca="1">SUMIFS(Налоги!AG$25:AG$55,Налоги!$F$25:$F$55,$F94,Налоги!$AB$25:$AB$55,$G94)</f>
        <v>0</v>
      </c>
      <c r="AH94" s="170">
        <f t="shared" ca="1" si="7"/>
        <v>0</v>
      </c>
      <c r="AI94" s="170">
        <f ca="1">SUMIFS(Налоги!AH$25:AH$55,Налоги!$F$25:$F$55,$F94,Налоги!$AB$25:$AB$55,$G94)</f>
        <v>0</v>
      </c>
      <c r="AJ94" s="170">
        <f ca="1">SUMIFS(Налоги!AI$25:AI$55,Налоги!$F$25:$F$55,$F94,Налоги!$AB$25:$AB$55,$G94)</f>
        <v>0</v>
      </c>
      <c r="AK94" s="170">
        <f ca="1">SUMIFS(Налоги!AJ$25:AJ$55,Налоги!$F$25:$F$55,$F94,Налоги!$AB$25:$AB$55,$G94)</f>
        <v>0</v>
      </c>
      <c r="AL94" s="170">
        <f ca="1">SUMIFS(Налоги!AK$25:AK$55,Налоги!$F$25:$F$55,$F94,Налоги!$AB$25:$AB$55,$G94)</f>
        <v>0</v>
      </c>
      <c r="AM94" s="170">
        <f ca="1">SUMIFS(Налоги!AL$25:AL$55,Налоги!$F$25:$F$55,$F94,Налоги!$AB$25:$AB$55,$G94)</f>
        <v>0</v>
      </c>
      <c r="AN94" s="170">
        <f ca="1">SUMIFS(Налоги!AM$25:AM$55,Налоги!$F$25:$F$55,$F94,Налоги!$AB$25:$AB$55,$G94)</f>
        <v>0</v>
      </c>
      <c r="AO94" s="170">
        <f ca="1">SUMIFS(Налоги!AN$25:AN$55,Налоги!$F$25:$F$55,$F94,Налоги!$AB$25:$AB$55,$G94)</f>
        <v>0</v>
      </c>
      <c r="AP94" s="170">
        <f ca="1">SUMIFS(Налоги!AO$25:AO$55,Налоги!$F$25:$F$55,$F94,Налоги!$AB$25:$AB$55,$G94)</f>
        <v>0</v>
      </c>
      <c r="AQ94" s="170">
        <f ca="1">SUMIFS(Налоги!AP$25:AP$55,Налоги!$F$25:$F$55,$F94,Налоги!$AB$25:$AB$55,$G94)</f>
        <v>0</v>
      </c>
      <c r="AR94" s="170">
        <f ca="1">SUMIFS(Налоги!AQ$25:AQ$55,Налоги!$F$25:$F$55,$F94,Налоги!$AB$25:$AB$55,$G94)</f>
        <v>0</v>
      </c>
      <c r="AS94" s="170">
        <f ca="1">SUMIFS(Налоги!AR$25:AR$55,Налоги!$F$25:$F$55,$F94,Налоги!$AB$25:$AB$55,$G94)</f>
        <v>0</v>
      </c>
      <c r="AT94" s="170">
        <f ca="1">SUMIFS(Налоги!AS$25:AS$55,Налоги!$F$25:$F$55,$F94,Налоги!$AB$25:$AB$55,$G94)</f>
        <v>0</v>
      </c>
      <c r="AU94" s="170">
        <f ca="1">SUMIFS(Налоги!AT$25:AT$55,Налоги!$F$25:$F$55,$F94,Налоги!$AB$25:$AB$55,$G94)</f>
        <v>0</v>
      </c>
      <c r="AV94" s="170">
        <f ca="1">SUMIFS(Налоги!AU$25:AU$55,Налоги!$F$25:$F$55,$F94,Налоги!$AB$25:$AB$55,$G94)</f>
        <v>0</v>
      </c>
      <c r="AW94" s="170">
        <f ca="1">SUMIFS(Налоги!AV$25:AV$55,Налоги!$F$25:$F$55,$F94,Налоги!$AB$25:$AB$55,$G94)</f>
        <v>0</v>
      </c>
      <c r="AX94" s="170">
        <f ca="1">SUMIFS(Налоги!AW$25:AW$55,Налоги!$F$25:$F$55,$F94,Налоги!$AB$25:$AB$55,$G94)</f>
        <v>0</v>
      </c>
      <c r="AY94" s="170">
        <f ca="1">SUMIFS(Налоги!AX$25:AX$55,Налоги!$F$25:$F$55,$F94,Налоги!$AB$25:$AB$55,$G94)</f>
        <v>0</v>
      </c>
      <c r="AZ94" s="170">
        <f ca="1">SUMIFS(Налоги!AY$25:AY$55,Налоги!$F$25:$F$55,$F94,Налоги!$AB$25:$AB$55,$G94)</f>
        <v>0</v>
      </c>
      <c r="BA94" s="170">
        <f ca="1">SUMIFS(Налоги!AZ$25:AZ$55,Налоги!$F$25:$F$55,$F94,Налоги!$AB$25:$AB$55,$G94)</f>
        <v>0</v>
      </c>
      <c r="BB94" s="170">
        <f ca="1">SUMIFS(Налоги!BA$25:BA$55,Налоги!$F$25:$F$55,$F94,Налоги!$AB$25:$AB$55,$G94)</f>
        <v>0</v>
      </c>
      <c r="BC94" s="170">
        <f ca="1">SUMIFS(Налоги!BB$25:BB$55,Налоги!$F$25:$F$55,$F94,Налоги!$AB$25:$AB$55,$G94)</f>
        <v>0</v>
      </c>
      <c r="BD94" s="170">
        <f t="shared" ca="1" si="9"/>
        <v>0</v>
      </c>
      <c r="BE94" s="170">
        <f t="shared" ca="1" si="10"/>
        <v>0</v>
      </c>
      <c r="BF94" s="170">
        <f t="shared" ca="1" si="11"/>
        <v>0</v>
      </c>
      <c r="BG94" s="170">
        <f t="shared" ca="1" si="12"/>
        <v>0</v>
      </c>
      <c r="BH94" s="170">
        <f t="shared" ca="1" si="13"/>
        <v>0</v>
      </c>
      <c r="BI94" s="170">
        <f t="shared" ca="1" si="14"/>
        <v>0</v>
      </c>
      <c r="BJ94" s="170">
        <f t="shared" ca="1" si="15"/>
        <v>0</v>
      </c>
      <c r="BK94" s="170">
        <f t="shared" ca="1" si="16"/>
        <v>0</v>
      </c>
      <c r="BL94" s="170">
        <f t="shared" ca="1" si="17"/>
        <v>0</v>
      </c>
      <c r="BM94" s="170">
        <f t="shared" ca="1" si="18"/>
        <v>0</v>
      </c>
      <c r="BN94" s="774"/>
      <c r="BO94" s="778" t="str">
        <f ca="1">IF(IFERROR(INDEX(Налоги!$K$26:$L$55,MATCH($F94&amp;"6komm",Налоги!$K$26:$K$55,0),2),"")=0,"",IFERROR(INDEX(Налоги!$K$26:$L$55,MATCH($F94&amp;"6komm",Налоги!$K$26:$K$55,0),2),""))</f>
        <v/>
      </c>
      <c r="BP94" s="774"/>
      <c r="BS94" s="694" t="s">
        <v>2080</v>
      </c>
    </row>
    <row r="95" spans="2:75" ht="14.65" hidden="1" customHeight="1">
      <c r="B95" s="15"/>
      <c r="C95" s="25"/>
      <c r="D95" s="25"/>
      <c r="E95" s="449">
        <v>15</v>
      </c>
      <c r="F95" s="3" cm="1">
        <f t="array" aca="1" ref="F95" ca="1">OFFSET(E95,-1,1)</f>
        <v>0</v>
      </c>
      <c r="G95" s="609">
        <v>2</v>
      </c>
      <c r="H95" s="25"/>
      <c r="I95" s="25" t="s">
        <v>2081</v>
      </c>
      <c r="J95" s="25"/>
      <c r="K95" s="25" t="s">
        <v>2081</v>
      </c>
      <c r="L95" s="25"/>
      <c r="M95" s="25"/>
      <c r="N95" s="25"/>
      <c r="O95" s="25"/>
      <c r="P95" s="25"/>
      <c r="Q95" s="25"/>
      <c r="R95" s="25"/>
      <c r="S95" s="25"/>
      <c r="T95" s="351" t="b" cm="1">
        <f t="array" aca="1" ref="T95" ca="1">T94</f>
        <v>0</v>
      </c>
      <c r="U95" s="25"/>
      <c r="V95" s="25"/>
      <c r="X95" s="1024"/>
      <c r="Z95" s="1008"/>
      <c r="AB95" s="133" t="s">
        <v>1539</v>
      </c>
      <c r="AC95" s="134" t="s">
        <v>2082</v>
      </c>
      <c r="AD95" s="7" t="s">
        <v>859</v>
      </c>
      <c r="AE95" s="170">
        <f ca="1">SUMIFS(Налоги!AE$25:AE$55,Налоги!$F$25:$F$55,$F95,Налоги!$AB$25:$AB$55,$G95)</f>
        <v>0</v>
      </c>
      <c r="AF95" s="170">
        <f ca="1">SUMIFS(Налоги!AF$25:AF$55,Налоги!$F$25:$F$55,$F95,Налоги!$AB$25:$AB$55,$G95)</f>
        <v>0</v>
      </c>
      <c r="AG95" s="170">
        <f ca="1">SUMIFS(Налоги!AG$25:AG$55,Налоги!$F$25:$F$55,$F95,Налоги!$AB$25:$AB$55,$G95)</f>
        <v>0</v>
      </c>
      <c r="AH95" s="170">
        <f t="shared" ca="1" si="7"/>
        <v>0</v>
      </c>
      <c r="AI95" s="170">
        <f ca="1">SUMIFS(Налоги!AH$25:AH$55,Налоги!$F$25:$F$55,$F95,Налоги!$AB$25:$AB$55,$G95)</f>
        <v>0</v>
      </c>
      <c r="AJ95" s="170">
        <f ca="1">SUMIFS(Налоги!AI$25:AI$55,Налоги!$F$25:$F$55,$F95,Налоги!$AB$25:$AB$55,$G95)</f>
        <v>0</v>
      </c>
      <c r="AK95" s="170">
        <f ca="1">SUMIFS(Налоги!AJ$25:AJ$55,Налоги!$F$25:$F$55,$F95,Налоги!$AB$25:$AB$55,$G95)</f>
        <v>0</v>
      </c>
      <c r="AL95" s="170">
        <f ca="1">SUMIFS(Налоги!AK$25:AK$55,Налоги!$F$25:$F$55,$F95,Налоги!$AB$25:$AB$55,$G95)</f>
        <v>0</v>
      </c>
      <c r="AM95" s="170">
        <f ca="1">SUMIFS(Налоги!AL$25:AL$55,Налоги!$F$25:$F$55,$F95,Налоги!$AB$25:$AB$55,$G95)</f>
        <v>0</v>
      </c>
      <c r="AN95" s="170">
        <f ca="1">SUMIFS(Налоги!AM$25:AM$55,Налоги!$F$25:$F$55,$F95,Налоги!$AB$25:$AB$55,$G95)</f>
        <v>0</v>
      </c>
      <c r="AO95" s="170">
        <f ca="1">SUMIFS(Налоги!AN$25:AN$55,Налоги!$F$25:$F$55,$F95,Налоги!$AB$25:$AB$55,$G95)</f>
        <v>0</v>
      </c>
      <c r="AP95" s="170">
        <f ca="1">SUMIFS(Налоги!AO$25:AO$55,Налоги!$F$25:$F$55,$F95,Налоги!$AB$25:$AB$55,$G95)</f>
        <v>0</v>
      </c>
      <c r="AQ95" s="170">
        <f ca="1">SUMIFS(Налоги!AP$25:AP$55,Налоги!$F$25:$F$55,$F95,Налоги!$AB$25:$AB$55,$G95)</f>
        <v>0</v>
      </c>
      <c r="AR95" s="170">
        <f ca="1">SUMIFS(Налоги!AQ$25:AQ$55,Налоги!$F$25:$F$55,$F95,Налоги!$AB$25:$AB$55,$G95)</f>
        <v>0</v>
      </c>
      <c r="AS95" s="170">
        <f ca="1">SUMIFS(Налоги!AR$25:AR$55,Налоги!$F$25:$F$55,$F95,Налоги!$AB$25:$AB$55,$G95)</f>
        <v>0</v>
      </c>
      <c r="AT95" s="170">
        <f ca="1">SUMIFS(Налоги!AS$25:AS$55,Налоги!$F$25:$F$55,$F95,Налоги!$AB$25:$AB$55,$G95)</f>
        <v>0</v>
      </c>
      <c r="AU95" s="170">
        <f ca="1">SUMIFS(Налоги!AT$25:AT$55,Налоги!$F$25:$F$55,$F95,Налоги!$AB$25:$AB$55,$G95)</f>
        <v>0</v>
      </c>
      <c r="AV95" s="170">
        <f ca="1">SUMIFS(Налоги!AU$25:AU$55,Налоги!$F$25:$F$55,$F95,Налоги!$AB$25:$AB$55,$G95)</f>
        <v>0</v>
      </c>
      <c r="AW95" s="170">
        <f ca="1">SUMIFS(Налоги!AV$25:AV$55,Налоги!$F$25:$F$55,$F95,Налоги!$AB$25:$AB$55,$G95)</f>
        <v>0</v>
      </c>
      <c r="AX95" s="170">
        <f ca="1">SUMIFS(Налоги!AW$25:AW$55,Налоги!$F$25:$F$55,$F95,Налоги!$AB$25:$AB$55,$G95)</f>
        <v>0</v>
      </c>
      <c r="AY95" s="170">
        <f ca="1">SUMIFS(Налоги!AX$25:AX$55,Налоги!$F$25:$F$55,$F95,Налоги!$AB$25:$AB$55,$G95)</f>
        <v>0</v>
      </c>
      <c r="AZ95" s="170">
        <f ca="1">SUMIFS(Налоги!AY$25:AY$55,Налоги!$F$25:$F$55,$F95,Налоги!$AB$25:$AB$55,$G95)</f>
        <v>0</v>
      </c>
      <c r="BA95" s="170">
        <f ca="1">SUMIFS(Налоги!AZ$25:AZ$55,Налоги!$F$25:$F$55,$F95,Налоги!$AB$25:$AB$55,$G95)</f>
        <v>0</v>
      </c>
      <c r="BB95" s="170">
        <f ca="1">SUMIFS(Налоги!BA$25:BA$55,Налоги!$F$25:$F$55,$F95,Налоги!$AB$25:$AB$55,$G95)</f>
        <v>0</v>
      </c>
      <c r="BC95" s="170">
        <f ca="1">SUMIFS(Налоги!BB$25:BB$55,Налоги!$F$25:$F$55,$F95,Налоги!$AB$25:$AB$55,$G95)</f>
        <v>0</v>
      </c>
      <c r="BD95" s="170">
        <f t="shared" ca="1" si="9"/>
        <v>0</v>
      </c>
      <c r="BE95" s="170">
        <f t="shared" ca="1" si="10"/>
        <v>0</v>
      </c>
      <c r="BF95" s="170">
        <f t="shared" ca="1" si="11"/>
        <v>0</v>
      </c>
      <c r="BG95" s="170">
        <f t="shared" ca="1" si="12"/>
        <v>0</v>
      </c>
      <c r="BH95" s="170">
        <f t="shared" ca="1" si="13"/>
        <v>0</v>
      </c>
      <c r="BI95" s="170">
        <f t="shared" ca="1" si="14"/>
        <v>0</v>
      </c>
      <c r="BJ95" s="170">
        <f t="shared" ca="1" si="15"/>
        <v>0</v>
      </c>
      <c r="BK95" s="170">
        <f t="shared" ca="1" si="16"/>
        <v>0</v>
      </c>
      <c r="BL95" s="170">
        <f t="shared" ca="1" si="17"/>
        <v>0</v>
      </c>
      <c r="BM95" s="170">
        <f t="shared" ca="1" si="18"/>
        <v>0</v>
      </c>
      <c r="BN95" s="774"/>
      <c r="BO95" s="778" t="str">
        <f ca="1">IF(IFERROR(INDEX(Налоги!$K$26:$L$55,MATCH($F95&amp;"2komm",Налоги!$K$26:$K$55,0),2),"")=0,"",IFERROR(INDEX(Налоги!$K$26:$L$55,MATCH($F95&amp;"2komm",Налоги!$K$26:$K$55,0),2),""))</f>
        <v/>
      </c>
      <c r="BP95" s="774"/>
      <c r="BS95" s="694" t="s">
        <v>2083</v>
      </c>
    </row>
    <row r="96" spans="2:75" ht="14.65" hidden="1" customHeight="1">
      <c r="B96" s="15"/>
      <c r="C96" s="25"/>
      <c r="D96" s="25"/>
      <c r="E96" s="449">
        <v>15</v>
      </c>
      <c r="F96" s="3" cm="1">
        <f t="array" aca="1" ref="F96" ca="1">OFFSET(E96,-1,1)</f>
        <v>0</v>
      </c>
      <c r="G96" s="609">
        <v>4</v>
      </c>
      <c r="H96" s="25"/>
      <c r="I96" s="25" t="s">
        <v>2084</v>
      </c>
      <c r="J96" s="25"/>
      <c r="K96" s="25" t="s">
        <v>2084</v>
      </c>
      <c r="L96" s="25"/>
      <c r="M96" s="25"/>
      <c r="N96" s="25"/>
      <c r="O96" s="25"/>
      <c r="P96" s="25"/>
      <c r="Q96" s="25"/>
      <c r="R96" s="25"/>
      <c r="S96" s="25"/>
      <c r="T96" s="351" t="b" cm="1">
        <f t="array" aca="1" ref="T96" ca="1">T95</f>
        <v>0</v>
      </c>
      <c r="U96" s="25"/>
      <c r="V96" s="25"/>
      <c r="X96" s="1024"/>
      <c r="Z96" s="1008"/>
      <c r="AB96" s="133" t="s">
        <v>2085</v>
      </c>
      <c r="AC96" s="134" t="s">
        <v>2086</v>
      </c>
      <c r="AD96" s="7" t="s">
        <v>859</v>
      </c>
      <c r="AE96" s="170">
        <f ca="1">SUMIFS(Налоги!AE$25:AE$55,Налоги!$F$25:$F$55,$F96,Налоги!$AB$25:$AB$55,$G96)</f>
        <v>0</v>
      </c>
      <c r="AF96" s="170">
        <f ca="1">SUMIFS(Налоги!AF$25:AF$55,Налоги!$F$25:$F$55,$F96,Налоги!$AB$25:$AB$55,$G96)</f>
        <v>0</v>
      </c>
      <c r="AG96" s="170">
        <f ca="1">SUMIFS(Налоги!AG$25:AG$55,Налоги!$F$25:$F$55,$F96,Налоги!$AB$25:$AB$55,$G96)</f>
        <v>0</v>
      </c>
      <c r="AH96" s="170">
        <f t="shared" ca="1" si="7"/>
        <v>0</v>
      </c>
      <c r="AI96" s="170">
        <f ca="1">SUMIFS(Налоги!AH$25:AH$55,Налоги!$F$25:$F$55,$F96,Налоги!$AB$25:$AB$55,$G96)</f>
        <v>0</v>
      </c>
      <c r="AJ96" s="170">
        <f ca="1">SUMIFS(Налоги!AI$25:AI$55,Налоги!$F$25:$F$55,$F96,Налоги!$AB$25:$AB$55,$G96)</f>
        <v>0</v>
      </c>
      <c r="AK96" s="170">
        <f ca="1">SUMIFS(Налоги!AJ$25:AJ$55,Налоги!$F$25:$F$55,$F96,Налоги!$AB$25:$AB$55,$G96)</f>
        <v>0</v>
      </c>
      <c r="AL96" s="170">
        <f ca="1">SUMIFS(Налоги!AK$25:AK$55,Налоги!$F$25:$F$55,$F96,Налоги!$AB$25:$AB$55,$G96)</f>
        <v>0</v>
      </c>
      <c r="AM96" s="170">
        <f ca="1">SUMIFS(Налоги!AL$25:AL$55,Налоги!$F$25:$F$55,$F96,Налоги!$AB$25:$AB$55,$G96)</f>
        <v>0</v>
      </c>
      <c r="AN96" s="170">
        <f ca="1">SUMIFS(Налоги!AM$25:AM$55,Налоги!$F$25:$F$55,$F96,Налоги!$AB$25:$AB$55,$G96)</f>
        <v>0</v>
      </c>
      <c r="AO96" s="170">
        <f ca="1">SUMIFS(Налоги!AN$25:AN$55,Налоги!$F$25:$F$55,$F96,Налоги!$AB$25:$AB$55,$G96)</f>
        <v>0</v>
      </c>
      <c r="AP96" s="170">
        <f ca="1">SUMIFS(Налоги!AO$25:AO$55,Налоги!$F$25:$F$55,$F96,Налоги!$AB$25:$AB$55,$G96)</f>
        <v>0</v>
      </c>
      <c r="AQ96" s="170">
        <f ca="1">SUMIFS(Налоги!AP$25:AP$55,Налоги!$F$25:$F$55,$F96,Налоги!$AB$25:$AB$55,$G96)</f>
        <v>0</v>
      </c>
      <c r="AR96" s="170">
        <f ca="1">SUMIFS(Налоги!AQ$25:AQ$55,Налоги!$F$25:$F$55,$F96,Налоги!$AB$25:$AB$55,$G96)</f>
        <v>0</v>
      </c>
      <c r="AS96" s="170">
        <f ca="1">SUMIFS(Налоги!AR$25:AR$55,Налоги!$F$25:$F$55,$F96,Налоги!$AB$25:$AB$55,$G96)</f>
        <v>0</v>
      </c>
      <c r="AT96" s="170">
        <f ca="1">SUMIFS(Налоги!AS$25:AS$55,Налоги!$F$25:$F$55,$F96,Налоги!$AB$25:$AB$55,$G96)</f>
        <v>0</v>
      </c>
      <c r="AU96" s="170">
        <f ca="1">SUMIFS(Налоги!AT$25:AT$55,Налоги!$F$25:$F$55,$F96,Налоги!$AB$25:$AB$55,$G96)</f>
        <v>0</v>
      </c>
      <c r="AV96" s="170">
        <f ca="1">SUMIFS(Налоги!AU$25:AU$55,Налоги!$F$25:$F$55,$F96,Налоги!$AB$25:$AB$55,$G96)</f>
        <v>0</v>
      </c>
      <c r="AW96" s="170">
        <f ca="1">SUMIFS(Налоги!AV$25:AV$55,Налоги!$F$25:$F$55,$F96,Налоги!$AB$25:$AB$55,$G96)</f>
        <v>0</v>
      </c>
      <c r="AX96" s="170">
        <f ca="1">SUMIFS(Налоги!AW$25:AW$55,Налоги!$F$25:$F$55,$F96,Налоги!$AB$25:$AB$55,$G96)</f>
        <v>0</v>
      </c>
      <c r="AY96" s="170">
        <f ca="1">SUMIFS(Налоги!AX$25:AX$55,Налоги!$F$25:$F$55,$F96,Налоги!$AB$25:$AB$55,$G96)</f>
        <v>0</v>
      </c>
      <c r="AZ96" s="170">
        <f ca="1">SUMIFS(Налоги!AY$25:AY$55,Налоги!$F$25:$F$55,$F96,Налоги!$AB$25:$AB$55,$G96)</f>
        <v>0</v>
      </c>
      <c r="BA96" s="170">
        <f ca="1">SUMIFS(Налоги!AZ$25:AZ$55,Налоги!$F$25:$F$55,$F96,Налоги!$AB$25:$AB$55,$G96)</f>
        <v>0</v>
      </c>
      <c r="BB96" s="170">
        <f ca="1">SUMIFS(Налоги!BA$25:BA$55,Налоги!$F$25:$F$55,$F96,Налоги!$AB$25:$AB$55,$G96)</f>
        <v>0</v>
      </c>
      <c r="BC96" s="170">
        <f ca="1">SUMIFS(Налоги!BB$25:BB$55,Налоги!$F$25:$F$55,$F96,Налоги!$AB$25:$AB$55,$G96)</f>
        <v>0</v>
      </c>
      <c r="BD96" s="170">
        <f t="shared" ca="1" si="9"/>
        <v>0</v>
      </c>
      <c r="BE96" s="170">
        <f t="shared" ca="1" si="10"/>
        <v>0</v>
      </c>
      <c r="BF96" s="170">
        <f t="shared" ca="1" si="11"/>
        <v>0</v>
      </c>
      <c r="BG96" s="170">
        <f t="shared" ca="1" si="12"/>
        <v>0</v>
      </c>
      <c r="BH96" s="170">
        <f t="shared" ca="1" si="13"/>
        <v>0</v>
      </c>
      <c r="BI96" s="170">
        <f t="shared" ca="1" si="14"/>
        <v>0</v>
      </c>
      <c r="BJ96" s="170">
        <f t="shared" ca="1" si="15"/>
        <v>0</v>
      </c>
      <c r="BK96" s="170">
        <f t="shared" ca="1" si="16"/>
        <v>0</v>
      </c>
      <c r="BL96" s="170">
        <f t="shared" ca="1" si="17"/>
        <v>0</v>
      </c>
      <c r="BM96" s="170">
        <f t="shared" ca="1" si="18"/>
        <v>0</v>
      </c>
      <c r="BN96" s="774"/>
      <c r="BO96" s="778" t="str">
        <f ca="1">IF(IFERROR(INDEX(Налоги!$K$26:$L$55,MATCH($F96&amp;"4komm",Налоги!$K$26:$K$55,0),2),"")=0,"",IFERROR(INDEX(Налоги!$K$26:$L$55,MATCH($F96&amp;"4komm",Налоги!$K$26:$K$55,0),2),""))</f>
        <v/>
      </c>
      <c r="BP96" s="774"/>
      <c r="BS96" s="694" t="s">
        <v>2087</v>
      </c>
    </row>
    <row r="97" spans="2:75" ht="14.65" hidden="1" customHeight="1">
      <c r="B97" s="15"/>
      <c r="C97" s="25"/>
      <c r="D97" s="25"/>
      <c r="E97" s="449">
        <v>15</v>
      </c>
      <c r="F97" s="3" cm="1">
        <f t="array" aca="1" ref="F97" ca="1">OFFSET(E97,-1,1)</f>
        <v>0</v>
      </c>
      <c r="G97" s="609">
        <v>5</v>
      </c>
      <c r="H97" s="25"/>
      <c r="I97" s="25" t="s">
        <v>2088</v>
      </c>
      <c r="J97" s="25"/>
      <c r="K97" s="25" t="s">
        <v>2088</v>
      </c>
      <c r="L97" s="25"/>
      <c r="M97" s="25"/>
      <c r="N97" s="25"/>
      <c r="O97" s="25"/>
      <c r="P97" s="25"/>
      <c r="Q97" s="25"/>
      <c r="R97" s="25"/>
      <c r="S97" s="25"/>
      <c r="T97" s="351" t="b" cm="1">
        <f t="array" aca="1" ref="T97" ca="1">T96</f>
        <v>0</v>
      </c>
      <c r="U97" s="25"/>
      <c r="V97" s="25"/>
      <c r="X97" s="1024"/>
      <c r="Z97" s="1008"/>
      <c r="AB97" s="133" t="s">
        <v>2089</v>
      </c>
      <c r="AC97" s="134" t="s">
        <v>2090</v>
      </c>
      <c r="AD97" s="7" t="s">
        <v>859</v>
      </c>
      <c r="AE97" s="170">
        <f ca="1">SUMIFS(Налоги!AE$25:AE$55,Налоги!$F$25:$F$55,$F97,Налоги!$AB$25:$AB$55,$G97)</f>
        <v>0</v>
      </c>
      <c r="AF97" s="170">
        <f ca="1">SUMIFS(Налоги!AF$25:AF$55,Налоги!$F$25:$F$55,$F97,Налоги!$AB$25:$AB$55,$G97)</f>
        <v>0</v>
      </c>
      <c r="AG97" s="170">
        <f ca="1">SUMIFS(Налоги!AG$25:AG$55,Налоги!$F$25:$F$55,$F97,Налоги!$AB$25:$AB$55,$G97)</f>
        <v>0</v>
      </c>
      <c r="AH97" s="170">
        <f t="shared" ca="1" si="7"/>
        <v>0</v>
      </c>
      <c r="AI97" s="170">
        <f ca="1">SUMIFS(Налоги!AH$25:AH$55,Налоги!$F$25:$F$55,$F97,Налоги!$AB$25:$AB$55,$G97)</f>
        <v>0</v>
      </c>
      <c r="AJ97" s="170">
        <f ca="1">SUMIFS(Налоги!AI$25:AI$55,Налоги!$F$25:$F$55,$F97,Налоги!$AB$25:$AB$55,$G97)</f>
        <v>0</v>
      </c>
      <c r="AK97" s="170">
        <f ca="1">SUMIFS(Налоги!AJ$25:AJ$55,Налоги!$F$25:$F$55,$F97,Налоги!$AB$25:$AB$55,$G97)</f>
        <v>0</v>
      </c>
      <c r="AL97" s="170">
        <f ca="1">SUMIFS(Налоги!AK$25:AK$55,Налоги!$F$25:$F$55,$F97,Налоги!$AB$25:$AB$55,$G97)</f>
        <v>0</v>
      </c>
      <c r="AM97" s="170">
        <f ca="1">SUMIFS(Налоги!AL$25:AL$55,Налоги!$F$25:$F$55,$F97,Налоги!$AB$25:$AB$55,$G97)</f>
        <v>0</v>
      </c>
      <c r="AN97" s="170">
        <f ca="1">SUMIFS(Налоги!AM$25:AM$55,Налоги!$F$25:$F$55,$F97,Налоги!$AB$25:$AB$55,$G97)</f>
        <v>0</v>
      </c>
      <c r="AO97" s="170">
        <f ca="1">SUMIFS(Налоги!AN$25:AN$55,Налоги!$F$25:$F$55,$F97,Налоги!$AB$25:$AB$55,$G97)</f>
        <v>0</v>
      </c>
      <c r="AP97" s="170">
        <f ca="1">SUMIFS(Налоги!AO$25:AO$55,Налоги!$F$25:$F$55,$F97,Налоги!$AB$25:$AB$55,$G97)</f>
        <v>0</v>
      </c>
      <c r="AQ97" s="170">
        <f ca="1">SUMIFS(Налоги!AP$25:AP$55,Налоги!$F$25:$F$55,$F97,Налоги!$AB$25:$AB$55,$G97)</f>
        <v>0</v>
      </c>
      <c r="AR97" s="170">
        <f ca="1">SUMIFS(Налоги!AQ$25:AQ$55,Налоги!$F$25:$F$55,$F97,Налоги!$AB$25:$AB$55,$G97)</f>
        <v>0</v>
      </c>
      <c r="AS97" s="170">
        <f ca="1">SUMIFS(Налоги!AR$25:AR$55,Налоги!$F$25:$F$55,$F97,Налоги!$AB$25:$AB$55,$G97)</f>
        <v>0</v>
      </c>
      <c r="AT97" s="170">
        <f ca="1">SUMIFS(Налоги!AS$25:AS$55,Налоги!$F$25:$F$55,$F97,Налоги!$AB$25:$AB$55,$G97)</f>
        <v>0</v>
      </c>
      <c r="AU97" s="170">
        <f ca="1">SUMIFS(Налоги!AT$25:AT$55,Налоги!$F$25:$F$55,$F97,Налоги!$AB$25:$AB$55,$G97)</f>
        <v>0</v>
      </c>
      <c r="AV97" s="170">
        <f ca="1">SUMIFS(Налоги!AU$25:AU$55,Налоги!$F$25:$F$55,$F97,Налоги!$AB$25:$AB$55,$G97)</f>
        <v>0</v>
      </c>
      <c r="AW97" s="170">
        <f ca="1">SUMIFS(Налоги!AV$25:AV$55,Налоги!$F$25:$F$55,$F97,Налоги!$AB$25:$AB$55,$G97)</f>
        <v>0</v>
      </c>
      <c r="AX97" s="170">
        <f ca="1">SUMIFS(Налоги!AW$25:AW$55,Налоги!$F$25:$F$55,$F97,Налоги!$AB$25:$AB$55,$G97)</f>
        <v>0</v>
      </c>
      <c r="AY97" s="170">
        <f ca="1">SUMIFS(Налоги!AX$25:AX$55,Налоги!$F$25:$F$55,$F97,Налоги!$AB$25:$AB$55,$G97)</f>
        <v>0</v>
      </c>
      <c r="AZ97" s="170">
        <f ca="1">SUMIFS(Налоги!AY$25:AY$55,Налоги!$F$25:$F$55,$F97,Налоги!$AB$25:$AB$55,$G97)</f>
        <v>0</v>
      </c>
      <c r="BA97" s="170">
        <f ca="1">SUMIFS(Налоги!AZ$25:AZ$55,Налоги!$F$25:$F$55,$F97,Налоги!$AB$25:$AB$55,$G97)</f>
        <v>0</v>
      </c>
      <c r="BB97" s="170">
        <f ca="1">SUMIFS(Налоги!BA$25:BA$55,Налоги!$F$25:$F$55,$F97,Налоги!$AB$25:$AB$55,$G97)</f>
        <v>0</v>
      </c>
      <c r="BC97" s="170">
        <f ca="1">SUMIFS(Налоги!BB$25:BB$55,Налоги!$F$25:$F$55,$F97,Налоги!$AB$25:$AB$55,$G97)</f>
        <v>0</v>
      </c>
      <c r="BD97" s="170">
        <f t="shared" ca="1" si="9"/>
        <v>0</v>
      </c>
      <c r="BE97" s="170">
        <f t="shared" ca="1" si="10"/>
        <v>0</v>
      </c>
      <c r="BF97" s="170">
        <f t="shared" ca="1" si="11"/>
        <v>0</v>
      </c>
      <c r="BG97" s="170">
        <f t="shared" ca="1" si="12"/>
        <v>0</v>
      </c>
      <c r="BH97" s="170">
        <f t="shared" ca="1" si="13"/>
        <v>0</v>
      </c>
      <c r="BI97" s="170">
        <f t="shared" ca="1" si="14"/>
        <v>0</v>
      </c>
      <c r="BJ97" s="170">
        <f t="shared" ca="1" si="15"/>
        <v>0</v>
      </c>
      <c r="BK97" s="170">
        <f t="shared" ca="1" si="16"/>
        <v>0</v>
      </c>
      <c r="BL97" s="170">
        <f t="shared" ca="1" si="17"/>
        <v>0</v>
      </c>
      <c r="BM97" s="170">
        <f t="shared" ca="1" si="18"/>
        <v>0</v>
      </c>
      <c r="BN97" s="774"/>
      <c r="BO97" s="778" t="str">
        <f ca="1">IF(IFERROR(INDEX(Налоги!$K$26:$L$55,MATCH($F97&amp;"5komm",Налоги!$K$26:$K$55,0),2),"")=0,"",IFERROR(INDEX(Налоги!$K$26:$L$55,MATCH($F97&amp;"5komm",Налоги!$K$26:$K$55,0),2),""))</f>
        <v/>
      </c>
      <c r="BP97" s="774"/>
      <c r="BS97" s="694" t="s">
        <v>2091</v>
      </c>
    </row>
    <row r="98" spans="2:75" ht="14.65" hidden="1" customHeight="1">
      <c r="B98" s="15"/>
      <c r="C98" s="25"/>
      <c r="D98" s="25"/>
      <c r="E98" s="449">
        <v>15</v>
      </c>
      <c r="F98" s="3" cm="1">
        <f t="array" aca="1" ref="F98" ca="1">OFFSET(E98,-1,1)</f>
        <v>0</v>
      </c>
      <c r="G98" s="609">
        <v>1</v>
      </c>
      <c r="H98" s="25"/>
      <c r="I98" s="25" t="s">
        <v>2092</v>
      </c>
      <c r="J98" s="25"/>
      <c r="K98" s="25" t="s">
        <v>2092</v>
      </c>
      <c r="L98" s="25"/>
      <c r="M98" s="25"/>
      <c r="N98" s="25"/>
      <c r="O98" s="25"/>
      <c r="P98" s="25"/>
      <c r="Q98" s="25"/>
      <c r="R98" s="25"/>
      <c r="S98" s="25"/>
      <c r="T98" s="351" t="b" cm="1">
        <f t="array" aca="1" ref="T98" ca="1">T97</f>
        <v>0</v>
      </c>
      <c r="U98" s="25"/>
      <c r="V98" s="25"/>
      <c r="X98" s="1024"/>
      <c r="Z98" s="1008"/>
      <c r="AB98" s="133" t="s">
        <v>2093</v>
      </c>
      <c r="AC98" s="134" t="s">
        <v>2094</v>
      </c>
      <c r="AD98" s="7" t="s">
        <v>859</v>
      </c>
      <c r="AE98" s="170">
        <f ca="1">SUMIFS(Налоги!AE$25:AE$55,Налоги!$F$25:$F$55,$F98,Налоги!$AB$25:$AB$55,$G98)</f>
        <v>0</v>
      </c>
      <c r="AF98" s="170">
        <f ca="1">SUMIFS(Налоги!AF$25:AF$55,Налоги!$F$25:$F$55,$F98,Налоги!$AB$25:$AB$55,$G98)</f>
        <v>0</v>
      </c>
      <c r="AG98" s="170">
        <f ca="1">SUMIFS(Налоги!AG$25:AG$55,Налоги!$F$25:$F$55,$F98,Налоги!$AB$25:$AB$55,$G98)</f>
        <v>0</v>
      </c>
      <c r="AH98" s="170">
        <f t="shared" ca="1" si="7"/>
        <v>0</v>
      </c>
      <c r="AI98" s="170">
        <f ca="1">SUMIFS(Налоги!AH$25:AH$55,Налоги!$F$25:$F$55,$F98,Налоги!$AB$25:$AB$55,$G98)</f>
        <v>0</v>
      </c>
      <c r="AJ98" s="170">
        <f ca="1">SUMIFS(Налоги!AI$25:AI$55,Налоги!$F$25:$F$55,$F98,Налоги!$AB$25:$AB$55,$G98)</f>
        <v>0</v>
      </c>
      <c r="AK98" s="170">
        <f ca="1">SUMIFS(Налоги!AJ$25:AJ$55,Налоги!$F$25:$F$55,$F98,Налоги!$AB$25:$AB$55,$G98)</f>
        <v>0</v>
      </c>
      <c r="AL98" s="170">
        <f ca="1">SUMIFS(Налоги!AK$25:AK$55,Налоги!$F$25:$F$55,$F98,Налоги!$AB$25:$AB$55,$G98)</f>
        <v>0</v>
      </c>
      <c r="AM98" s="170">
        <f ca="1">SUMIFS(Налоги!AL$25:AL$55,Налоги!$F$25:$F$55,$F98,Налоги!$AB$25:$AB$55,$G98)</f>
        <v>0</v>
      </c>
      <c r="AN98" s="170">
        <f ca="1">SUMIFS(Налоги!AM$25:AM$55,Налоги!$F$25:$F$55,$F98,Налоги!$AB$25:$AB$55,$G98)</f>
        <v>0</v>
      </c>
      <c r="AO98" s="170">
        <f ca="1">SUMIFS(Налоги!AN$25:AN$55,Налоги!$F$25:$F$55,$F98,Налоги!$AB$25:$AB$55,$G98)</f>
        <v>0</v>
      </c>
      <c r="AP98" s="170">
        <f ca="1">SUMIFS(Налоги!AO$25:AO$55,Налоги!$F$25:$F$55,$F98,Налоги!$AB$25:$AB$55,$G98)</f>
        <v>0</v>
      </c>
      <c r="AQ98" s="170">
        <f ca="1">SUMIFS(Налоги!AP$25:AP$55,Налоги!$F$25:$F$55,$F98,Налоги!$AB$25:$AB$55,$G98)</f>
        <v>0</v>
      </c>
      <c r="AR98" s="170">
        <f ca="1">SUMIFS(Налоги!AQ$25:AQ$55,Налоги!$F$25:$F$55,$F98,Налоги!$AB$25:$AB$55,$G98)</f>
        <v>0</v>
      </c>
      <c r="AS98" s="170">
        <f ca="1">SUMIFS(Налоги!AR$25:AR$55,Налоги!$F$25:$F$55,$F98,Налоги!$AB$25:$AB$55,$G98)</f>
        <v>0</v>
      </c>
      <c r="AT98" s="170">
        <f ca="1">SUMIFS(Налоги!AS$25:AS$55,Налоги!$F$25:$F$55,$F98,Налоги!$AB$25:$AB$55,$G98)</f>
        <v>0</v>
      </c>
      <c r="AU98" s="170">
        <f ca="1">SUMIFS(Налоги!AT$25:AT$55,Налоги!$F$25:$F$55,$F98,Налоги!$AB$25:$AB$55,$G98)</f>
        <v>0</v>
      </c>
      <c r="AV98" s="170">
        <f ca="1">SUMIFS(Налоги!AU$25:AU$55,Налоги!$F$25:$F$55,$F98,Налоги!$AB$25:$AB$55,$G98)</f>
        <v>0</v>
      </c>
      <c r="AW98" s="170">
        <f ca="1">SUMIFS(Налоги!AV$25:AV$55,Налоги!$F$25:$F$55,$F98,Налоги!$AB$25:$AB$55,$G98)</f>
        <v>0</v>
      </c>
      <c r="AX98" s="170">
        <f ca="1">SUMIFS(Налоги!AW$25:AW$55,Налоги!$F$25:$F$55,$F98,Налоги!$AB$25:$AB$55,$G98)</f>
        <v>0</v>
      </c>
      <c r="AY98" s="170">
        <f ca="1">SUMIFS(Налоги!AX$25:AX$55,Налоги!$F$25:$F$55,$F98,Налоги!$AB$25:$AB$55,$G98)</f>
        <v>0</v>
      </c>
      <c r="AZ98" s="170">
        <f ca="1">SUMIFS(Налоги!AY$25:AY$55,Налоги!$F$25:$F$55,$F98,Налоги!$AB$25:$AB$55,$G98)</f>
        <v>0</v>
      </c>
      <c r="BA98" s="170">
        <f ca="1">SUMIFS(Налоги!AZ$25:AZ$55,Налоги!$F$25:$F$55,$F98,Налоги!$AB$25:$AB$55,$G98)</f>
        <v>0</v>
      </c>
      <c r="BB98" s="170">
        <f ca="1">SUMIFS(Налоги!BA$25:BA$55,Налоги!$F$25:$F$55,$F98,Налоги!$AB$25:$AB$55,$G98)</f>
        <v>0</v>
      </c>
      <c r="BC98" s="170">
        <f ca="1">SUMIFS(Налоги!BB$25:BB$55,Налоги!$F$25:$F$55,$F98,Налоги!$AB$25:$AB$55,$G98)</f>
        <v>0</v>
      </c>
      <c r="BD98" s="170">
        <f t="shared" ca="1" si="9"/>
        <v>0</v>
      </c>
      <c r="BE98" s="170">
        <f t="shared" ca="1" si="10"/>
        <v>0</v>
      </c>
      <c r="BF98" s="170">
        <f t="shared" ca="1" si="11"/>
        <v>0</v>
      </c>
      <c r="BG98" s="170">
        <f t="shared" ca="1" si="12"/>
        <v>0</v>
      </c>
      <c r="BH98" s="170">
        <f t="shared" ca="1" si="13"/>
        <v>0</v>
      </c>
      <c r="BI98" s="170">
        <f t="shared" ca="1" si="14"/>
        <v>0</v>
      </c>
      <c r="BJ98" s="170">
        <f t="shared" ca="1" si="15"/>
        <v>0</v>
      </c>
      <c r="BK98" s="170">
        <f t="shared" ca="1" si="16"/>
        <v>0</v>
      </c>
      <c r="BL98" s="170">
        <f t="shared" ca="1" si="17"/>
        <v>0</v>
      </c>
      <c r="BM98" s="170">
        <f t="shared" ca="1" si="18"/>
        <v>0</v>
      </c>
      <c r="BN98" s="774"/>
      <c r="BO98" s="778" t="str">
        <f ca="1">IF(IFERROR(INDEX(Налоги!$K$26:$L$55,MATCH($F98&amp;"1komm",Налоги!$K$26:$K$55,0),2),"")=0,"",IFERROR(INDEX(Налоги!$K$26:$L$55,MATCH($F98&amp;"1komm",Налоги!$K$26:$K$55,0),2),""))</f>
        <v/>
      </c>
      <c r="BP98" s="774"/>
      <c r="BS98" s="694" t="s">
        <v>2095</v>
      </c>
    </row>
    <row r="99" spans="2:75" ht="14.65" hidden="1" customHeight="1">
      <c r="B99" s="15"/>
      <c r="C99" s="25"/>
      <c r="D99" s="25"/>
      <c r="E99" s="449">
        <v>15</v>
      </c>
      <c r="F99" s="3" cm="1">
        <f t="array" aca="1" ref="F99" ca="1">OFFSET(E99,-1,1)</f>
        <v>0</v>
      </c>
      <c r="G99" s="609">
        <v>3</v>
      </c>
      <c r="H99" s="25"/>
      <c r="I99" s="25" t="s">
        <v>2096</v>
      </c>
      <c r="J99" s="25"/>
      <c r="K99" s="25" t="s">
        <v>2096</v>
      </c>
      <c r="L99" s="25"/>
      <c r="M99" s="25"/>
      <c r="N99" s="25"/>
      <c r="O99" s="25"/>
      <c r="P99" s="25"/>
      <c r="Q99" s="25"/>
      <c r="R99" s="25"/>
      <c r="S99" s="25"/>
      <c r="T99" s="351" t="b" cm="1">
        <f t="array" aca="1" ref="T99" ca="1">T98</f>
        <v>0</v>
      </c>
      <c r="U99" s="25"/>
      <c r="V99" s="25"/>
      <c r="X99" s="1024"/>
      <c r="Z99" s="1008"/>
      <c r="AB99" s="133" t="s">
        <v>2097</v>
      </c>
      <c r="AC99" s="134" t="s">
        <v>2098</v>
      </c>
      <c r="AD99" s="7" t="s">
        <v>859</v>
      </c>
      <c r="AE99" s="777">
        <f ca="1">SUMIFS(Налоги!AE$25:AE$55,Налоги!$F$25:$F$55,$F99,Налоги!$AB$25:$AB$55,$G99)</f>
        <v>0</v>
      </c>
      <c r="AF99" s="777">
        <f ca="1">SUMIFS(Налоги!AF$25:AF$55,Налоги!$F$25:$F$55,$F99,Налоги!$AB$25:$AB$55,$G99)</f>
        <v>0</v>
      </c>
      <c r="AG99" s="777">
        <f ca="1">SUMIFS(Налоги!AG$25:AG$55,Налоги!$F$25:$F$55,$F99,Налоги!$AB$25:$AB$55,$G99)</f>
        <v>0</v>
      </c>
      <c r="AH99" s="170">
        <f t="shared" ca="1" si="7"/>
        <v>0</v>
      </c>
      <c r="AI99" s="777">
        <f ca="1">SUMIFS(Налоги!AH$25:AH$55,Налоги!$F$25:$F$55,$F99,Налоги!$AB$25:$AB$55,$G99)</f>
        <v>0</v>
      </c>
      <c r="AJ99" s="128">
        <f ca="1">SUMIFS(Налоги!AI$25:AI$55,Налоги!$F$25:$F$55,$F99,Налоги!$AB$25:$AB$55,$G99)</f>
        <v>0</v>
      </c>
      <c r="AK99" s="128">
        <f ca="1">SUMIFS(Налоги!AJ$25:AJ$55,Налоги!$F$25:$F$55,$F99,Налоги!$AB$25:$AB$55,$G99)</f>
        <v>0</v>
      </c>
      <c r="AL99" s="128">
        <f ca="1">SUMIFS(Налоги!AK$25:AK$55,Налоги!$F$25:$F$55,$F99,Налоги!$AB$25:$AB$55,$G99)</f>
        <v>0</v>
      </c>
      <c r="AM99" s="777">
        <f ca="1">SUMIFS(Налоги!AL$25:AL$55,Налоги!$F$25:$F$55,$F99,Налоги!$AB$25:$AB$55,$G99)</f>
        <v>0</v>
      </c>
      <c r="AN99" s="777">
        <f ca="1">SUMIFS(Налоги!AM$25:AM$55,Налоги!$F$25:$F$55,$F99,Налоги!$AB$25:$AB$55,$G99)</f>
        <v>0</v>
      </c>
      <c r="AO99" s="777">
        <f ca="1">SUMIFS(Налоги!AN$25:AN$55,Налоги!$F$25:$F$55,$F99,Налоги!$AB$25:$AB$55,$G99)</f>
        <v>0</v>
      </c>
      <c r="AP99" s="777">
        <f ca="1">SUMIFS(Налоги!AO$25:AO$55,Налоги!$F$25:$F$55,$F99,Налоги!$AB$25:$AB$55,$G99)</f>
        <v>0</v>
      </c>
      <c r="AQ99" s="777">
        <f ca="1">SUMIFS(Налоги!AP$25:AP$55,Налоги!$F$25:$F$55,$F99,Налоги!$AB$25:$AB$55,$G99)</f>
        <v>0</v>
      </c>
      <c r="AR99" s="777">
        <f ca="1">SUMIFS(Налоги!AQ$25:AQ$55,Налоги!$F$25:$F$55,$F99,Налоги!$AB$25:$AB$55,$G99)</f>
        <v>0</v>
      </c>
      <c r="AS99" s="777">
        <f ca="1">SUMIFS(Налоги!AR$25:AR$55,Налоги!$F$25:$F$55,$F99,Налоги!$AB$25:$AB$55,$G99)</f>
        <v>0</v>
      </c>
      <c r="AT99" s="128">
        <f ca="1">SUMIFS(Налоги!AS$25:AS$55,Налоги!$F$25:$F$55,$F99,Налоги!$AB$25:$AB$55,$G99)</f>
        <v>0</v>
      </c>
      <c r="AU99" s="128">
        <f ca="1">SUMIFS(Налоги!AT$25:AT$55,Налоги!$F$25:$F$55,$F99,Налоги!$AB$25:$AB$55,$G99)</f>
        <v>0</v>
      </c>
      <c r="AV99" s="128">
        <f ca="1">SUMIFS(Налоги!AU$25:AU$55,Налоги!$F$25:$F$55,$F99,Налоги!$AB$25:$AB$55,$G99)</f>
        <v>0</v>
      </c>
      <c r="AW99" s="777">
        <f ca="1">SUMIFS(Налоги!AV$25:AV$55,Налоги!$F$25:$F$55,$F99,Налоги!$AB$25:$AB$55,$G99)</f>
        <v>0</v>
      </c>
      <c r="AX99" s="777">
        <f ca="1">SUMIFS(Налоги!AW$25:AW$55,Налоги!$F$25:$F$55,$F99,Налоги!$AB$25:$AB$55,$G99)</f>
        <v>0</v>
      </c>
      <c r="AY99" s="777">
        <f ca="1">SUMIFS(Налоги!AX$25:AX$55,Налоги!$F$25:$F$55,$F99,Налоги!$AB$25:$AB$55,$G99)</f>
        <v>0</v>
      </c>
      <c r="AZ99" s="777">
        <f ca="1">SUMIFS(Налоги!AY$25:AY$55,Налоги!$F$25:$F$55,$F99,Налоги!$AB$25:$AB$55,$G99)</f>
        <v>0</v>
      </c>
      <c r="BA99" s="777">
        <f ca="1">SUMIFS(Налоги!AZ$25:AZ$55,Налоги!$F$25:$F$55,$F99,Налоги!$AB$25:$AB$55,$G99)</f>
        <v>0</v>
      </c>
      <c r="BB99" s="777">
        <f ca="1">SUMIFS(Налоги!BA$25:BA$55,Налоги!$F$25:$F$55,$F99,Налоги!$AB$25:$AB$55,$G99)</f>
        <v>0</v>
      </c>
      <c r="BC99" s="777">
        <f ca="1">SUMIFS(Налоги!BB$25:BB$55,Налоги!$F$25:$F$55,$F99,Налоги!$AB$25:$AB$55,$G99)</f>
        <v>0</v>
      </c>
      <c r="BD99" s="170">
        <f t="shared" ca="1" si="9"/>
        <v>0</v>
      </c>
      <c r="BE99" s="170">
        <f t="shared" ca="1" si="10"/>
        <v>0</v>
      </c>
      <c r="BF99" s="170">
        <f t="shared" ca="1" si="11"/>
        <v>0</v>
      </c>
      <c r="BG99" s="170">
        <f t="shared" ca="1" si="12"/>
        <v>0</v>
      </c>
      <c r="BH99" s="170">
        <f t="shared" ca="1" si="13"/>
        <v>0</v>
      </c>
      <c r="BI99" s="170">
        <f t="shared" ca="1" si="14"/>
        <v>0</v>
      </c>
      <c r="BJ99" s="170">
        <f t="shared" ca="1" si="15"/>
        <v>0</v>
      </c>
      <c r="BK99" s="170">
        <f t="shared" ca="1" si="16"/>
        <v>0</v>
      </c>
      <c r="BL99" s="170">
        <f t="shared" ca="1" si="17"/>
        <v>0</v>
      </c>
      <c r="BM99" s="170">
        <f t="shared" ca="1" si="18"/>
        <v>0</v>
      </c>
      <c r="BN99" s="774"/>
      <c r="BO99" s="778" t="str">
        <f ca="1">IF(IFERROR(INDEX(Налоги!$K$26:$L$55,MATCH($F99&amp;"5komm",Налоги!$K$26:$K$55,0),2),"")=0,"",IFERROR(INDEX(Налоги!$K$26:$L$55,MATCH($F99&amp;"5komm",Налоги!$K$26:$K$55,0),2),""))</f>
        <v/>
      </c>
      <c r="BP99" s="774"/>
      <c r="BS99" s="694" t="s">
        <v>2099</v>
      </c>
    </row>
    <row r="100" spans="2:75" ht="14.65" hidden="1" customHeight="1">
      <c r="B100" s="15"/>
      <c r="C100" s="25"/>
      <c r="D100" s="25"/>
      <c r="E100" s="449">
        <v>15</v>
      </c>
      <c r="F100" s="3" cm="1">
        <f t="array" aca="1" ref="F100" ca="1">OFFSET(E100,-1,1)</f>
        <v>0</v>
      </c>
      <c r="G100" s="609">
        <v>8</v>
      </c>
      <c r="H100" s="25"/>
      <c r="I100" s="25" t="s">
        <v>2100</v>
      </c>
      <c r="J100" s="25"/>
      <c r="K100" s="25" t="s">
        <v>2100</v>
      </c>
      <c r="L100" s="25"/>
      <c r="M100" s="25"/>
      <c r="N100" s="25"/>
      <c r="O100" s="25"/>
      <c r="P100" s="25"/>
      <c r="Q100" s="25"/>
      <c r="R100" s="25"/>
      <c r="S100" s="25"/>
      <c r="T100" s="351" t="b" cm="1">
        <f t="array" aca="1" ref="T100" ca="1">T99</f>
        <v>0</v>
      </c>
      <c r="U100" s="25"/>
      <c r="V100" s="25"/>
      <c r="X100" s="1024"/>
      <c r="Z100" s="1008"/>
      <c r="AB100" s="133" t="s">
        <v>2101</v>
      </c>
      <c r="AC100" s="134" t="s">
        <v>2102</v>
      </c>
      <c r="AD100" s="7" t="s">
        <v>859</v>
      </c>
      <c r="AE100" s="170">
        <f ca="1">SUMIFS(Налоги!AE$25:AE$55,Налоги!$F$25:$F$55,$F100,Налоги!$AB$25:$AB$55,$G100)</f>
        <v>0</v>
      </c>
      <c r="AF100" s="170">
        <f ca="1">SUMIFS(Налоги!AF$25:AF$55,Налоги!$F$25:$F$55,$F100,Налоги!$AB$25:$AB$55,$G100)</f>
        <v>0</v>
      </c>
      <c r="AG100" s="170">
        <f ca="1">SUMIFS(Налоги!AG$25:AG$55,Налоги!$F$25:$F$55,$F100,Налоги!$AB$25:$AB$55,$G100)</f>
        <v>0</v>
      </c>
      <c r="AH100" s="170">
        <f t="shared" ca="1" si="7"/>
        <v>0</v>
      </c>
      <c r="AI100" s="170">
        <f ca="1">SUMIFS(Налоги!AH$25:AH$55,Налоги!$F$25:$F$55,$F100,Налоги!$AB$25:$AB$55,$G100)</f>
        <v>0</v>
      </c>
      <c r="AJ100" s="170">
        <f ca="1">SUMIFS(Налоги!AI$25:AI$55,Налоги!$F$25:$F$55,$F100,Налоги!$AB$25:$AB$55,$G100)</f>
        <v>0</v>
      </c>
      <c r="AK100" s="170">
        <f ca="1">SUMIFS(Налоги!AJ$25:AJ$55,Налоги!$F$25:$F$55,$F100,Налоги!$AB$25:$AB$55,$G100)</f>
        <v>0</v>
      </c>
      <c r="AL100" s="170">
        <f ca="1">SUMIFS(Налоги!AK$25:AK$55,Налоги!$F$25:$F$55,$F100,Налоги!$AB$25:$AB$55,$G100)</f>
        <v>0</v>
      </c>
      <c r="AM100" s="170">
        <f ca="1">SUMIFS(Налоги!AL$25:AL$55,Налоги!$F$25:$F$55,$F100,Налоги!$AB$25:$AB$55,$G100)</f>
        <v>0</v>
      </c>
      <c r="AN100" s="170">
        <f ca="1">SUMIFS(Налоги!AM$25:AM$55,Налоги!$F$25:$F$55,$F100,Налоги!$AB$25:$AB$55,$G100)</f>
        <v>0</v>
      </c>
      <c r="AO100" s="170">
        <f ca="1">SUMIFS(Налоги!AN$25:AN$55,Налоги!$F$25:$F$55,$F100,Налоги!$AB$25:$AB$55,$G100)</f>
        <v>0</v>
      </c>
      <c r="AP100" s="170">
        <f ca="1">SUMIFS(Налоги!AO$25:AO$55,Налоги!$F$25:$F$55,$F100,Налоги!$AB$25:$AB$55,$G100)</f>
        <v>0</v>
      </c>
      <c r="AQ100" s="170">
        <f ca="1">SUMIFS(Налоги!AP$25:AP$55,Налоги!$F$25:$F$55,$F100,Налоги!$AB$25:$AB$55,$G100)</f>
        <v>0</v>
      </c>
      <c r="AR100" s="170">
        <f ca="1">SUMIFS(Налоги!AQ$25:AQ$55,Налоги!$F$25:$F$55,$F100,Налоги!$AB$25:$AB$55,$G100)</f>
        <v>0</v>
      </c>
      <c r="AS100" s="170">
        <f ca="1">SUMIFS(Налоги!AR$25:AR$55,Налоги!$F$25:$F$55,$F100,Налоги!$AB$25:$AB$55,$G100)</f>
        <v>0</v>
      </c>
      <c r="AT100" s="170">
        <f ca="1">SUMIFS(Налоги!AS$25:AS$55,Налоги!$F$25:$F$55,$F100,Налоги!$AB$25:$AB$55,$G100)</f>
        <v>0</v>
      </c>
      <c r="AU100" s="170">
        <f ca="1">SUMIFS(Налоги!AT$25:AT$55,Налоги!$F$25:$F$55,$F100,Налоги!$AB$25:$AB$55,$G100)</f>
        <v>0</v>
      </c>
      <c r="AV100" s="170">
        <f ca="1">SUMIFS(Налоги!AU$25:AU$55,Налоги!$F$25:$F$55,$F100,Налоги!$AB$25:$AB$55,$G100)</f>
        <v>0</v>
      </c>
      <c r="AW100" s="170">
        <f ca="1">SUMIFS(Налоги!AV$25:AV$55,Налоги!$F$25:$F$55,$F100,Налоги!$AB$25:$AB$55,$G100)</f>
        <v>0</v>
      </c>
      <c r="AX100" s="170">
        <f ca="1">SUMIFS(Налоги!AW$25:AW$55,Налоги!$F$25:$F$55,$F100,Налоги!$AB$25:$AB$55,$G100)</f>
        <v>0</v>
      </c>
      <c r="AY100" s="170">
        <f ca="1">SUMIFS(Налоги!AX$25:AX$55,Налоги!$F$25:$F$55,$F100,Налоги!$AB$25:$AB$55,$G100)</f>
        <v>0</v>
      </c>
      <c r="AZ100" s="170">
        <f ca="1">SUMIFS(Налоги!AY$25:AY$55,Налоги!$F$25:$F$55,$F100,Налоги!$AB$25:$AB$55,$G100)</f>
        <v>0</v>
      </c>
      <c r="BA100" s="170">
        <f ca="1">SUMIFS(Налоги!AZ$25:AZ$55,Налоги!$F$25:$F$55,$F100,Налоги!$AB$25:$AB$55,$G100)</f>
        <v>0</v>
      </c>
      <c r="BB100" s="170">
        <f ca="1">SUMIFS(Налоги!BA$25:BA$55,Налоги!$F$25:$F$55,$F100,Налоги!$AB$25:$AB$55,$G100)</f>
        <v>0</v>
      </c>
      <c r="BC100" s="170">
        <f ca="1">SUMIFS(Налоги!BB$25:BB$55,Налоги!$F$25:$F$55,$F100,Налоги!$AB$25:$AB$55,$G100)</f>
        <v>0</v>
      </c>
      <c r="BD100" s="170">
        <f t="shared" ca="1" si="9"/>
        <v>0</v>
      </c>
      <c r="BE100" s="170">
        <f t="shared" ca="1" si="10"/>
        <v>0</v>
      </c>
      <c r="BF100" s="170">
        <f t="shared" ca="1" si="11"/>
        <v>0</v>
      </c>
      <c r="BG100" s="170">
        <f t="shared" ca="1" si="12"/>
        <v>0</v>
      </c>
      <c r="BH100" s="170">
        <f t="shared" ca="1" si="13"/>
        <v>0</v>
      </c>
      <c r="BI100" s="170">
        <f t="shared" ca="1" si="14"/>
        <v>0</v>
      </c>
      <c r="BJ100" s="170">
        <f t="shared" ca="1" si="15"/>
        <v>0</v>
      </c>
      <c r="BK100" s="170">
        <f t="shared" ca="1" si="16"/>
        <v>0</v>
      </c>
      <c r="BL100" s="170">
        <f t="shared" ca="1" si="17"/>
        <v>0</v>
      </c>
      <c r="BM100" s="170">
        <f t="shared" ca="1" si="18"/>
        <v>0</v>
      </c>
      <c r="BN100" s="774"/>
      <c r="BO100" s="778" t="str">
        <f ca="1">IF(IFERROR(INDEX(Налоги!$K$26:$L$55,MATCH($F100&amp;"8komm",Налоги!$K$26:$K$55,0),2),"")=0,"",IFERROR(INDEX(Налоги!$K$26:$L$55,MATCH($F100&amp;"8komm",Налоги!$K$26:$K$55,0),2),""))</f>
        <v/>
      </c>
      <c r="BP100" s="774"/>
      <c r="BS100" s="694" t="s">
        <v>1312</v>
      </c>
    </row>
    <row r="101" spans="2:75" s="374" customFormat="1" ht="14.65" hidden="1" customHeight="1">
      <c r="B101" s="15"/>
      <c r="C101" s="25"/>
      <c r="D101" s="25"/>
      <c r="E101" s="449">
        <v>15</v>
      </c>
      <c r="F101" s="3" cm="1">
        <f t="array" aca="1" ref="F101" ca="1">OFFSET(E101,-1,1)</f>
        <v>0</v>
      </c>
      <c r="G101" s="609">
        <v>9</v>
      </c>
      <c r="H101" s="25"/>
      <c r="I101" s="25"/>
      <c r="J101" s="25"/>
      <c r="K101" s="25"/>
      <c r="L101" s="25"/>
      <c r="M101" s="25"/>
      <c r="N101" s="25"/>
      <c r="O101" s="25"/>
      <c r="P101" s="25"/>
      <c r="Q101" s="25"/>
      <c r="R101" s="25"/>
      <c r="S101" s="25"/>
      <c r="T101" s="351" t="b" cm="1">
        <f t="array" aca="1" ref="T101" ca="1">T100</f>
        <v>0</v>
      </c>
      <c r="U101" s="25"/>
      <c r="V101" s="25"/>
      <c r="X101" s="1024"/>
      <c r="Z101" s="1008"/>
      <c r="AB101" s="133" t="s">
        <v>2103</v>
      </c>
      <c r="AC101" s="547" t="s">
        <v>2104</v>
      </c>
      <c r="AD101" s="7" t="s">
        <v>859</v>
      </c>
      <c r="AE101" s="170">
        <f ca="1">SUMIFS(Налоги!AE$25:AE$55,Налоги!$F$25:$F$55,$F101,Налоги!$AB$25:$AB$55,$G101)</f>
        <v>0</v>
      </c>
      <c r="AF101" s="170">
        <f ca="1">SUMIFS(Налоги!AF$25:AF$55,Налоги!$F$25:$F$55,$F101,Налоги!$AB$25:$AB$55,$G101)</f>
        <v>0</v>
      </c>
      <c r="AG101" s="170">
        <f ca="1">SUMIFS(Налоги!AG$25:AG$55,Налоги!$F$25:$F$55,$F101,Налоги!$AB$25:$AB$55,$G101)</f>
        <v>0</v>
      </c>
      <c r="AH101" s="170">
        <f t="shared" ca="1" si="7"/>
        <v>0</v>
      </c>
      <c r="AI101" s="170">
        <f ca="1">SUMIFS(Налоги!AH$25:AH$55,Налоги!$F$25:$F$55,$F101,Налоги!$AB$25:$AB$55,$G101)</f>
        <v>0</v>
      </c>
      <c r="AJ101" s="170">
        <f ca="1">SUMIFS(Налоги!AI$25:AI$55,Налоги!$F$25:$F$55,$F101,Налоги!$AB$25:$AB$55,$G101)</f>
        <v>0</v>
      </c>
      <c r="AK101" s="170">
        <f ca="1">SUMIFS(Налоги!AJ$25:AJ$55,Налоги!$F$25:$F$55,$F101,Налоги!$AB$25:$AB$55,$G101)</f>
        <v>0</v>
      </c>
      <c r="AL101" s="170">
        <f ca="1">SUMIFS(Налоги!AK$25:AK$55,Налоги!$F$25:$F$55,$F101,Налоги!$AB$25:$AB$55,$G101)</f>
        <v>0</v>
      </c>
      <c r="AM101" s="170">
        <f ca="1">SUMIFS(Налоги!AL$25:AL$55,Налоги!$F$25:$F$55,$F101,Налоги!$AB$25:$AB$55,$G101)</f>
        <v>0</v>
      </c>
      <c r="AN101" s="170">
        <f ca="1">SUMIFS(Налоги!AM$25:AM$55,Налоги!$F$25:$F$55,$F101,Налоги!$AB$25:$AB$55,$G101)</f>
        <v>0</v>
      </c>
      <c r="AO101" s="170">
        <f ca="1">SUMIFS(Налоги!AN$25:AN$55,Налоги!$F$25:$F$55,$F101,Налоги!$AB$25:$AB$55,$G101)</f>
        <v>0</v>
      </c>
      <c r="AP101" s="170">
        <f ca="1">SUMIFS(Налоги!AO$25:AO$55,Налоги!$F$25:$F$55,$F101,Налоги!$AB$25:$AB$55,$G101)</f>
        <v>0</v>
      </c>
      <c r="AQ101" s="170">
        <f ca="1">SUMIFS(Налоги!AP$25:AP$55,Налоги!$F$25:$F$55,$F101,Налоги!$AB$25:$AB$55,$G101)</f>
        <v>0</v>
      </c>
      <c r="AR101" s="170">
        <f ca="1">SUMIFS(Налоги!AQ$25:AQ$55,Налоги!$F$25:$F$55,$F101,Налоги!$AB$25:$AB$55,$G101)</f>
        <v>0</v>
      </c>
      <c r="AS101" s="170">
        <f ca="1">SUMIFS(Налоги!AR$25:AR$55,Налоги!$F$25:$F$55,$F101,Налоги!$AB$25:$AB$55,$G101)</f>
        <v>0</v>
      </c>
      <c r="AT101" s="170">
        <f ca="1">SUMIFS(Налоги!AS$25:AS$55,Налоги!$F$25:$F$55,$F101,Налоги!$AB$25:$AB$55,$G101)</f>
        <v>0</v>
      </c>
      <c r="AU101" s="170">
        <f ca="1">SUMIFS(Налоги!AT$25:AT$55,Налоги!$F$25:$F$55,$F101,Налоги!$AB$25:$AB$55,$G101)</f>
        <v>0</v>
      </c>
      <c r="AV101" s="170">
        <f ca="1">SUMIFS(Налоги!AU$25:AU$55,Налоги!$F$25:$F$55,$F101,Налоги!$AB$25:$AB$55,$G101)</f>
        <v>0</v>
      </c>
      <c r="AW101" s="170">
        <f ca="1">SUMIFS(Налоги!AV$25:AV$55,Налоги!$F$25:$F$55,$F101,Налоги!$AB$25:$AB$55,$G101)</f>
        <v>0</v>
      </c>
      <c r="AX101" s="170">
        <f ca="1">SUMIFS(Налоги!AW$25:AW$55,Налоги!$F$25:$F$55,$F101,Налоги!$AB$25:$AB$55,$G101)</f>
        <v>0</v>
      </c>
      <c r="AY101" s="170">
        <f ca="1">SUMIFS(Налоги!AX$25:AX$55,Налоги!$F$25:$F$55,$F101,Налоги!$AB$25:$AB$55,$G101)</f>
        <v>0</v>
      </c>
      <c r="AZ101" s="170">
        <f ca="1">SUMIFS(Налоги!AY$25:AY$55,Налоги!$F$25:$F$55,$F101,Налоги!$AB$25:$AB$55,$G101)</f>
        <v>0</v>
      </c>
      <c r="BA101" s="170">
        <f ca="1">SUMIFS(Налоги!AZ$25:AZ$55,Налоги!$F$25:$F$55,$F101,Налоги!$AB$25:$AB$55,$G101)</f>
        <v>0</v>
      </c>
      <c r="BB101" s="170">
        <f ca="1">SUMIFS(Налоги!BA$25:BA$55,Налоги!$F$25:$F$55,$F101,Налоги!$AB$25:$AB$55,$G101)</f>
        <v>0</v>
      </c>
      <c r="BC101" s="170">
        <f ca="1">SUMIFS(Налоги!BB$25:BB$55,Налоги!$F$25:$F$55,$F101,Налоги!$AB$25:$AB$55,$G101)</f>
        <v>0</v>
      </c>
      <c r="BD101" s="170">
        <f t="shared" ca="1" si="9"/>
        <v>0</v>
      </c>
      <c r="BE101" s="170">
        <f t="shared" ca="1" si="10"/>
        <v>0</v>
      </c>
      <c r="BF101" s="170">
        <f t="shared" ca="1" si="11"/>
        <v>0</v>
      </c>
      <c r="BG101" s="170">
        <f t="shared" ca="1" si="12"/>
        <v>0</v>
      </c>
      <c r="BH101" s="170">
        <f t="shared" ca="1" si="13"/>
        <v>0</v>
      </c>
      <c r="BI101" s="170">
        <f t="shared" ca="1" si="14"/>
        <v>0</v>
      </c>
      <c r="BJ101" s="170">
        <f t="shared" ca="1" si="15"/>
        <v>0</v>
      </c>
      <c r="BK101" s="170">
        <f t="shared" ca="1" si="16"/>
        <v>0</v>
      </c>
      <c r="BL101" s="170">
        <f t="shared" ca="1" si="17"/>
        <v>0</v>
      </c>
      <c r="BM101" s="170">
        <f t="shared" ca="1" si="18"/>
        <v>0</v>
      </c>
      <c r="BN101" s="774"/>
      <c r="BO101" s="778" t="str">
        <f ca="1">IF(IFERROR(INDEX(Налоги!$K$26:$L$55,MATCH($F101&amp;"9komm",Налоги!$K$26:$K$55,0),2),"")=0,"",IFERROR(INDEX(Налоги!$K$26:$L$55,MATCH($F101&amp;"9komm",Налоги!$K$26:$K$55,0),2),""))</f>
        <v/>
      </c>
      <c r="BP101" s="774"/>
      <c r="BS101" s="701" t="s">
        <v>2105</v>
      </c>
      <c r="BT101" s="701"/>
      <c r="BU101" s="701"/>
      <c r="BV101" s="702"/>
      <c r="BW101" s="702"/>
    </row>
    <row r="102" spans="2:75" ht="14.65" hidden="1" customHeight="1">
      <c r="B102" s="15"/>
      <c r="C102" s="25"/>
      <c r="D102" s="25"/>
      <c r="E102" s="449">
        <v>15</v>
      </c>
      <c r="F102" s="3" cm="1">
        <f t="array" aca="1" ref="F102" ca="1">OFFSET(E102,-1,1)</f>
        <v>0</v>
      </c>
      <c r="G102" s="609">
        <v>10</v>
      </c>
      <c r="H102" s="25"/>
      <c r="I102" s="25" t="s">
        <v>2106</v>
      </c>
      <c r="J102" s="25"/>
      <c r="K102" s="25" t="s">
        <v>2106</v>
      </c>
      <c r="L102" s="25"/>
      <c r="M102" s="25"/>
      <c r="N102" s="25"/>
      <c r="O102" s="25"/>
      <c r="P102" s="25"/>
      <c r="Q102" s="25"/>
      <c r="R102" s="25"/>
      <c r="S102" s="25"/>
      <c r="T102" s="351" t="b" cm="1">
        <f t="array" aca="1" ref="T102" ca="1">T101</f>
        <v>0</v>
      </c>
      <c r="U102" s="25"/>
      <c r="V102" s="25"/>
      <c r="X102" s="1024"/>
      <c r="Z102" s="1008"/>
      <c r="AB102" s="133" t="s">
        <v>2107</v>
      </c>
      <c r="AC102" s="547" t="s">
        <v>2108</v>
      </c>
      <c r="AD102" s="7" t="s">
        <v>859</v>
      </c>
      <c r="AE102" s="170">
        <f ca="1">SUMIFS(Налоги!AE$25:AE$55,Налоги!$F$25:$F$55,$F102,Налоги!$AB$25:$AB$55,$G102)</f>
        <v>0</v>
      </c>
      <c r="AF102" s="170">
        <f ca="1">SUMIFS(Налоги!AF$25:AF$55,Налоги!$F$25:$F$55,$F102,Налоги!$AB$25:$AB$55,$G102)</f>
        <v>0</v>
      </c>
      <c r="AG102" s="170">
        <f ca="1">SUMIFS(Налоги!AG$25:AG$55,Налоги!$F$25:$F$55,$F102,Налоги!$AB$25:$AB$55,$G102)</f>
        <v>0</v>
      </c>
      <c r="AH102" s="170">
        <f t="shared" ca="1" si="7"/>
        <v>0</v>
      </c>
      <c r="AI102" s="170">
        <f ca="1">SUMIFS(Налоги!AH$25:AH$55,Налоги!$F$25:$F$55,$F102,Налоги!$AB$25:$AB$55,$G102)</f>
        <v>0</v>
      </c>
      <c r="AJ102" s="170">
        <f ca="1">SUMIFS(Налоги!AI$25:AI$55,Налоги!$F$25:$F$55,$F102,Налоги!$AB$25:$AB$55,$G102)</f>
        <v>0</v>
      </c>
      <c r="AK102" s="170">
        <f ca="1">SUMIFS(Налоги!AJ$25:AJ$55,Налоги!$F$25:$F$55,$F102,Налоги!$AB$25:$AB$55,$G102)</f>
        <v>0</v>
      </c>
      <c r="AL102" s="170">
        <f ca="1">SUMIFS(Налоги!AK$25:AK$55,Налоги!$F$25:$F$55,$F102,Налоги!$AB$25:$AB$55,$G102)</f>
        <v>0</v>
      </c>
      <c r="AM102" s="170">
        <f ca="1">SUMIFS(Налоги!AL$25:AL$55,Налоги!$F$25:$F$55,$F102,Налоги!$AB$25:$AB$55,$G102)</f>
        <v>0</v>
      </c>
      <c r="AN102" s="170">
        <f ca="1">SUMIFS(Налоги!AM$25:AM$55,Налоги!$F$25:$F$55,$F102,Налоги!$AB$25:$AB$55,$G102)</f>
        <v>0</v>
      </c>
      <c r="AO102" s="170">
        <f ca="1">SUMIFS(Налоги!AN$25:AN$55,Налоги!$F$25:$F$55,$F102,Налоги!$AB$25:$AB$55,$G102)</f>
        <v>0</v>
      </c>
      <c r="AP102" s="170">
        <f ca="1">SUMIFS(Налоги!AO$25:AO$55,Налоги!$F$25:$F$55,$F102,Налоги!$AB$25:$AB$55,$G102)</f>
        <v>0</v>
      </c>
      <c r="AQ102" s="170">
        <f ca="1">SUMIFS(Налоги!AP$25:AP$55,Налоги!$F$25:$F$55,$F102,Налоги!$AB$25:$AB$55,$G102)</f>
        <v>0</v>
      </c>
      <c r="AR102" s="170">
        <f ca="1">SUMIFS(Налоги!AQ$25:AQ$55,Налоги!$F$25:$F$55,$F102,Налоги!$AB$25:$AB$55,$G102)</f>
        <v>0</v>
      </c>
      <c r="AS102" s="170">
        <f ca="1">SUMIFS(Налоги!AR$25:AR$55,Налоги!$F$25:$F$55,$F102,Налоги!$AB$25:$AB$55,$G102)</f>
        <v>0</v>
      </c>
      <c r="AT102" s="170">
        <f ca="1">SUMIFS(Налоги!AS$25:AS$55,Налоги!$F$25:$F$55,$F102,Налоги!$AB$25:$AB$55,$G102)</f>
        <v>0</v>
      </c>
      <c r="AU102" s="170">
        <f ca="1">SUMIFS(Налоги!AT$25:AT$55,Налоги!$F$25:$F$55,$F102,Налоги!$AB$25:$AB$55,$G102)</f>
        <v>0</v>
      </c>
      <c r="AV102" s="170">
        <f ca="1">SUMIFS(Налоги!AU$25:AU$55,Налоги!$F$25:$F$55,$F102,Налоги!$AB$25:$AB$55,$G102)</f>
        <v>0</v>
      </c>
      <c r="AW102" s="170">
        <f ca="1">SUMIFS(Налоги!AV$25:AV$55,Налоги!$F$25:$F$55,$F102,Налоги!$AB$25:$AB$55,$G102)</f>
        <v>0</v>
      </c>
      <c r="AX102" s="170">
        <f ca="1">SUMIFS(Налоги!AW$25:AW$55,Налоги!$F$25:$F$55,$F102,Налоги!$AB$25:$AB$55,$G102)</f>
        <v>0</v>
      </c>
      <c r="AY102" s="170">
        <f ca="1">SUMIFS(Налоги!AX$25:AX$55,Налоги!$F$25:$F$55,$F102,Налоги!$AB$25:$AB$55,$G102)</f>
        <v>0</v>
      </c>
      <c r="AZ102" s="170">
        <f ca="1">SUMIFS(Налоги!AY$25:AY$55,Налоги!$F$25:$F$55,$F102,Налоги!$AB$25:$AB$55,$G102)</f>
        <v>0</v>
      </c>
      <c r="BA102" s="170">
        <f ca="1">SUMIFS(Налоги!AZ$25:AZ$55,Налоги!$F$25:$F$55,$F102,Налоги!$AB$25:$AB$55,$G102)</f>
        <v>0</v>
      </c>
      <c r="BB102" s="170">
        <f ca="1">SUMIFS(Налоги!BA$25:BA$55,Налоги!$F$25:$F$55,$F102,Налоги!$AB$25:$AB$55,$G102)</f>
        <v>0</v>
      </c>
      <c r="BC102" s="170">
        <f ca="1">SUMIFS(Налоги!BB$25:BB$55,Налоги!$F$25:$F$55,$F102,Налоги!$AB$25:$AB$55,$G102)</f>
        <v>0</v>
      </c>
      <c r="BD102" s="170">
        <f t="shared" ca="1" si="9"/>
        <v>0</v>
      </c>
      <c r="BE102" s="170">
        <f t="shared" ca="1" si="10"/>
        <v>0</v>
      </c>
      <c r="BF102" s="170">
        <f t="shared" ca="1" si="11"/>
        <v>0</v>
      </c>
      <c r="BG102" s="170">
        <f t="shared" ca="1" si="12"/>
        <v>0</v>
      </c>
      <c r="BH102" s="170">
        <f t="shared" ca="1" si="13"/>
        <v>0</v>
      </c>
      <c r="BI102" s="170">
        <f t="shared" ca="1" si="14"/>
        <v>0</v>
      </c>
      <c r="BJ102" s="170">
        <f t="shared" ca="1" si="15"/>
        <v>0</v>
      </c>
      <c r="BK102" s="170">
        <f t="shared" ca="1" si="16"/>
        <v>0</v>
      </c>
      <c r="BL102" s="170">
        <f t="shared" ca="1" si="17"/>
        <v>0</v>
      </c>
      <c r="BM102" s="170">
        <f t="shared" ca="1" si="18"/>
        <v>0</v>
      </c>
      <c r="BN102" s="774"/>
      <c r="BO102" s="778" t="str">
        <f ca="1">IF(IFERROR(INDEX(Налоги!$K$26:$L$55,MATCH($F102&amp;"10komm",Налоги!$K$26:$K$55,0),2),"")=0,"",IFERROR(INDEX(Налоги!$K$26:$L$55,MATCH($F102&amp;"10komm",Налоги!$K$26:$K$55,0),2),""))</f>
        <v/>
      </c>
      <c r="BP102" s="774"/>
      <c r="BS102" s="694" t="s">
        <v>2109</v>
      </c>
    </row>
    <row r="103" spans="2:75" ht="65.849999999999994" hidden="1" customHeight="1">
      <c r="E103" s="505">
        <v>67.5</v>
      </c>
      <c r="F103" s="3" cm="1">
        <f t="array" aca="1" ref="F103" ca="1">OFFSET(E103,-1,1)</f>
        <v>0</v>
      </c>
      <c r="G103" s="72" t="s">
        <v>1487</v>
      </c>
      <c r="I103" s="72" t="s">
        <v>958</v>
      </c>
      <c r="K103" s="72" t="s">
        <v>958</v>
      </c>
      <c r="L103" s="25"/>
      <c r="M103" s="25"/>
      <c r="T103" s="351" t="b" cm="1">
        <f t="array" aca="1" ref="T103" ca="1">T102</f>
        <v>0</v>
      </c>
      <c r="X103" s="1024"/>
      <c r="Z103" s="1008"/>
      <c r="AB103" s="133" t="s">
        <v>959</v>
      </c>
      <c r="AC103" s="548" t="s">
        <v>1490</v>
      </c>
      <c r="AD103" s="7" t="s">
        <v>859</v>
      </c>
      <c r="AE103" s="780"/>
      <c r="AF103" s="780"/>
      <c r="AG103" s="780"/>
      <c r="AH103" s="170">
        <f t="shared" si="7"/>
        <v>0</v>
      </c>
      <c r="AI103" s="780"/>
      <c r="AJ103" s="141"/>
      <c r="AK103" s="141"/>
      <c r="AL103" s="141"/>
      <c r="AM103" s="780"/>
      <c r="AN103" s="780"/>
      <c r="AO103" s="780"/>
      <c r="AP103" s="780"/>
      <c r="AQ103" s="780"/>
      <c r="AR103" s="780"/>
      <c r="AS103" s="780"/>
      <c r="AT103" s="141"/>
      <c r="AU103" s="141"/>
      <c r="AV103" s="141"/>
      <c r="AW103" s="780"/>
      <c r="AX103" s="780"/>
      <c r="AY103" s="780"/>
      <c r="AZ103" s="780"/>
      <c r="BA103" s="780"/>
      <c r="BB103" s="780"/>
      <c r="BC103" s="780"/>
      <c r="BD103" s="170">
        <f t="shared" si="9"/>
        <v>0</v>
      </c>
      <c r="BE103" s="170">
        <f t="shared" si="10"/>
        <v>0</v>
      </c>
      <c r="BF103" s="170">
        <f t="shared" si="11"/>
        <v>0</v>
      </c>
      <c r="BG103" s="170">
        <f t="shared" si="12"/>
        <v>0</v>
      </c>
      <c r="BH103" s="170">
        <f t="shared" si="13"/>
        <v>0</v>
      </c>
      <c r="BI103" s="170">
        <f t="shared" si="14"/>
        <v>0</v>
      </c>
      <c r="BJ103" s="170">
        <f t="shared" si="15"/>
        <v>0</v>
      </c>
      <c r="BK103" s="170">
        <f t="shared" si="16"/>
        <v>0</v>
      </c>
      <c r="BL103" s="170">
        <f t="shared" si="17"/>
        <v>0</v>
      </c>
      <c r="BM103" s="170">
        <f t="shared" si="18"/>
        <v>0</v>
      </c>
      <c r="BN103" s="774"/>
      <c r="BO103" s="774"/>
      <c r="BP103" s="774"/>
      <c r="BS103" s="694" t="s">
        <v>2110</v>
      </c>
    </row>
    <row r="104" spans="2:75" ht="14.65" hidden="1" customHeight="1">
      <c r="E104" s="505">
        <v>15</v>
      </c>
      <c r="F104" s="3" cm="1">
        <f t="array" aca="1" ref="F104" ca="1">OFFSET(E104,-1,1)</f>
        <v>0</v>
      </c>
      <c r="G104" s="72" t="s">
        <v>1035</v>
      </c>
      <c r="I104" s="72" t="s">
        <v>961</v>
      </c>
      <c r="K104" s="72" t="s">
        <v>961</v>
      </c>
      <c r="L104" s="25" t="s">
        <v>557</v>
      </c>
      <c r="M104" s="25"/>
      <c r="T104" s="351" t="b" cm="1">
        <f t="array" aca="1" ref="T104" ca="1">T103</f>
        <v>0</v>
      </c>
      <c r="X104" s="1024"/>
      <c r="Z104" s="1008"/>
      <c r="AB104" s="133" t="s">
        <v>962</v>
      </c>
      <c r="AC104" s="127" t="s">
        <v>1035</v>
      </c>
      <c r="AD104" s="7" t="s">
        <v>859</v>
      </c>
      <c r="AE104" s="170">
        <f ca="1">SUMIFS(Аренда!AE$25:AE$47,Аренда!$F$25:$F$47,$F104,Аренда!$G$25:$G$47,"Арендная и концессионная плата, лизинговые платежи")</f>
        <v>0</v>
      </c>
      <c r="AF104" s="170">
        <f ca="1">SUMIFS(Аренда!AF$25:AF$47,Аренда!$F$25:$F$47,$F104,Аренда!$G$25:$G$47,"Арендная и концессионная плата, лизинговые платежи")</f>
        <v>0</v>
      </c>
      <c r="AG104" s="170">
        <f ca="1">SUMIFS(Аренда!AG$25:AG$47,Аренда!$F$25:$F$47,$F104,Аренда!$G$25:$G$47,"Арендная и концессионная плата, лизинговые платежи")</f>
        <v>0</v>
      </c>
      <c r="AH104" s="170">
        <f t="shared" ca="1" si="7"/>
        <v>0</v>
      </c>
      <c r="AI104" s="170">
        <f ca="1">SUMIFS(Аренда!AH$25:AH$47,Аренда!$F$25:$F$47,$F104,Аренда!$G$25:$G$47,"Арендная и концессионная плата, лизинговые платежи")</f>
        <v>0</v>
      </c>
      <c r="AJ104" s="170">
        <f ca="1">SUMIFS(Аренда!AI$25:AI$47,Аренда!$F$25:$F$47,$F104,Аренда!$G$25:$G$47,"Арендная и концессионная плата, лизинговые платежи")</f>
        <v>0</v>
      </c>
      <c r="AK104" s="170">
        <f ca="1">SUMIFS(Аренда!AJ$25:AJ$47,Аренда!$F$25:$F$47,$F104,Аренда!$G$25:$G$47,"Арендная и концессионная плата, лизинговые платежи")</f>
        <v>0</v>
      </c>
      <c r="AL104" s="170">
        <f ca="1">SUMIFS(Аренда!AK$25:AK$47,Аренда!$F$25:$F$47,$F104,Аренда!$G$25:$G$47,"Арендная и концессионная плата, лизинговые платежи")</f>
        <v>0</v>
      </c>
      <c r="AM104" s="170">
        <f ca="1">SUMIFS(Аренда!AL$25:AL$47,Аренда!$F$25:$F$47,$F104,Аренда!$G$25:$G$47,"Арендная и концессионная плата, лизинговые платежи")</f>
        <v>0</v>
      </c>
      <c r="AN104" s="170">
        <f ca="1">SUMIFS(Аренда!AM$25:AM$47,Аренда!$F$25:$F$47,$F104,Аренда!$G$25:$G$47,"Арендная и концессионная плата, лизинговые платежи")</f>
        <v>0</v>
      </c>
      <c r="AO104" s="170">
        <f ca="1">SUMIFS(Аренда!AN$25:AN$47,Аренда!$F$25:$F$47,$F104,Аренда!$G$25:$G$47,"Арендная и концессионная плата, лизинговые платежи")</f>
        <v>0</v>
      </c>
      <c r="AP104" s="170">
        <f ca="1">SUMIFS(Аренда!AO$25:AO$47,Аренда!$F$25:$F$47,$F104,Аренда!$G$25:$G$47,"Арендная и концессионная плата, лизинговые платежи")</f>
        <v>0</v>
      </c>
      <c r="AQ104" s="170">
        <f ca="1">SUMIFS(Аренда!AP$25:AP$47,Аренда!$F$25:$F$47,$F104,Аренда!$G$25:$G$47,"Арендная и концессионная плата, лизинговые платежи")</f>
        <v>0</v>
      </c>
      <c r="AR104" s="170">
        <f ca="1">SUMIFS(Аренда!AQ$25:AQ$47,Аренда!$F$25:$F$47,$F104,Аренда!$G$25:$G$47,"Арендная и концессионная плата, лизинговые платежи")</f>
        <v>0</v>
      </c>
      <c r="AS104" s="170">
        <f ca="1">SUMIFS(Аренда!AR$25:AR$47,Аренда!$F$25:$F$47,$F104,Аренда!$G$25:$G$47,"Арендная и концессионная плата, лизинговые платежи")</f>
        <v>0</v>
      </c>
      <c r="AT104" s="170">
        <f ca="1">SUMIFS(Аренда!AS$25:AS$47,Аренда!$F$25:$F$47,$F104,Аренда!$G$25:$G$47,"Арендная и концессионная плата, лизинговые платежи")</f>
        <v>0</v>
      </c>
      <c r="AU104" s="170">
        <f ca="1">SUMIFS(Аренда!AT$25:AT$47,Аренда!$F$25:$F$47,$F104,Аренда!$G$25:$G$47,"Арендная и концессионная плата, лизинговые платежи")</f>
        <v>0</v>
      </c>
      <c r="AV104" s="170">
        <f ca="1">SUMIFS(Аренда!AU$25:AU$47,Аренда!$F$25:$F$47,$F104,Аренда!$G$25:$G$47,"Арендная и концессионная плата, лизинговые платежи")</f>
        <v>0</v>
      </c>
      <c r="AW104" s="170">
        <f ca="1">SUMIFS(Аренда!AV$25:AV$47,Аренда!$F$25:$F$47,$F104,Аренда!$G$25:$G$47,"Арендная и концессионная плата, лизинговые платежи")</f>
        <v>0</v>
      </c>
      <c r="AX104" s="170">
        <f ca="1">SUMIFS(Аренда!AW$25:AW$47,Аренда!$F$25:$F$47,$F104,Аренда!$G$25:$G$47,"Арендная и концессионная плата, лизинговые платежи")</f>
        <v>0</v>
      </c>
      <c r="AY104" s="170">
        <f ca="1">SUMIFS(Аренда!AX$25:AX$47,Аренда!$F$25:$F$47,$F104,Аренда!$G$25:$G$47,"Арендная и концессионная плата, лизинговые платежи")</f>
        <v>0</v>
      </c>
      <c r="AZ104" s="170">
        <f ca="1">SUMIFS(Аренда!AY$25:AY$47,Аренда!$F$25:$F$47,$F104,Аренда!$G$25:$G$47,"Арендная и концессионная плата, лизинговые платежи")</f>
        <v>0</v>
      </c>
      <c r="BA104" s="170">
        <f ca="1">SUMIFS(Аренда!AZ$25:AZ$47,Аренда!$F$25:$F$47,$F104,Аренда!$G$25:$G$47,"Арендная и концессионная плата, лизинговые платежи")</f>
        <v>0</v>
      </c>
      <c r="BB104" s="170">
        <f ca="1">SUMIFS(Аренда!BA$25:BA$47,Аренда!$F$25:$F$47,$F104,Аренда!$G$25:$G$47,"Арендная и концессионная плата, лизинговые платежи")</f>
        <v>0</v>
      </c>
      <c r="BC104" s="170">
        <f ca="1">SUMIFS(Аренда!BB$25:BB$47,Аренда!$F$25:$F$47,$F104,Аренда!$G$25:$G$47,"Арендная и концессионная плата, лизинговые платежи")</f>
        <v>0</v>
      </c>
      <c r="BD104" s="170">
        <f t="shared" ca="1" si="9"/>
        <v>0</v>
      </c>
      <c r="BE104" s="170">
        <f t="shared" ca="1" si="10"/>
        <v>0</v>
      </c>
      <c r="BF104" s="170">
        <f t="shared" ca="1" si="11"/>
        <v>0</v>
      </c>
      <c r="BG104" s="170">
        <f t="shared" ca="1" si="12"/>
        <v>0</v>
      </c>
      <c r="BH104" s="170">
        <f t="shared" ca="1" si="13"/>
        <v>0</v>
      </c>
      <c r="BI104" s="170">
        <f t="shared" ca="1" si="14"/>
        <v>0</v>
      </c>
      <c r="BJ104" s="170">
        <f t="shared" ca="1" si="15"/>
        <v>0</v>
      </c>
      <c r="BK104" s="170">
        <f t="shared" ca="1" si="16"/>
        <v>0</v>
      </c>
      <c r="BL104" s="170">
        <f t="shared" ca="1" si="17"/>
        <v>0</v>
      </c>
      <c r="BM104" s="170">
        <f t="shared" ca="1" si="18"/>
        <v>0</v>
      </c>
      <c r="BN104" s="774"/>
      <c r="BO104" s="778" t="str">
        <f ca="1">IF(IFERROR(INDEX(Аренда!$K$26:$L$47,MATCH($F104&amp;"komm",Аренда!$K$26:$K$47,0),2),"")=0,"",IFERROR(INDEX(Аренда!$K$26:$L$47,MATCH($F104&amp;"komm",Аренда!$K$26:$K$47,0),2),""))</f>
        <v/>
      </c>
      <c r="BP104" s="774"/>
      <c r="BS104" s="694" t="s">
        <v>2111</v>
      </c>
    </row>
    <row r="105" spans="2:75" ht="14.65" hidden="1" customHeight="1">
      <c r="B105" s="328" t="b">
        <f>STATUS_GO="да"</f>
        <v>1</v>
      </c>
      <c r="E105" s="505">
        <v>15</v>
      </c>
      <c r="F105" s="3" cm="1">
        <f t="array" aca="1" ref="F105" ca="1">OFFSET(E105,-1,1)</f>
        <v>0</v>
      </c>
      <c r="I105" s="72" t="s">
        <v>2112</v>
      </c>
      <c r="K105" s="72" t="s">
        <v>2112</v>
      </c>
      <c r="L105" s="25"/>
      <c r="M105" s="25"/>
      <c r="T105" s="351" t="b" cm="1">
        <f t="array" aca="1" ref="T105" ca="1">T104</f>
        <v>0</v>
      </c>
      <c r="X105" s="1024"/>
      <c r="Z105" s="1008"/>
      <c r="AB105" s="133" t="s">
        <v>1554</v>
      </c>
      <c r="AC105" s="127" t="s">
        <v>2113</v>
      </c>
      <c r="AD105" s="7" t="s">
        <v>859</v>
      </c>
      <c r="AE105" s="777"/>
      <c r="AF105" s="777"/>
      <c r="AG105" s="777"/>
      <c r="AH105" s="170">
        <f t="shared" si="7"/>
        <v>0</v>
      </c>
      <c r="AI105" s="777"/>
      <c r="AJ105" s="128"/>
      <c r="AK105" s="128"/>
      <c r="AL105" s="128"/>
      <c r="AM105" s="777"/>
      <c r="AN105" s="777"/>
      <c r="AO105" s="777"/>
      <c r="AP105" s="777"/>
      <c r="AQ105" s="777"/>
      <c r="AR105" s="777"/>
      <c r="AS105" s="777"/>
      <c r="AT105" s="128"/>
      <c r="AU105" s="128"/>
      <c r="AV105" s="128"/>
      <c r="AW105" s="777"/>
      <c r="AX105" s="777"/>
      <c r="AY105" s="777"/>
      <c r="AZ105" s="777"/>
      <c r="BA105" s="777"/>
      <c r="BB105" s="777"/>
      <c r="BC105" s="777"/>
      <c r="BD105" s="170">
        <f t="shared" si="9"/>
        <v>0</v>
      </c>
      <c r="BE105" s="170">
        <f t="shared" si="10"/>
        <v>0</v>
      </c>
      <c r="BF105" s="170">
        <f t="shared" si="11"/>
        <v>0</v>
      </c>
      <c r="BG105" s="170">
        <f t="shared" si="12"/>
        <v>0</v>
      </c>
      <c r="BH105" s="170">
        <f t="shared" si="13"/>
        <v>0</v>
      </c>
      <c r="BI105" s="170">
        <f t="shared" si="14"/>
        <v>0</v>
      </c>
      <c r="BJ105" s="170">
        <f t="shared" si="15"/>
        <v>0</v>
      </c>
      <c r="BK105" s="170">
        <f t="shared" si="16"/>
        <v>0</v>
      </c>
      <c r="BL105" s="170">
        <f t="shared" si="17"/>
        <v>0</v>
      </c>
      <c r="BM105" s="170">
        <f t="shared" si="18"/>
        <v>0</v>
      </c>
      <c r="BN105" s="774"/>
      <c r="BO105" s="774"/>
      <c r="BP105" s="774"/>
      <c r="BS105" s="694" t="s">
        <v>2114</v>
      </c>
    </row>
    <row r="106" spans="2:75" ht="14.65" hidden="1" customHeight="1">
      <c r="B106" s="328" t="b">
        <f>STATUS_GO="да"</f>
        <v>1</v>
      </c>
      <c r="E106" s="505">
        <v>15</v>
      </c>
      <c r="F106" s="3" cm="1">
        <f t="array" aca="1" ref="F106" ca="1">OFFSET(E106,-1,1)</f>
        <v>0</v>
      </c>
      <c r="G106" s="72" t="s">
        <v>1496</v>
      </c>
      <c r="I106" s="72" t="s">
        <v>2115</v>
      </c>
      <c r="K106" s="72" t="s">
        <v>2115</v>
      </c>
      <c r="L106" s="25"/>
      <c r="M106" s="25"/>
      <c r="T106" s="351" t="b" cm="1">
        <f t="array" aca="1" ref="T106" ca="1">T105</f>
        <v>0</v>
      </c>
      <c r="X106" s="1024"/>
      <c r="Z106" s="1008"/>
      <c r="AB106" s="133" t="s">
        <v>2116</v>
      </c>
      <c r="AC106" s="134" t="s">
        <v>1496</v>
      </c>
      <c r="AD106" s="7" t="s">
        <v>859</v>
      </c>
      <c r="AE106" s="777"/>
      <c r="AF106" s="777"/>
      <c r="AG106" s="777"/>
      <c r="AH106" s="170">
        <f t="shared" si="7"/>
        <v>0</v>
      </c>
      <c r="AI106" s="777"/>
      <c r="AJ106" s="128"/>
      <c r="AK106" s="128"/>
      <c r="AL106" s="128"/>
      <c r="AM106" s="777"/>
      <c r="AN106" s="777"/>
      <c r="AO106" s="777"/>
      <c r="AP106" s="777"/>
      <c r="AQ106" s="777"/>
      <c r="AR106" s="777"/>
      <c r="AS106" s="777"/>
      <c r="AT106" s="128"/>
      <c r="AU106" s="128"/>
      <c r="AV106" s="128"/>
      <c r="AW106" s="777"/>
      <c r="AX106" s="777"/>
      <c r="AY106" s="777"/>
      <c r="AZ106" s="777"/>
      <c r="BA106" s="777"/>
      <c r="BB106" s="777"/>
      <c r="BC106" s="777"/>
      <c r="BD106" s="170">
        <f t="shared" si="9"/>
        <v>0</v>
      </c>
      <c r="BE106" s="170">
        <f t="shared" si="10"/>
        <v>0</v>
      </c>
      <c r="BF106" s="170">
        <f t="shared" si="11"/>
        <v>0</v>
      </c>
      <c r="BG106" s="170">
        <f t="shared" si="12"/>
        <v>0</v>
      </c>
      <c r="BH106" s="170">
        <f t="shared" si="13"/>
        <v>0</v>
      </c>
      <c r="BI106" s="170">
        <f t="shared" si="14"/>
        <v>0</v>
      </c>
      <c r="BJ106" s="170">
        <f t="shared" si="15"/>
        <v>0</v>
      </c>
      <c r="BK106" s="170">
        <f t="shared" si="16"/>
        <v>0</v>
      </c>
      <c r="BL106" s="170">
        <f t="shared" si="17"/>
        <v>0</v>
      </c>
      <c r="BM106" s="170">
        <f t="shared" si="18"/>
        <v>0</v>
      </c>
      <c r="BN106" s="774"/>
      <c r="BO106" s="778" t="str">
        <f ca="1">IF(IFERROR(INDEX('Сбытовые расходы ГО'!$K$26:$M$51,MATCH($F106&amp;"komm",'Сбытовые расходы ГО'!$K$26:$K$51,0),2),"")=0,"",IFERROR(INDEX('Сбытовые расходы ГО'!$K$26:$M$51,MATCH($F106&amp;"komm",'Сбытовые расходы ГО'!$K$26:$K$51,0),2),""))</f>
        <v/>
      </c>
      <c r="BP106" s="774"/>
      <c r="BS106" s="694" t="s">
        <v>2117</v>
      </c>
    </row>
    <row r="107" spans="2:75" ht="14.65" hidden="1" customHeight="1">
      <c r="E107" s="505">
        <v>15</v>
      </c>
      <c r="F107" s="3" cm="1">
        <f t="array" aca="1" ref="F107" ca="1">OFFSET(E107,-1,1)</f>
        <v>0</v>
      </c>
      <c r="G107" s="72" t="s">
        <v>1501</v>
      </c>
      <c r="I107" s="72" t="s">
        <v>2118</v>
      </c>
      <c r="K107" s="72" t="s">
        <v>2118</v>
      </c>
      <c r="L107" s="25"/>
      <c r="M107" s="25"/>
      <c r="T107" s="351" t="b" cm="1">
        <f t="array" aca="1" ref="T107" ca="1">T106</f>
        <v>0</v>
      </c>
      <c r="X107" s="1024"/>
      <c r="Z107" s="1008"/>
      <c r="AB107" s="133" t="s">
        <v>1559</v>
      </c>
      <c r="AC107" s="127" t="s">
        <v>1501</v>
      </c>
      <c r="AD107" s="7" t="s">
        <v>859</v>
      </c>
      <c r="AE107" s="777"/>
      <c r="AF107" s="777"/>
      <c r="AG107" s="777"/>
      <c r="AH107" s="170">
        <f t="shared" si="7"/>
        <v>0</v>
      </c>
      <c r="AI107" s="777"/>
      <c r="AJ107" s="128">
        <f ca="1">SUMIFS(Экономия_корр!AE$25:AE$43,Экономия_корр!$F$25:$F$43,$F107,Экономия_корр!$AC$25:$AC$43,"Экономия расходов с учетом ИПЦ")</f>
        <v>0</v>
      </c>
      <c r="AK107" s="128">
        <f ca="1">SUMIFS(Экономия_корр!AF$25:AF$43,Экономия_корр!$F$25:$F$43,$F107,Экономия_корр!$AC$25:$AC$43,"Экономия расходов с учетом ИПЦ")</f>
        <v>0</v>
      </c>
      <c r="AL107" s="128">
        <f ca="1">SUMIFS(Экономия_корр!AG$25:AG$43,Экономия_корр!$F$25:$F$43,$F107,Экономия_корр!$AC$25:$AC$43,"Экономия расходов с учетом ИПЦ")</f>
        <v>0</v>
      </c>
      <c r="AM107" s="777">
        <f ca="1">SUMIFS(Экономия_корр!AH$25:AH$43,Экономия_корр!$F$25:$F$43,$F107,Экономия_корр!$AC$25:$AC$43,"Экономия расходов с учетом ИПЦ")</f>
        <v>0</v>
      </c>
      <c r="AN107" s="777">
        <f ca="1">SUMIFS(Экономия_корр!AI$25:AI$43,Экономия_корр!$F$25:$F$43,$F107,Экономия_корр!$AC$25:$AC$43,"Экономия расходов с учетом ИПЦ")</f>
        <v>0</v>
      </c>
      <c r="AO107" s="777">
        <f ca="1">SUMIFS(Экономия_корр!AJ$25:AJ$43,Экономия_корр!$F$25:$F$43,$F107,Экономия_корр!$AC$25:$AC$43,"Экономия расходов с учетом ИПЦ")</f>
        <v>0</v>
      </c>
      <c r="AP107" s="777">
        <f ca="1">SUMIFS(Экономия_корр!AK$25:AK$43,Экономия_корр!$F$25:$F$43,$F107,Экономия_корр!$AC$25:$AC$43,"Экономия расходов с учетом ИПЦ")</f>
        <v>0</v>
      </c>
      <c r="AQ107" s="777">
        <f ca="1">SUMIFS(Экономия_корр!AL$25:AL$43,Экономия_корр!$F$25:$F$43,$F107,Экономия_корр!$AC$25:$AC$43,"Экономия расходов с учетом ИПЦ")</f>
        <v>0</v>
      </c>
      <c r="AR107" s="777">
        <f ca="1">SUMIFS(Экономия_корр!AM$25:AM$43,Экономия_корр!$F$25:$F$43,$F107,Экономия_корр!$AC$25:$AC$43,"Экономия расходов с учетом ИПЦ")</f>
        <v>0</v>
      </c>
      <c r="AS107" s="777">
        <f ca="1">SUMIFS(Экономия_корр!AN$25:AN$43,Экономия_корр!$F$25:$F$43,$F107,Экономия_корр!$AC$25:$AC$43,"Экономия расходов с учетом ИПЦ")</f>
        <v>0</v>
      </c>
      <c r="AT107" s="128">
        <f ca="1">SUMIFS(Экономия_корр!AO$25:AO$43,Экономия_корр!$F$25:$F$43,$F107,Экономия_корр!$AC$25:$AC$43,"Экономия расходов с учетом ИПЦ")</f>
        <v>0</v>
      </c>
      <c r="AU107" s="128">
        <f ca="1">SUMIFS(Экономия_корр!AP$25:AP$43,Экономия_корр!$F$25:$F$43,$F107,Экономия_корр!$AC$25:$AC$43,"Экономия расходов с учетом ИПЦ")</f>
        <v>0</v>
      </c>
      <c r="AV107" s="128">
        <f ca="1">SUMIFS(Экономия_корр!AQ$25:AQ$43,Экономия_корр!$F$25:$F$43,$F107,Экономия_корр!$AC$25:$AC$43,"Экономия расходов с учетом ИПЦ")</f>
        <v>0</v>
      </c>
      <c r="AW107" s="777">
        <f ca="1">SUMIFS(Экономия_корр!AR$25:AR$43,Экономия_корр!$F$25:$F$43,$F107,Экономия_корр!$AC$25:$AC$43,"Экономия расходов с учетом ИПЦ")</f>
        <v>0</v>
      </c>
      <c r="AX107" s="777">
        <f ca="1">SUMIFS(Экономия_корр!AS$25:AS$43,Экономия_корр!$F$25:$F$43,$F107,Экономия_корр!$AC$25:$AC$43,"Экономия расходов с учетом ИПЦ")</f>
        <v>0</v>
      </c>
      <c r="AY107" s="777">
        <f ca="1">SUMIFS(Экономия_корр!AT$25:AT$43,Экономия_корр!$F$25:$F$43,$F107,Экономия_корр!$AC$25:$AC$43,"Экономия расходов с учетом ИПЦ")</f>
        <v>0</v>
      </c>
      <c r="AZ107" s="777">
        <f ca="1">SUMIFS(Экономия_корр!AU$25:AU$43,Экономия_корр!$F$25:$F$43,$F107,Экономия_корр!$AC$25:$AC$43,"Экономия расходов с учетом ИПЦ")</f>
        <v>0</v>
      </c>
      <c r="BA107" s="777">
        <f ca="1">SUMIFS(Экономия_корр!AV$25:AV$43,Экономия_корр!$F$25:$F$43,$F107,Экономия_корр!$AC$25:$AC$43,"Экономия расходов с учетом ИПЦ")</f>
        <v>0</v>
      </c>
      <c r="BB107" s="777">
        <f ca="1">SUMIFS(Экономия_корр!AW$25:AW$43,Экономия_корр!$F$25:$F$43,$F107,Экономия_корр!$AC$25:$AC$43,"Экономия расходов с учетом ИПЦ")</f>
        <v>0</v>
      </c>
      <c r="BC107" s="777">
        <f ca="1">SUMIFS(Экономия_корр!AX$25:AX$43,Экономия_корр!$F$25:$F$43,$F107,Экономия_корр!$AC$25:$AC$43,"Экономия расходов с учетом ИПЦ")</f>
        <v>0</v>
      </c>
      <c r="BD107" s="170">
        <f t="shared" si="9"/>
        <v>0</v>
      </c>
      <c r="BE107" s="170">
        <f t="shared" ca="1" si="10"/>
        <v>0</v>
      </c>
      <c r="BF107" s="170">
        <f t="shared" ca="1" si="11"/>
        <v>0</v>
      </c>
      <c r="BG107" s="170">
        <f t="shared" ca="1" si="12"/>
        <v>0</v>
      </c>
      <c r="BH107" s="170">
        <f t="shared" ca="1" si="13"/>
        <v>0</v>
      </c>
      <c r="BI107" s="170">
        <f t="shared" ca="1" si="14"/>
        <v>0</v>
      </c>
      <c r="BJ107" s="170">
        <f t="shared" ca="1" si="15"/>
        <v>0</v>
      </c>
      <c r="BK107" s="170">
        <f t="shared" ca="1" si="16"/>
        <v>0</v>
      </c>
      <c r="BL107" s="170">
        <f t="shared" ca="1" si="17"/>
        <v>0</v>
      </c>
      <c r="BM107" s="170">
        <f t="shared" ca="1" si="18"/>
        <v>0</v>
      </c>
      <c r="BN107" s="774"/>
      <c r="BO107" s="774"/>
      <c r="BP107" s="774"/>
      <c r="BS107" s="694" t="s">
        <v>2119</v>
      </c>
    </row>
    <row r="108" spans="2:75" ht="14.65" hidden="1" customHeight="1">
      <c r="E108" s="505">
        <v>15</v>
      </c>
      <c r="F108" s="3" cm="1">
        <f t="array" aca="1" ref="F108" ca="1">OFFSET(E108,-1,1)</f>
        <v>0</v>
      </c>
      <c r="G108" s="72" t="s">
        <v>1506</v>
      </c>
      <c r="I108" s="72" t="s">
        <v>2120</v>
      </c>
      <c r="K108" s="72" t="s">
        <v>2120</v>
      </c>
      <c r="L108" s="25"/>
      <c r="M108" s="25"/>
      <c r="T108" s="351" t="b" cm="1">
        <f t="array" aca="1" ref="T108" ca="1">T107</f>
        <v>0</v>
      </c>
      <c r="X108" s="1024"/>
      <c r="Z108" s="1008"/>
      <c r="AB108" s="133" t="s">
        <v>2121</v>
      </c>
      <c r="AC108" s="127" t="s">
        <v>1506</v>
      </c>
      <c r="AD108" s="7" t="s">
        <v>859</v>
      </c>
      <c r="AE108" s="777"/>
      <c r="AF108" s="777"/>
      <c r="AG108" s="777"/>
      <c r="AH108" s="170">
        <f t="shared" si="7"/>
        <v>0</v>
      </c>
      <c r="AI108" s="777"/>
      <c r="AJ108" s="128"/>
      <c r="AK108" s="128"/>
      <c r="AL108" s="128"/>
      <c r="AM108" s="777"/>
      <c r="AN108" s="777"/>
      <c r="AO108" s="777"/>
      <c r="AP108" s="777"/>
      <c r="AQ108" s="777"/>
      <c r="AR108" s="777"/>
      <c r="AS108" s="777"/>
      <c r="AT108" s="128"/>
      <c r="AU108" s="128"/>
      <c r="AV108" s="128"/>
      <c r="AW108" s="777"/>
      <c r="AX108" s="777"/>
      <c r="AY108" s="777"/>
      <c r="AZ108" s="777"/>
      <c r="BA108" s="777"/>
      <c r="BB108" s="777"/>
      <c r="BC108" s="777"/>
      <c r="BD108" s="170">
        <f t="shared" si="9"/>
        <v>0</v>
      </c>
      <c r="BE108" s="170">
        <f t="shared" si="10"/>
        <v>0</v>
      </c>
      <c r="BF108" s="170">
        <f t="shared" si="11"/>
        <v>0</v>
      </c>
      <c r="BG108" s="170">
        <f t="shared" si="12"/>
        <v>0</v>
      </c>
      <c r="BH108" s="170">
        <f t="shared" si="13"/>
        <v>0</v>
      </c>
      <c r="BI108" s="170">
        <f t="shared" si="14"/>
        <v>0</v>
      </c>
      <c r="BJ108" s="170">
        <f t="shared" si="15"/>
        <v>0</v>
      </c>
      <c r="BK108" s="170">
        <f t="shared" si="16"/>
        <v>0</v>
      </c>
      <c r="BL108" s="170">
        <f t="shared" si="17"/>
        <v>0</v>
      </c>
      <c r="BM108" s="170">
        <f t="shared" si="18"/>
        <v>0</v>
      </c>
      <c r="BN108" s="774"/>
      <c r="BO108" s="774"/>
      <c r="BP108" s="774"/>
      <c r="BS108" s="694" t="s">
        <v>1857</v>
      </c>
    </row>
    <row r="109" spans="2:75" ht="14.65" hidden="1" customHeight="1">
      <c r="E109" s="505">
        <v>15</v>
      </c>
      <c r="F109" s="3" cm="1">
        <f t="array" aca="1" ref="F109" ca="1">OFFSET(E109,-1,1)</f>
        <v>0</v>
      </c>
      <c r="G109" s="72" t="s">
        <v>1511</v>
      </c>
      <c r="I109" s="72" t="s">
        <v>2122</v>
      </c>
      <c r="K109" s="72" t="s">
        <v>2122</v>
      </c>
      <c r="L109" s="25"/>
      <c r="M109" s="25"/>
      <c r="T109" s="351" t="b" cm="1">
        <f t="array" aca="1" ref="T109" ca="1">T108</f>
        <v>0</v>
      </c>
      <c r="X109" s="1024"/>
      <c r="Z109" s="1008"/>
      <c r="AB109" s="133" t="s">
        <v>1578</v>
      </c>
      <c r="AC109" s="127" t="s">
        <v>1511</v>
      </c>
      <c r="AD109" s="7" t="s">
        <v>859</v>
      </c>
      <c r="AE109" s="777"/>
      <c r="AF109" s="777"/>
      <c r="AG109" s="777"/>
      <c r="AH109" s="170">
        <f t="shared" si="7"/>
        <v>0</v>
      </c>
      <c r="AI109" s="777"/>
      <c r="AJ109" s="128"/>
      <c r="AK109" s="128"/>
      <c r="AL109" s="128"/>
      <c r="AM109" s="777"/>
      <c r="AN109" s="777"/>
      <c r="AO109" s="777"/>
      <c r="AP109" s="777"/>
      <c r="AQ109" s="777"/>
      <c r="AR109" s="777"/>
      <c r="AS109" s="777"/>
      <c r="AT109" s="128"/>
      <c r="AU109" s="128"/>
      <c r="AV109" s="128"/>
      <c r="AW109" s="777"/>
      <c r="AX109" s="777"/>
      <c r="AY109" s="777"/>
      <c r="AZ109" s="777"/>
      <c r="BA109" s="777"/>
      <c r="BB109" s="777"/>
      <c r="BC109" s="777"/>
      <c r="BD109" s="170">
        <f t="shared" si="9"/>
        <v>0</v>
      </c>
      <c r="BE109" s="170">
        <f t="shared" si="10"/>
        <v>0</v>
      </c>
      <c r="BF109" s="170">
        <f t="shared" si="11"/>
        <v>0</v>
      </c>
      <c r="BG109" s="170">
        <f t="shared" si="12"/>
        <v>0</v>
      </c>
      <c r="BH109" s="170">
        <f t="shared" si="13"/>
        <v>0</v>
      </c>
      <c r="BI109" s="170">
        <f t="shared" si="14"/>
        <v>0</v>
      </c>
      <c r="BJ109" s="170">
        <f t="shared" si="15"/>
        <v>0</v>
      </c>
      <c r="BK109" s="170">
        <f t="shared" si="16"/>
        <v>0</v>
      </c>
      <c r="BL109" s="170">
        <f t="shared" si="17"/>
        <v>0</v>
      </c>
      <c r="BM109" s="170">
        <f t="shared" si="18"/>
        <v>0</v>
      </c>
      <c r="BN109" s="774"/>
      <c r="BO109" s="774"/>
      <c r="BP109" s="774"/>
      <c r="BS109" s="694" t="s">
        <v>2123</v>
      </c>
    </row>
    <row r="110" spans="2:75" ht="14.65" hidden="1" customHeight="1">
      <c r="E110" s="505">
        <v>15</v>
      </c>
      <c r="F110" s="3" cm="1">
        <f t="array" aca="1" ref="F110" ca="1">OFFSET(E110,-1,1)</f>
        <v>0</v>
      </c>
      <c r="G110" s="72" t="s">
        <v>1516</v>
      </c>
      <c r="I110" s="72" t="s">
        <v>2124</v>
      </c>
      <c r="K110" s="72" t="s">
        <v>2124</v>
      </c>
      <c r="L110" s="25"/>
      <c r="M110" s="25"/>
      <c r="T110" s="351" t="b" cm="1">
        <f t="array" aca="1" ref="T110" ca="1">T109</f>
        <v>0</v>
      </c>
      <c r="X110" s="1024"/>
      <c r="Z110" s="1008"/>
      <c r="AB110" s="133" t="s">
        <v>1582</v>
      </c>
      <c r="AC110" s="127" t="s">
        <v>1516</v>
      </c>
      <c r="AD110" s="7" t="s">
        <v>859</v>
      </c>
      <c r="AE110" s="170">
        <f>SUM(AE111,AE112)</f>
        <v>0</v>
      </c>
      <c r="AF110" s="170">
        <f>SUM(AF111,AF112)</f>
        <v>0</v>
      </c>
      <c r="AG110" s="170">
        <f>SUM(AG111,AG112)</f>
        <v>0</v>
      </c>
      <c r="AH110" s="170">
        <f t="shared" si="7"/>
        <v>0</v>
      </c>
      <c r="AI110" s="170">
        <f t="shared" ref="AI110:BC110" si="21">SUM(AI111,AI112)</f>
        <v>0</v>
      </c>
      <c r="AJ110" s="170">
        <f t="shared" si="21"/>
        <v>0</v>
      </c>
      <c r="AK110" s="170">
        <f t="shared" si="21"/>
        <v>0</v>
      </c>
      <c r="AL110" s="170">
        <f t="shared" si="21"/>
        <v>0</v>
      </c>
      <c r="AM110" s="170">
        <f t="shared" si="21"/>
        <v>0</v>
      </c>
      <c r="AN110" s="170">
        <f t="shared" si="21"/>
        <v>0</v>
      </c>
      <c r="AO110" s="170">
        <f t="shared" si="21"/>
        <v>0</v>
      </c>
      <c r="AP110" s="170">
        <f t="shared" si="21"/>
        <v>0</v>
      </c>
      <c r="AQ110" s="170">
        <f t="shared" si="21"/>
        <v>0</v>
      </c>
      <c r="AR110" s="170">
        <f t="shared" si="21"/>
        <v>0</v>
      </c>
      <c r="AS110" s="170">
        <f t="shared" si="21"/>
        <v>0</v>
      </c>
      <c r="AT110" s="170">
        <f t="shared" si="21"/>
        <v>0</v>
      </c>
      <c r="AU110" s="170">
        <f t="shared" si="21"/>
        <v>0</v>
      </c>
      <c r="AV110" s="170">
        <f t="shared" si="21"/>
        <v>0</v>
      </c>
      <c r="AW110" s="170">
        <f t="shared" si="21"/>
        <v>0</v>
      </c>
      <c r="AX110" s="170">
        <f t="shared" si="21"/>
        <v>0</v>
      </c>
      <c r="AY110" s="170">
        <f t="shared" si="21"/>
        <v>0</v>
      </c>
      <c r="AZ110" s="170">
        <f t="shared" si="21"/>
        <v>0</v>
      </c>
      <c r="BA110" s="170">
        <f t="shared" si="21"/>
        <v>0</v>
      </c>
      <c r="BB110" s="170">
        <f t="shared" si="21"/>
        <v>0</v>
      </c>
      <c r="BC110" s="170">
        <f t="shared" si="21"/>
        <v>0</v>
      </c>
      <c r="BD110" s="170">
        <f t="shared" si="9"/>
        <v>0</v>
      </c>
      <c r="BE110" s="170">
        <f t="shared" si="10"/>
        <v>0</v>
      </c>
      <c r="BF110" s="170">
        <f t="shared" si="11"/>
        <v>0</v>
      </c>
      <c r="BG110" s="170">
        <f t="shared" si="12"/>
        <v>0</v>
      </c>
      <c r="BH110" s="170">
        <f t="shared" si="13"/>
        <v>0</v>
      </c>
      <c r="BI110" s="170">
        <f t="shared" si="14"/>
        <v>0</v>
      </c>
      <c r="BJ110" s="170">
        <f t="shared" si="15"/>
        <v>0</v>
      </c>
      <c r="BK110" s="170">
        <f t="shared" si="16"/>
        <v>0</v>
      </c>
      <c r="BL110" s="170">
        <f t="shared" si="17"/>
        <v>0</v>
      </c>
      <c r="BM110" s="170">
        <f t="shared" si="18"/>
        <v>0</v>
      </c>
      <c r="BN110" s="774"/>
      <c r="BO110" s="774"/>
      <c r="BP110" s="774"/>
      <c r="BS110" s="694" t="s">
        <v>2125</v>
      </c>
    </row>
    <row r="111" spans="2:75" ht="14.65" hidden="1" customHeight="1">
      <c r="E111" s="505">
        <v>15</v>
      </c>
      <c r="F111" s="3" cm="1">
        <f t="array" aca="1" ref="F111" ca="1">OFFSET(E111,-1,1)</f>
        <v>0</v>
      </c>
      <c r="I111" s="72" t="s">
        <v>2126</v>
      </c>
      <c r="K111" s="72" t="s">
        <v>2126</v>
      </c>
      <c r="L111" s="25"/>
      <c r="M111" s="25"/>
      <c r="T111" s="351" t="b" cm="1">
        <f t="array" aca="1" ref="T111" ca="1">T110</f>
        <v>0</v>
      </c>
      <c r="X111" s="1024"/>
      <c r="Z111" s="1008"/>
      <c r="AB111" s="133" t="s">
        <v>2127</v>
      </c>
      <c r="AC111" s="134" t="s">
        <v>2128</v>
      </c>
      <c r="AD111" s="7" t="s">
        <v>859</v>
      </c>
      <c r="AE111" s="777"/>
      <c r="AF111" s="777"/>
      <c r="AG111" s="777"/>
      <c r="AH111" s="170">
        <f t="shared" si="7"/>
        <v>0</v>
      </c>
      <c r="AI111" s="777"/>
      <c r="AJ111" s="128"/>
      <c r="AK111" s="128"/>
      <c r="AL111" s="128"/>
      <c r="AM111" s="777"/>
      <c r="AN111" s="777"/>
      <c r="AO111" s="777"/>
      <c r="AP111" s="777"/>
      <c r="AQ111" s="777"/>
      <c r="AR111" s="777"/>
      <c r="AS111" s="777"/>
      <c r="AT111" s="128"/>
      <c r="AU111" s="128"/>
      <c r="AV111" s="128"/>
      <c r="AW111" s="777"/>
      <c r="AX111" s="777"/>
      <c r="AY111" s="777"/>
      <c r="AZ111" s="777"/>
      <c r="BA111" s="777"/>
      <c r="BB111" s="777"/>
      <c r="BC111" s="777"/>
      <c r="BD111" s="170">
        <f t="shared" si="9"/>
        <v>0</v>
      </c>
      <c r="BE111" s="170">
        <f t="shared" si="10"/>
        <v>0</v>
      </c>
      <c r="BF111" s="170">
        <f t="shared" si="11"/>
        <v>0</v>
      </c>
      <c r="BG111" s="170">
        <f t="shared" si="12"/>
        <v>0</v>
      </c>
      <c r="BH111" s="170">
        <f t="shared" si="13"/>
        <v>0</v>
      </c>
      <c r="BI111" s="170">
        <f t="shared" si="14"/>
        <v>0</v>
      </c>
      <c r="BJ111" s="170">
        <f t="shared" si="15"/>
        <v>0</v>
      </c>
      <c r="BK111" s="170">
        <f t="shared" si="16"/>
        <v>0</v>
      </c>
      <c r="BL111" s="170">
        <f t="shared" si="17"/>
        <v>0</v>
      </c>
      <c r="BM111" s="170">
        <f t="shared" si="18"/>
        <v>0</v>
      </c>
      <c r="BN111" s="774"/>
      <c r="BO111" s="774"/>
      <c r="BP111" s="774"/>
      <c r="BS111" s="694" t="s">
        <v>1282</v>
      </c>
    </row>
    <row r="112" spans="2:75" ht="14.65" hidden="1" customHeight="1">
      <c r="E112" s="505">
        <v>15</v>
      </c>
      <c r="F112" s="3" cm="1">
        <f t="array" aca="1" ref="F112" ca="1">OFFSET(E112,-1,1)</f>
        <v>0</v>
      </c>
      <c r="I112" s="72" t="s">
        <v>2129</v>
      </c>
      <c r="K112" s="72" t="s">
        <v>2129</v>
      </c>
      <c r="L112" s="25" t="s">
        <v>948</v>
      </c>
      <c r="M112" s="25"/>
      <c r="T112" s="351" t="b" cm="1">
        <f t="array" aca="1" ref="T112" ca="1">T111</f>
        <v>0</v>
      </c>
      <c r="X112" s="1024"/>
      <c r="Z112" s="1008"/>
      <c r="AB112" s="133" t="s">
        <v>2130</v>
      </c>
      <c r="AC112" s="134" t="s">
        <v>2131</v>
      </c>
      <c r="AD112" s="7" t="s">
        <v>859</v>
      </c>
      <c r="AE112" s="777"/>
      <c r="AF112" s="777"/>
      <c r="AG112" s="777"/>
      <c r="AH112" s="170">
        <f t="shared" si="7"/>
        <v>0</v>
      </c>
      <c r="AI112" s="777"/>
      <c r="AJ112" s="128"/>
      <c r="AK112" s="128"/>
      <c r="AL112" s="128"/>
      <c r="AM112" s="777"/>
      <c r="AN112" s="777"/>
      <c r="AO112" s="777"/>
      <c r="AP112" s="777"/>
      <c r="AQ112" s="777"/>
      <c r="AR112" s="777"/>
      <c r="AS112" s="777"/>
      <c r="AT112" s="128"/>
      <c r="AU112" s="128"/>
      <c r="AV112" s="128"/>
      <c r="AW112" s="777"/>
      <c r="AX112" s="777"/>
      <c r="AY112" s="777"/>
      <c r="AZ112" s="777"/>
      <c r="BA112" s="777"/>
      <c r="BB112" s="777"/>
      <c r="BC112" s="777"/>
      <c r="BD112" s="170">
        <f t="shared" si="9"/>
        <v>0</v>
      </c>
      <c r="BE112" s="170">
        <f t="shared" si="10"/>
        <v>0</v>
      </c>
      <c r="BF112" s="170">
        <f t="shared" si="11"/>
        <v>0</v>
      </c>
      <c r="BG112" s="170">
        <f t="shared" si="12"/>
        <v>0</v>
      </c>
      <c r="BH112" s="170">
        <f t="shared" si="13"/>
        <v>0</v>
      </c>
      <c r="BI112" s="170">
        <f t="shared" si="14"/>
        <v>0</v>
      </c>
      <c r="BJ112" s="170">
        <f t="shared" si="15"/>
        <v>0</v>
      </c>
      <c r="BK112" s="170">
        <f t="shared" si="16"/>
        <v>0</v>
      </c>
      <c r="BL112" s="170">
        <f t="shared" si="17"/>
        <v>0</v>
      </c>
      <c r="BM112" s="170">
        <f t="shared" si="18"/>
        <v>0</v>
      </c>
      <c r="BN112" s="774"/>
      <c r="BO112" s="774"/>
      <c r="BP112" s="774"/>
      <c r="BS112" s="694" t="s">
        <v>2132</v>
      </c>
    </row>
    <row r="113" spans="2:75" ht="21.95" hidden="1" customHeight="1">
      <c r="E113" s="505">
        <v>22.5</v>
      </c>
      <c r="F113" s="3" cm="1">
        <f t="array" aca="1" ref="F113" ca="1">OFFSET(E113,-1,1)</f>
        <v>0</v>
      </c>
      <c r="G113" s="72" t="s">
        <v>1521</v>
      </c>
      <c r="I113" s="72" t="s">
        <v>2133</v>
      </c>
      <c r="K113" s="72" t="s">
        <v>2133</v>
      </c>
      <c r="L113" s="25"/>
      <c r="M113" s="25"/>
      <c r="T113" s="351" t="b" cm="1">
        <f t="array" aca="1" ref="T113" ca="1">T112</f>
        <v>0</v>
      </c>
      <c r="X113" s="1024"/>
      <c r="Z113" s="1008"/>
      <c r="AB113" s="133" t="s">
        <v>1585</v>
      </c>
      <c r="AC113" s="127" t="s">
        <v>2134</v>
      </c>
      <c r="AD113" s="7" t="s">
        <v>859</v>
      </c>
      <c r="AE113" s="777"/>
      <c r="AF113" s="777"/>
      <c r="AG113" s="777"/>
      <c r="AH113" s="170">
        <f t="shared" si="7"/>
        <v>0</v>
      </c>
      <c r="AI113" s="777"/>
      <c r="AJ113" s="128"/>
      <c r="AK113" s="128"/>
      <c r="AL113" s="128"/>
      <c r="AM113" s="777"/>
      <c r="AN113" s="777"/>
      <c r="AO113" s="777"/>
      <c r="AP113" s="777"/>
      <c r="AQ113" s="777"/>
      <c r="AR113" s="777"/>
      <c r="AS113" s="777"/>
      <c r="AT113" s="128"/>
      <c r="AU113" s="128"/>
      <c r="AV113" s="128"/>
      <c r="AW113" s="777"/>
      <c r="AX113" s="777"/>
      <c r="AY113" s="777"/>
      <c r="AZ113" s="777"/>
      <c r="BA113" s="777"/>
      <c r="BB113" s="777"/>
      <c r="BC113" s="777"/>
      <c r="BD113" s="170">
        <f t="shared" si="9"/>
        <v>0</v>
      </c>
      <c r="BE113" s="170">
        <f t="shared" si="10"/>
        <v>0</v>
      </c>
      <c r="BF113" s="170">
        <f t="shared" si="11"/>
        <v>0</v>
      </c>
      <c r="BG113" s="170">
        <f t="shared" si="12"/>
        <v>0</v>
      </c>
      <c r="BH113" s="170">
        <f t="shared" si="13"/>
        <v>0</v>
      </c>
      <c r="BI113" s="170">
        <f t="shared" si="14"/>
        <v>0</v>
      </c>
      <c r="BJ113" s="170">
        <f t="shared" si="15"/>
        <v>0</v>
      </c>
      <c r="BK113" s="170">
        <f t="shared" si="16"/>
        <v>0</v>
      </c>
      <c r="BL113" s="170">
        <f t="shared" si="17"/>
        <v>0</v>
      </c>
      <c r="BM113" s="170">
        <f t="shared" si="18"/>
        <v>0</v>
      </c>
      <c r="BN113" s="774"/>
      <c r="BO113" s="774"/>
      <c r="BP113" s="774"/>
      <c r="BS113" s="694" t="s">
        <v>2135</v>
      </c>
    </row>
    <row r="114" spans="2:75" s="76" customFormat="1" ht="20.45" hidden="1" customHeight="1">
      <c r="B114" s="331"/>
      <c r="E114" s="509">
        <v>21</v>
      </c>
      <c r="F114" s="3" cm="1">
        <f t="array" aca="1" ref="F114" ca="1">OFFSET(E114,-1,1)</f>
        <v>0</v>
      </c>
      <c r="G114" s="72" t="s">
        <v>2136</v>
      </c>
      <c r="H114" s="72"/>
      <c r="I114" s="72" t="s">
        <v>323</v>
      </c>
      <c r="K114" s="72" t="s">
        <v>323</v>
      </c>
      <c r="L114" s="27" t="s">
        <v>1378</v>
      </c>
      <c r="M114" s="27"/>
      <c r="T114" s="351" t="b" cm="1">
        <f t="array" aca="1" ref="T114" ca="1">T113</f>
        <v>0</v>
      </c>
      <c r="X114" s="1024"/>
      <c r="Z114" s="1008"/>
      <c r="AB114" s="131" t="s">
        <v>319</v>
      </c>
      <c r="AC114" s="125" t="s">
        <v>2137</v>
      </c>
      <c r="AD114" s="124" t="s">
        <v>859</v>
      </c>
      <c r="AE114" s="126">
        <f ca="1">SUMIFS(ЭЭ!AE$25:AE$74,ЭЭ!$F$25:$F$74,$F114,ЭЭ!$AC$25:$AC$74,"Всего по тарифу")</f>
        <v>0</v>
      </c>
      <c r="AF114" s="126">
        <f ca="1">SUMIFS(ЭЭ!AF$25:AF$74,ЭЭ!$F$25:$F$74,$F114,ЭЭ!$AC$25:$AC$74,"Всего по тарифу")</f>
        <v>0</v>
      </c>
      <c r="AG114" s="126">
        <f ca="1">SUMIFS(ЭЭ!AG$25:AG$74,ЭЭ!$F$25:$F$74,$F114,ЭЭ!$AC$25:$AC$74,"Всего по тарифу")</f>
        <v>0</v>
      </c>
      <c r="AH114" s="126">
        <f t="shared" ca="1" si="7"/>
        <v>0</v>
      </c>
      <c r="AI114" s="126">
        <f ca="1">SUMIFS(ЭЭ!AH$25:AH$74,ЭЭ!$F$25:$F$74,$F114,ЭЭ!$AC$25:$AC$74,"Всего по тарифу")</f>
        <v>0</v>
      </c>
      <c r="AJ114" s="126">
        <f ca="1">SUMIFS(ЭЭ!AI$25:AI$74,ЭЭ!$F$25:$F$74,$F114,ЭЭ!$AC$25:$AC$74,"Всего по тарифу")</f>
        <v>0</v>
      </c>
      <c r="AK114" s="126">
        <f ca="1">SUMIFS(ЭЭ!AJ$25:AJ$74,ЭЭ!$F$25:$F$74,$F114,ЭЭ!$AC$25:$AC$74,"Всего по тарифу")</f>
        <v>0</v>
      </c>
      <c r="AL114" s="126">
        <f ca="1">SUMIFS(ЭЭ!AK$25:AK$74,ЭЭ!$F$25:$F$74,$F114,ЭЭ!$AC$25:$AC$74,"Всего по тарифу")</f>
        <v>0</v>
      </c>
      <c r="AM114" s="126">
        <f ca="1">SUMIFS(ЭЭ!AL$25:AL$74,ЭЭ!$F$25:$F$74,$F114,ЭЭ!$AC$25:$AC$74,"Всего по тарифу")</f>
        <v>0</v>
      </c>
      <c r="AN114" s="126">
        <f ca="1">SUMIFS(ЭЭ!AM$25:AM$74,ЭЭ!$F$25:$F$74,$F114,ЭЭ!$AC$25:$AC$74,"Всего по тарифу")</f>
        <v>0</v>
      </c>
      <c r="AO114" s="126">
        <f ca="1">SUMIFS(ЭЭ!AN$25:AN$74,ЭЭ!$F$25:$F$74,$F114,ЭЭ!$AC$25:$AC$74,"Всего по тарифу")</f>
        <v>0</v>
      </c>
      <c r="AP114" s="126">
        <f ca="1">SUMIFS(ЭЭ!AO$25:AO$74,ЭЭ!$F$25:$F$74,$F114,ЭЭ!$AC$25:$AC$74,"Всего по тарифу")</f>
        <v>0</v>
      </c>
      <c r="AQ114" s="126">
        <f ca="1">SUMIFS(ЭЭ!AP$25:AP$74,ЭЭ!$F$25:$F$74,$F114,ЭЭ!$AC$25:$AC$74,"Всего по тарифу")</f>
        <v>0</v>
      </c>
      <c r="AR114" s="126">
        <f ca="1">SUMIFS(ЭЭ!AQ$25:AQ$74,ЭЭ!$F$25:$F$74,$F114,ЭЭ!$AC$25:$AC$74,"Всего по тарифу")</f>
        <v>0</v>
      </c>
      <c r="AS114" s="126">
        <f ca="1">SUMIFS(ЭЭ!AR$25:AR$74,ЭЭ!$F$25:$F$74,$F114,ЭЭ!$AC$25:$AC$74,"Всего по тарифу")</f>
        <v>0</v>
      </c>
      <c r="AT114" s="126">
        <f ca="1">SUMIFS(ЭЭ!AS$25:AS$74,ЭЭ!$F$25:$F$74,$F114,ЭЭ!$AC$25:$AC$74,"Всего по тарифу")</f>
        <v>0</v>
      </c>
      <c r="AU114" s="126">
        <f ca="1">SUMIFS(ЭЭ!AT$25:AT$74,ЭЭ!$F$25:$F$74,$F114,ЭЭ!$AC$25:$AC$74,"Всего по тарифу")</f>
        <v>0</v>
      </c>
      <c r="AV114" s="126">
        <f ca="1">SUMIFS(ЭЭ!AU$25:AU$74,ЭЭ!$F$25:$F$74,$F114,ЭЭ!$AC$25:$AC$74,"Всего по тарифу")</f>
        <v>0</v>
      </c>
      <c r="AW114" s="126">
        <f ca="1">SUMIFS(ЭЭ!AV$25:AV$74,ЭЭ!$F$25:$F$74,$F114,ЭЭ!$AC$25:$AC$74,"Всего по тарифу")</f>
        <v>0</v>
      </c>
      <c r="AX114" s="126">
        <f ca="1">SUMIFS(ЭЭ!AW$25:AW$74,ЭЭ!$F$25:$F$74,$F114,ЭЭ!$AC$25:$AC$74,"Всего по тарифу")</f>
        <v>0</v>
      </c>
      <c r="AY114" s="126">
        <f ca="1">SUMIFS(ЭЭ!AX$25:AX$74,ЭЭ!$F$25:$F$74,$F114,ЭЭ!$AC$25:$AC$74,"Всего по тарифу")</f>
        <v>0</v>
      </c>
      <c r="AZ114" s="126">
        <f ca="1">SUMIFS(ЭЭ!AY$25:AY$74,ЭЭ!$F$25:$F$74,$F114,ЭЭ!$AC$25:$AC$74,"Всего по тарифу")</f>
        <v>0</v>
      </c>
      <c r="BA114" s="126">
        <f ca="1">SUMIFS(ЭЭ!AZ$25:AZ$74,ЭЭ!$F$25:$F$74,$F114,ЭЭ!$AC$25:$AC$74,"Всего по тарифу")</f>
        <v>0</v>
      </c>
      <c r="BB114" s="126">
        <f ca="1">SUMIFS(ЭЭ!BA$25:BA$74,ЭЭ!$F$25:$F$74,$F114,ЭЭ!$AC$25:$AC$74,"Всего по тарифу")</f>
        <v>0</v>
      </c>
      <c r="BC114" s="126">
        <f ca="1">SUMIFS(ЭЭ!BB$25:BB$74,ЭЭ!$F$25:$F$74,$F114,ЭЭ!$AC$25:$AC$74,"Всего по тарифу")</f>
        <v>0</v>
      </c>
      <c r="BD114" s="126">
        <f t="shared" ca="1" si="9"/>
        <v>0</v>
      </c>
      <c r="BE114" s="126">
        <f t="shared" ca="1" si="10"/>
        <v>0</v>
      </c>
      <c r="BF114" s="126">
        <f t="shared" ca="1" si="11"/>
        <v>0</v>
      </c>
      <c r="BG114" s="126">
        <f t="shared" ca="1" si="12"/>
        <v>0</v>
      </c>
      <c r="BH114" s="126">
        <f t="shared" ca="1" si="13"/>
        <v>0</v>
      </c>
      <c r="BI114" s="126">
        <f t="shared" ca="1" si="14"/>
        <v>0</v>
      </c>
      <c r="BJ114" s="126">
        <f t="shared" ca="1" si="15"/>
        <v>0</v>
      </c>
      <c r="BK114" s="126">
        <f t="shared" ca="1" si="16"/>
        <v>0</v>
      </c>
      <c r="BL114" s="126">
        <f t="shared" ca="1" si="17"/>
        <v>0</v>
      </c>
      <c r="BM114" s="126">
        <f t="shared" ca="1" si="18"/>
        <v>0</v>
      </c>
      <c r="BN114" s="774"/>
      <c r="BO114" s="778" t="str">
        <f ca="1">IF(IFERROR(INDEX(ЭЭ!$K$26:$L$74,MATCH($F114&amp;"komm",ЭЭ!$K$26:$K$74,0),2),"")=0,"",IFERROR(INDEX(ЭЭ!$K$26:$L$74,MATCH($F114&amp;"komm",ЭЭ!$K$26:$K$74,0),2),""))</f>
        <v/>
      </c>
      <c r="BP114" s="774"/>
      <c r="BS114" s="700" t="s">
        <v>1751</v>
      </c>
      <c r="BT114" s="700"/>
      <c r="BU114" s="700"/>
      <c r="BV114" s="509"/>
      <c r="BW114" s="509"/>
    </row>
    <row r="115" spans="2:75" s="76" customFormat="1" ht="21.95" hidden="1" customHeight="1">
      <c r="B115" s="76" t="b">
        <f>method_reg="Метод индексации"</f>
        <v>1</v>
      </c>
      <c r="E115" s="509">
        <v>22.5</v>
      </c>
      <c r="F115" s="3" cm="1">
        <f t="array" aca="1" ref="F115" ca="1">OFFSET(E115,-1,1)</f>
        <v>0</v>
      </c>
      <c r="G115" s="72" t="s">
        <v>1543</v>
      </c>
      <c r="H115" s="72"/>
      <c r="I115" s="72" t="s">
        <v>325</v>
      </c>
      <c r="K115" s="72" t="s">
        <v>325</v>
      </c>
      <c r="L115" s="27" t="s">
        <v>324</v>
      </c>
      <c r="M115" s="27"/>
      <c r="T115" s="351" t="b" cm="1">
        <f t="array" aca="1" ref="T115" ca="1">T114</f>
        <v>0</v>
      </c>
      <c r="X115" s="1024"/>
      <c r="Z115" s="1008"/>
      <c r="AB115" s="131" t="s">
        <v>438</v>
      </c>
      <c r="AC115" s="125" t="s">
        <v>2138</v>
      </c>
      <c r="AD115" s="124" t="s">
        <v>859</v>
      </c>
      <c r="AE115" s="126">
        <f ca="1">SUMIFS(Амортизация!AE$25:AE$125,Амортизация!$F$25:$F$125,$F115,Амортизация!$AC$25:$AC$125,"Сумма амортизационных отчислений")</f>
        <v>0</v>
      </c>
      <c r="AF115" s="126">
        <f ca="1">SUMIFS(Амортизация!AF$25:AF$125,Амортизация!$F$25:$F$125,$F115,Амортизация!$AC$25:$AC$125,"Сумма амортизационных отчислений")</f>
        <v>0</v>
      </c>
      <c r="AG115" s="126">
        <f ca="1">SUMIFS(Амортизация!AG$25:AG$125,Амортизация!$F$25:$F$125,$F115,Амортизация!$AC$25:$AC$125,"Сумма амортизационных отчислений")</f>
        <v>0</v>
      </c>
      <c r="AH115" s="126">
        <f t="shared" ca="1" si="7"/>
        <v>0</v>
      </c>
      <c r="AI115" s="126">
        <f ca="1">SUMIFS(Амортизация!AH$25:AH$125,Амортизация!$F$25:$F$125,$F115,Амортизация!$AC$25:$AC$125,"Сумма амортизационных отчислений")</f>
        <v>0</v>
      </c>
      <c r="AJ115" s="126">
        <f ca="1">SUMIFS(Амортизация!AI$25:AI$125,Амортизация!$F$25:$F$125,$F115,Амортизация!$AC$25:$AC$125,"Сумма амортизационных отчислений")</f>
        <v>0</v>
      </c>
      <c r="AK115" s="126">
        <f ca="1">SUMIFS(Амортизация!AJ$25:AJ$125,Амортизация!$F$25:$F$125,$F115,Амортизация!$AC$25:$AC$125,"Сумма амортизационных отчислений")</f>
        <v>0</v>
      </c>
      <c r="AL115" s="126">
        <f ca="1">SUMIFS(Амортизация!AK$25:AK$125,Амортизация!$F$25:$F$125,$F115,Амортизация!$AC$25:$AC$125,"Сумма амортизационных отчислений")</f>
        <v>0</v>
      </c>
      <c r="AM115" s="126">
        <f ca="1">SUMIFS(Амортизация!AL$25:AL$125,Амортизация!$F$25:$F$125,$F115,Амортизация!$AC$25:$AC$125,"Сумма амортизационных отчислений")</f>
        <v>0</v>
      </c>
      <c r="AN115" s="126">
        <f ca="1">SUMIFS(Амортизация!AM$25:AM$125,Амортизация!$F$25:$F$125,$F115,Амортизация!$AC$25:$AC$125,"Сумма амортизационных отчислений")</f>
        <v>0</v>
      </c>
      <c r="AO115" s="126">
        <f ca="1">SUMIFS(Амортизация!AN$25:AN$125,Амортизация!$F$25:$F$125,$F115,Амортизация!$AC$25:$AC$125,"Сумма амортизационных отчислений")</f>
        <v>0</v>
      </c>
      <c r="AP115" s="126">
        <f ca="1">SUMIFS(Амортизация!AO$25:AO$125,Амортизация!$F$25:$F$125,$F115,Амортизация!$AC$25:$AC$125,"Сумма амортизационных отчислений")</f>
        <v>0</v>
      </c>
      <c r="AQ115" s="126">
        <f ca="1">SUMIFS(Амортизация!AP$25:AP$125,Амортизация!$F$25:$F$125,$F115,Амортизация!$AC$25:$AC$125,"Сумма амортизационных отчислений")</f>
        <v>0</v>
      </c>
      <c r="AR115" s="126">
        <f ca="1">SUMIFS(Амортизация!AQ$25:AQ$125,Амортизация!$F$25:$F$125,$F115,Амортизация!$AC$25:$AC$125,"Сумма амортизационных отчислений")</f>
        <v>0</v>
      </c>
      <c r="AS115" s="126">
        <f ca="1">SUMIFS(Амортизация!AR$25:AR$125,Амортизация!$F$25:$F$125,$F115,Амортизация!$AC$25:$AC$125,"Сумма амортизационных отчислений")</f>
        <v>0</v>
      </c>
      <c r="AT115" s="126">
        <f ca="1">SUMIFS(Амортизация!AS$25:AS$125,Амортизация!$F$25:$F$125,$F115,Амортизация!$AC$25:$AC$125,"Сумма амортизационных отчислений")</f>
        <v>0</v>
      </c>
      <c r="AU115" s="126">
        <f ca="1">SUMIFS(Амортизация!AT$25:AT$125,Амортизация!$F$25:$F$125,$F115,Амортизация!$AC$25:$AC$125,"Сумма амортизационных отчислений")</f>
        <v>0</v>
      </c>
      <c r="AV115" s="126">
        <f ca="1">SUMIFS(Амортизация!AU$25:AU$125,Амортизация!$F$25:$F$125,$F115,Амортизация!$AC$25:$AC$125,"Сумма амортизационных отчислений")</f>
        <v>0</v>
      </c>
      <c r="AW115" s="126">
        <f ca="1">SUMIFS(Амортизация!AV$25:AV$125,Амортизация!$F$25:$F$125,$F115,Амортизация!$AC$25:$AC$125,"Сумма амортизационных отчислений")</f>
        <v>0</v>
      </c>
      <c r="AX115" s="126">
        <f ca="1">SUMIFS(Амортизация!AW$25:AW$125,Амортизация!$F$25:$F$125,$F115,Амортизация!$AC$25:$AC$125,"Сумма амортизационных отчислений")</f>
        <v>0</v>
      </c>
      <c r="AY115" s="126">
        <f ca="1">SUMIFS(Амортизация!AX$25:AX$125,Амортизация!$F$25:$F$125,$F115,Амортизация!$AC$25:$AC$125,"Сумма амортизационных отчислений")</f>
        <v>0</v>
      </c>
      <c r="AZ115" s="126">
        <f ca="1">SUMIFS(Амортизация!AY$25:AY$125,Амортизация!$F$25:$F$125,$F115,Амортизация!$AC$25:$AC$125,"Сумма амортизационных отчислений")</f>
        <v>0</v>
      </c>
      <c r="BA115" s="126">
        <f ca="1">SUMIFS(Амортизация!AZ$25:AZ$125,Амортизация!$F$25:$F$125,$F115,Амортизация!$AC$25:$AC$125,"Сумма амортизационных отчислений")</f>
        <v>0</v>
      </c>
      <c r="BB115" s="126">
        <f ca="1">SUMIFS(Амортизация!BA$25:BA$125,Амортизация!$F$25:$F$125,$F115,Амортизация!$AC$25:$AC$125,"Сумма амортизационных отчислений")</f>
        <v>0</v>
      </c>
      <c r="BC115" s="126">
        <f ca="1">SUMIFS(Амортизация!BB$25:BB$125,Амортизация!$F$25:$F$125,$F115,Амортизация!$AC$25:$AC$125,"Сумма амортизационных отчислений")</f>
        <v>0</v>
      </c>
      <c r="BD115" s="126">
        <f t="shared" ca="1" si="9"/>
        <v>0</v>
      </c>
      <c r="BE115" s="126">
        <f t="shared" ca="1" si="10"/>
        <v>0</v>
      </c>
      <c r="BF115" s="126">
        <f t="shared" ca="1" si="11"/>
        <v>0</v>
      </c>
      <c r="BG115" s="126">
        <f t="shared" ca="1" si="12"/>
        <v>0</v>
      </c>
      <c r="BH115" s="126">
        <f t="shared" ca="1" si="13"/>
        <v>0</v>
      </c>
      <c r="BI115" s="126">
        <f t="shared" ca="1" si="14"/>
        <v>0</v>
      </c>
      <c r="BJ115" s="126">
        <f t="shared" ca="1" si="15"/>
        <v>0</v>
      </c>
      <c r="BK115" s="126">
        <f t="shared" ca="1" si="16"/>
        <v>0</v>
      </c>
      <c r="BL115" s="126">
        <f t="shared" ca="1" si="17"/>
        <v>0</v>
      </c>
      <c r="BM115" s="126">
        <f t="shared" ca="1" si="18"/>
        <v>0</v>
      </c>
      <c r="BN115" s="774"/>
      <c r="BO115" s="778" t="str">
        <f ca="1">IF(IFERROR(INDEX(Амортизация!$K$26:$L$125,MATCH($F115&amp;"komm",Амортизация!$K$26:$K$125,0),2),"")=0,"",IFERROR(INDEX(Амортизация!$K$26:$L$125,MATCH($F115&amp;"komm",Амортизация!$K$26:$K$125,0),2),""))</f>
        <v/>
      </c>
      <c r="BP115" s="774"/>
      <c r="BS115" s="700" t="s">
        <v>1242</v>
      </c>
      <c r="BT115" s="700"/>
      <c r="BU115" s="700"/>
      <c r="BV115" s="509"/>
      <c r="BW115" s="509"/>
    </row>
    <row r="116" spans="2:75" ht="14.65" hidden="1" customHeight="1">
      <c r="B116" s="328" t="b" cm="1">
        <f t="array" ref="B116">B115</f>
        <v>1</v>
      </c>
      <c r="E116" s="505">
        <v>15</v>
      </c>
      <c r="F116" s="3" cm="1">
        <f t="array" aca="1" ref="F116" ca="1">OFFSET(E116,-1,1)</f>
        <v>0</v>
      </c>
      <c r="I116" s="72" t="s">
        <v>587</v>
      </c>
      <c r="K116" s="72" t="s">
        <v>587</v>
      </c>
      <c r="L116" s="25" t="s">
        <v>601</v>
      </c>
      <c r="M116" s="25"/>
      <c r="T116" s="351" t="b" cm="1">
        <f t="array" aca="1" ref="T116" ca="1">T115</f>
        <v>0</v>
      </c>
      <c r="X116" s="1024"/>
      <c r="Z116" s="1008"/>
      <c r="AB116" s="133" t="s">
        <v>722</v>
      </c>
      <c r="AC116" s="127" t="s">
        <v>1844</v>
      </c>
      <c r="AD116" s="7" t="s">
        <v>859</v>
      </c>
      <c r="AE116" s="777">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777">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777">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70">
        <f t="shared" ca="1" si="7"/>
        <v>0</v>
      </c>
      <c r="AI116" s="777">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28">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28">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28">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777">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777">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777">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777">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777">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777">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777">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28">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28">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28">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777">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777">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777">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777">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777">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777">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777">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70">
        <f t="shared" ca="1" si="9"/>
        <v>0</v>
      </c>
      <c r="BE116" s="170">
        <f t="shared" ca="1" si="10"/>
        <v>0</v>
      </c>
      <c r="BF116" s="170">
        <f t="shared" ca="1" si="11"/>
        <v>0</v>
      </c>
      <c r="BG116" s="170">
        <f t="shared" ca="1" si="12"/>
        <v>0</v>
      </c>
      <c r="BH116" s="170">
        <f t="shared" ca="1" si="13"/>
        <v>0</v>
      </c>
      <c r="BI116" s="170">
        <f t="shared" ca="1" si="14"/>
        <v>0</v>
      </c>
      <c r="BJ116" s="170">
        <f t="shared" ca="1" si="15"/>
        <v>0</v>
      </c>
      <c r="BK116" s="170">
        <f t="shared" ca="1" si="16"/>
        <v>0</v>
      </c>
      <c r="BL116" s="170">
        <f t="shared" ca="1" si="17"/>
        <v>0</v>
      </c>
      <c r="BM116" s="170">
        <f t="shared" ca="1" si="18"/>
        <v>0</v>
      </c>
      <c r="BN116" s="774"/>
      <c r="BO116" s="774"/>
      <c r="BP116" s="774"/>
      <c r="BS116" s="694" t="s">
        <v>1845</v>
      </c>
    </row>
    <row r="117" spans="2:75" s="76" customFormat="1" ht="20.45" hidden="1" customHeight="1">
      <c r="B117" s="328" t="b" cm="1">
        <f t="array" ref="B117">B116</f>
        <v>1</v>
      </c>
      <c r="E117" s="509">
        <v>21</v>
      </c>
      <c r="F117" s="3" cm="1">
        <f t="array" aca="1" ref="F117" ca="1">OFFSET(E117,-1,1)</f>
        <v>0</v>
      </c>
      <c r="G117" s="72" t="s">
        <v>1547</v>
      </c>
      <c r="H117" s="72"/>
      <c r="I117" s="72" t="s">
        <v>324</v>
      </c>
      <c r="K117" s="72" t="s">
        <v>324</v>
      </c>
      <c r="L117" s="27" t="s">
        <v>613</v>
      </c>
      <c r="M117" s="27"/>
      <c r="T117" s="351" t="b" cm="1">
        <f t="array" aca="1" ref="T117" ca="1">T116</f>
        <v>0</v>
      </c>
      <c r="X117" s="1024"/>
      <c r="Z117" s="1008"/>
      <c r="AB117" s="131" t="s">
        <v>440</v>
      </c>
      <c r="AC117" s="125" t="s">
        <v>1547</v>
      </c>
      <c r="AD117" s="147" t="s">
        <v>859</v>
      </c>
      <c r="AE117" s="126">
        <f ca="1">AE118+AE119+AE120+AE121</f>
        <v>0</v>
      </c>
      <c r="AF117" s="126">
        <f ca="1">AF118+AF119+AF120+AF121</f>
        <v>0</v>
      </c>
      <c r="AG117" s="126">
        <f ca="1">AG118+AG119+AG120+AG121</f>
        <v>0</v>
      </c>
      <c r="AH117" s="126">
        <f t="shared" ca="1" si="7"/>
        <v>0</v>
      </c>
      <c r="AI117" s="126">
        <f t="shared" ref="AI117:BC117" ca="1" si="22">AI118+AI119+AI120+AI121</f>
        <v>0</v>
      </c>
      <c r="AJ117" s="126">
        <f t="shared" ca="1" si="22"/>
        <v>0</v>
      </c>
      <c r="AK117" s="126">
        <f t="shared" ca="1" si="22"/>
        <v>0</v>
      </c>
      <c r="AL117" s="126">
        <f t="shared" ca="1" si="22"/>
        <v>0</v>
      </c>
      <c r="AM117" s="126">
        <f t="shared" ca="1" si="22"/>
        <v>0</v>
      </c>
      <c r="AN117" s="126">
        <f t="shared" ca="1" si="22"/>
        <v>0</v>
      </c>
      <c r="AO117" s="126">
        <f t="shared" ca="1" si="22"/>
        <v>0</v>
      </c>
      <c r="AP117" s="126">
        <f t="shared" ca="1" si="22"/>
        <v>0</v>
      </c>
      <c r="AQ117" s="126">
        <f t="shared" ca="1" si="22"/>
        <v>0</v>
      </c>
      <c r="AR117" s="126">
        <f t="shared" ca="1" si="22"/>
        <v>0</v>
      </c>
      <c r="AS117" s="126">
        <f t="shared" ca="1" si="22"/>
        <v>0</v>
      </c>
      <c r="AT117" s="126">
        <f t="shared" ca="1" si="22"/>
        <v>0</v>
      </c>
      <c r="AU117" s="126">
        <f t="shared" ca="1" si="22"/>
        <v>0</v>
      </c>
      <c r="AV117" s="126">
        <f t="shared" ca="1" si="22"/>
        <v>0</v>
      </c>
      <c r="AW117" s="126">
        <f t="shared" ca="1" si="22"/>
        <v>0</v>
      </c>
      <c r="AX117" s="126">
        <f t="shared" ca="1" si="22"/>
        <v>0</v>
      </c>
      <c r="AY117" s="126">
        <f t="shared" ca="1" si="22"/>
        <v>0</v>
      </c>
      <c r="AZ117" s="126">
        <f t="shared" ca="1" si="22"/>
        <v>0</v>
      </c>
      <c r="BA117" s="126">
        <f t="shared" ca="1" si="22"/>
        <v>0</v>
      </c>
      <c r="BB117" s="126">
        <f t="shared" ca="1" si="22"/>
        <v>0</v>
      </c>
      <c r="BC117" s="126">
        <f t="shared" ca="1" si="22"/>
        <v>0</v>
      </c>
      <c r="BD117" s="126">
        <f t="shared" ca="1" si="9"/>
        <v>0</v>
      </c>
      <c r="BE117" s="126">
        <f t="shared" ca="1" si="10"/>
        <v>0</v>
      </c>
      <c r="BF117" s="126">
        <f t="shared" ca="1" si="11"/>
        <v>0</v>
      </c>
      <c r="BG117" s="126">
        <f t="shared" ca="1" si="12"/>
        <v>0</v>
      </c>
      <c r="BH117" s="126">
        <f t="shared" ca="1" si="13"/>
        <v>0</v>
      </c>
      <c r="BI117" s="126">
        <f t="shared" ca="1" si="14"/>
        <v>0</v>
      </c>
      <c r="BJ117" s="126">
        <f t="shared" ca="1" si="15"/>
        <v>0</v>
      </c>
      <c r="BK117" s="126">
        <f t="shared" ca="1" si="16"/>
        <v>0</v>
      </c>
      <c r="BL117" s="126">
        <f t="shared" ca="1" si="17"/>
        <v>0</v>
      </c>
      <c r="BM117" s="126">
        <f t="shared" ca="1" si="18"/>
        <v>0</v>
      </c>
      <c r="BN117" s="774"/>
      <c r="BO117" s="774"/>
      <c r="BP117" s="774"/>
      <c r="BS117" s="693" t="s">
        <v>1551</v>
      </c>
      <c r="BT117" s="700"/>
      <c r="BU117" s="700"/>
      <c r="BV117" s="509"/>
      <c r="BW117" s="509"/>
    </row>
    <row r="118" spans="2:75" ht="14.65" hidden="1" customHeight="1">
      <c r="B118" s="328" t="b" cm="1">
        <f t="array" ref="B118">B117</f>
        <v>1</v>
      </c>
      <c r="E118" s="505">
        <v>15</v>
      </c>
      <c r="F118" s="3" cm="1">
        <f t="array" aca="1" ref="F118" ca="1">OFFSET(E118,-1,1)</f>
        <v>0</v>
      </c>
      <c r="I118" s="72" t="s">
        <v>601</v>
      </c>
      <c r="K118" s="72" t="s">
        <v>601</v>
      </c>
      <c r="L118" s="25"/>
      <c r="M118" s="25"/>
      <c r="T118" s="351" t="b" cm="1">
        <f t="array" aca="1" ref="T118" ca="1">T117</f>
        <v>0</v>
      </c>
      <c r="X118" s="1024"/>
      <c r="Z118" s="1008"/>
      <c r="AB118" s="133" t="s">
        <v>729</v>
      </c>
      <c r="AC118" s="127" t="s">
        <v>2139</v>
      </c>
      <c r="AD118" s="7" t="s">
        <v>859</v>
      </c>
      <c r="AE118" s="777">
        <f ca="1">SUMIFS('ИП + источники'!AF$27:AF$87,'ИП + источники'!$F$27:$F$87,$F118,'ИП + источники'!$AC$27:$AC$87,"погашение займов и кредитов из нормативной прибыли")</f>
        <v>0</v>
      </c>
      <c r="AF118" s="777">
        <f ca="1">SUMIFS('ИП + источники'!AG$27:AG$87,'ИП + источники'!$F$27:$F$87,$F118,'ИП + источники'!$AC$27:$AC$87,"погашение займов и кредитов из нормативной прибыли")</f>
        <v>0</v>
      </c>
      <c r="AG118" s="777">
        <f ca="1">SUMIFS('ИП + источники'!AH$27:AH$87,'ИП + источники'!$F$27:$F$87,$F118,'ИП + источники'!$AC$27:$AC$87,"погашение займов и кредитов из нормативной прибыли")</f>
        <v>0</v>
      </c>
      <c r="AH118" s="170">
        <f t="shared" ca="1" si="7"/>
        <v>0</v>
      </c>
      <c r="AI118" s="777">
        <f ca="1">SUMIFS('ИП + источники'!AJ$27:AJ$87,'ИП + источники'!$F$27:$F$87,$F118,'ИП + источники'!$AC$27:$AC$87,"погашение займов и кредитов из нормативной прибыли")</f>
        <v>0</v>
      </c>
      <c r="AJ118" s="128">
        <f ca="1">SUMIFS('ИП + источники'!AK$27:AK$87,'ИП + источники'!$F$27:$F$87,$F118,'ИП + источники'!$AC$27:$AC$87,"погашение займов и кредитов из нормативной прибыли")</f>
        <v>0</v>
      </c>
      <c r="AK118" s="128">
        <f ca="1">SUMIFS('ИП + источники'!AL$27:AL$87,'ИП + источники'!$F$27:$F$87,$F118,'ИП + источники'!$AC$27:$AC$87,"погашение займов и кредитов из нормативной прибыли")</f>
        <v>0</v>
      </c>
      <c r="AL118" s="128">
        <f ca="1">SUMIFS('ИП + источники'!AM$27:AM$87,'ИП + источники'!$F$27:$F$87,$F118,'ИП + источники'!$AC$27:$AC$87,"погашение займов и кредитов из нормативной прибыли")</f>
        <v>0</v>
      </c>
      <c r="AM118" s="777">
        <f ca="1">SUMIFS('ИП + источники'!AN$27:AN$87,'ИП + источники'!$F$27:$F$87,$F118,'ИП + источники'!$AC$27:$AC$87,"погашение займов и кредитов из нормативной прибыли")</f>
        <v>0</v>
      </c>
      <c r="AN118" s="777">
        <f ca="1">SUMIFS('ИП + источники'!AO$27:AO$87,'ИП + источники'!$F$27:$F$87,$F118,'ИП + источники'!$AC$27:$AC$87,"погашение займов и кредитов из нормативной прибыли")</f>
        <v>0</v>
      </c>
      <c r="AO118" s="777">
        <f ca="1">SUMIFS('ИП + источники'!AP$27:AP$87,'ИП + источники'!$F$27:$F$87,$F118,'ИП + источники'!$AC$27:$AC$87,"погашение займов и кредитов из нормативной прибыли")</f>
        <v>0</v>
      </c>
      <c r="AP118" s="777">
        <f ca="1">SUMIFS('ИП + источники'!AQ$27:AQ$87,'ИП + источники'!$F$27:$F$87,$F118,'ИП + источники'!$AC$27:$AC$87,"погашение займов и кредитов из нормативной прибыли")</f>
        <v>0</v>
      </c>
      <c r="AQ118" s="777">
        <f ca="1">SUMIFS('ИП + источники'!AR$27:AR$87,'ИП + источники'!$F$27:$F$87,$F118,'ИП + источники'!$AC$27:$AC$87,"погашение займов и кредитов из нормативной прибыли")</f>
        <v>0</v>
      </c>
      <c r="AR118" s="777">
        <f ca="1">SUMIFS('ИП + источники'!AS$27:AS$87,'ИП + источники'!$F$27:$F$87,$F118,'ИП + источники'!$AC$27:$AC$87,"погашение займов и кредитов из нормативной прибыли")</f>
        <v>0</v>
      </c>
      <c r="AS118" s="777">
        <f ca="1">SUMIFS('ИП + источники'!AT$27:AT$87,'ИП + источники'!$F$27:$F$87,$F118,'ИП + источники'!$AC$27:$AC$87,"погашение займов и кредитов из нормативной прибыли")</f>
        <v>0</v>
      </c>
      <c r="AT118" s="128">
        <f ca="1">SUMIFS('ИП + источники'!AU$27:AU$87,'ИП + источники'!$F$27:$F$87,$F118,'ИП + источники'!$AC$27:$AC$87,"погашение займов и кредитов из нормативной прибыли")</f>
        <v>0</v>
      </c>
      <c r="AU118" s="128">
        <f ca="1">SUMIFS('ИП + источники'!AV$27:AV$87,'ИП + источники'!$F$27:$F$87,$F118,'ИП + источники'!$AC$27:$AC$87,"погашение займов и кредитов из нормативной прибыли")</f>
        <v>0</v>
      </c>
      <c r="AV118" s="128">
        <f ca="1">SUMIFS('ИП + источники'!AW$27:AW$87,'ИП + источники'!$F$27:$F$87,$F118,'ИП + источники'!$AC$27:$AC$87,"погашение займов и кредитов из нормативной прибыли")</f>
        <v>0</v>
      </c>
      <c r="AW118" s="777">
        <f ca="1">SUMIFS('ИП + источники'!AX$27:AX$87,'ИП + источники'!$F$27:$F$87,$F118,'ИП + источники'!$AC$27:$AC$87,"погашение займов и кредитов из нормативной прибыли")</f>
        <v>0</v>
      </c>
      <c r="AX118" s="777">
        <f ca="1">SUMIFS('ИП + источники'!AY$27:AY$87,'ИП + источники'!$F$27:$F$87,$F118,'ИП + источники'!$AC$27:$AC$87,"погашение займов и кредитов из нормативной прибыли")</f>
        <v>0</v>
      </c>
      <c r="AY118" s="777">
        <f ca="1">SUMIFS('ИП + источники'!AZ$27:AZ$87,'ИП + источники'!$F$27:$F$87,$F118,'ИП + источники'!$AC$27:$AC$87,"погашение займов и кредитов из нормативной прибыли")</f>
        <v>0</v>
      </c>
      <c r="AZ118" s="777">
        <f ca="1">SUMIFS('ИП + источники'!BA$27:BA$87,'ИП + источники'!$F$27:$F$87,$F118,'ИП + источники'!$AC$27:$AC$87,"погашение займов и кредитов из нормативной прибыли")</f>
        <v>0</v>
      </c>
      <c r="BA118" s="777">
        <f ca="1">SUMIFS('ИП + источники'!BB$27:BB$87,'ИП + источники'!$F$27:$F$87,$F118,'ИП + источники'!$AC$27:$AC$87,"погашение займов и кредитов из нормативной прибыли")</f>
        <v>0</v>
      </c>
      <c r="BB118" s="777">
        <f ca="1">SUMIFS('ИП + источники'!BC$27:BC$87,'ИП + источники'!$F$27:$F$87,$F118,'ИП + источники'!$AC$27:$AC$87,"погашение займов и кредитов из нормативной прибыли")</f>
        <v>0</v>
      </c>
      <c r="BC118" s="777">
        <f ca="1">SUMIFS('ИП + источники'!BD$27:BD$87,'ИП + источники'!$F$27:$F$87,$F118,'ИП + источники'!$AC$27:$AC$87,"погашение займов и кредитов из нормативной прибыли")</f>
        <v>0</v>
      </c>
      <c r="BD118" s="170">
        <f t="shared" ca="1" si="9"/>
        <v>0</v>
      </c>
      <c r="BE118" s="170">
        <f t="shared" ca="1" si="10"/>
        <v>0</v>
      </c>
      <c r="BF118" s="170">
        <f t="shared" ca="1" si="11"/>
        <v>0</v>
      </c>
      <c r="BG118" s="170">
        <f t="shared" ca="1" si="12"/>
        <v>0</v>
      </c>
      <c r="BH118" s="170">
        <f t="shared" ca="1" si="13"/>
        <v>0</v>
      </c>
      <c r="BI118" s="170">
        <f t="shared" ca="1" si="14"/>
        <v>0</v>
      </c>
      <c r="BJ118" s="170">
        <f t="shared" ca="1" si="15"/>
        <v>0</v>
      </c>
      <c r="BK118" s="170">
        <f t="shared" ca="1" si="16"/>
        <v>0</v>
      </c>
      <c r="BL118" s="170">
        <f t="shared" ca="1" si="17"/>
        <v>0</v>
      </c>
      <c r="BM118" s="170">
        <f t="shared" ca="1" si="18"/>
        <v>0</v>
      </c>
      <c r="BN118" s="774"/>
      <c r="BO118" s="778" t="str">
        <f ca="1">IF(IFERROR(INDEX('ИП + источники'!$K$28:$L$87,MATCH($F118&amp;"2komm",'ИП + источники'!$K$28:$K$87,0),2),"")=0,"",IFERROR(INDEX('ИП + источники'!$K$28:$L$87,MATCH($F118&amp;"2komm",'ИП + источники'!$K$28:$K$87,0),2),""))</f>
        <v/>
      </c>
      <c r="BP118" s="774"/>
      <c r="BS118" s="694" t="s">
        <v>2140</v>
      </c>
    </row>
    <row r="119" spans="2:75" ht="14.65" hidden="1" customHeight="1">
      <c r="B119" s="328" t="b" cm="1">
        <f t="array" ref="B119">B118</f>
        <v>1</v>
      </c>
      <c r="E119" s="505">
        <v>15</v>
      </c>
      <c r="F119" s="3" cm="1">
        <f t="array" aca="1" ref="F119" ca="1">OFFSET(E119,-1,1)</f>
        <v>0</v>
      </c>
      <c r="I119" s="72" t="s">
        <v>605</v>
      </c>
      <c r="K119" s="72" t="s">
        <v>605</v>
      </c>
      <c r="L119" s="25"/>
      <c r="M119" s="25"/>
      <c r="T119" s="351" t="b" cm="1">
        <f t="array" aca="1" ref="T119" ca="1">T118</f>
        <v>0</v>
      </c>
      <c r="X119" s="1024"/>
      <c r="Z119" s="1008"/>
      <c r="AB119" s="133" t="s">
        <v>732</v>
      </c>
      <c r="AC119" s="127" t="s">
        <v>2141</v>
      </c>
      <c r="AD119" s="7" t="s">
        <v>859</v>
      </c>
      <c r="AE119" s="777">
        <f ca="1">SUMIFS('ИП + источники'!AF$27:AF$87,'ИП + источники'!$F$27:$F$87,$F119,'ИП + источники'!$AC$27:$AC$87,"уплата процентов по кредитам из нормативной прибыли")</f>
        <v>0</v>
      </c>
      <c r="AF119" s="777">
        <f ca="1">SUMIFS('ИП + источники'!AG$27:AG$87,'ИП + источники'!$F$27:$F$87,$F119,'ИП + источники'!$AC$27:$AC$87,"уплата процентов по кредитам из нормативной прибыли")</f>
        <v>0</v>
      </c>
      <c r="AG119" s="777">
        <f ca="1">SUMIFS('ИП + источники'!AH$27:AH$87,'ИП + источники'!$F$27:$F$87,$F119,'ИП + источники'!$AC$27:$AC$87,"уплата процентов по кредитам из нормативной прибыли")</f>
        <v>0</v>
      </c>
      <c r="AH119" s="170">
        <f t="shared" ca="1" si="7"/>
        <v>0</v>
      </c>
      <c r="AI119" s="777">
        <f ca="1">SUMIFS('ИП + источники'!AJ$27:AJ$87,'ИП + источники'!$F$27:$F$87,$F119,'ИП + источники'!$AC$27:$AC$87,"уплата процентов по кредитам из нормативной прибыли")</f>
        <v>0</v>
      </c>
      <c r="AJ119" s="128">
        <f ca="1">SUMIFS('ИП + источники'!AK$27:AK$87,'ИП + источники'!$F$27:$F$87,$F119,'ИП + источники'!$AC$27:$AC$87,"уплата процентов по кредитам из нормативной прибыли")</f>
        <v>0</v>
      </c>
      <c r="AK119" s="128">
        <f ca="1">SUMIFS('ИП + источники'!AL$27:AL$87,'ИП + источники'!$F$27:$F$87,$F119,'ИП + источники'!$AC$27:$AC$87,"уплата процентов по кредитам из нормативной прибыли")</f>
        <v>0</v>
      </c>
      <c r="AL119" s="128">
        <f ca="1">SUMIFS('ИП + источники'!AM$27:AM$87,'ИП + источники'!$F$27:$F$87,$F119,'ИП + источники'!$AC$27:$AC$87,"уплата процентов по кредитам из нормативной прибыли")</f>
        <v>0</v>
      </c>
      <c r="AM119" s="777">
        <f ca="1">SUMIFS('ИП + источники'!AN$27:AN$87,'ИП + источники'!$F$27:$F$87,$F119,'ИП + источники'!$AC$27:$AC$87,"уплата процентов по кредитам из нормативной прибыли")</f>
        <v>0</v>
      </c>
      <c r="AN119" s="777">
        <f ca="1">SUMIFS('ИП + источники'!AO$27:AO$87,'ИП + источники'!$F$27:$F$87,$F119,'ИП + источники'!$AC$27:$AC$87,"уплата процентов по кредитам из нормативной прибыли")</f>
        <v>0</v>
      </c>
      <c r="AO119" s="777">
        <f ca="1">SUMIFS('ИП + источники'!AP$27:AP$87,'ИП + источники'!$F$27:$F$87,$F119,'ИП + источники'!$AC$27:$AC$87,"уплата процентов по кредитам из нормативной прибыли")</f>
        <v>0</v>
      </c>
      <c r="AP119" s="777">
        <f ca="1">SUMIFS('ИП + источники'!AQ$27:AQ$87,'ИП + источники'!$F$27:$F$87,$F119,'ИП + источники'!$AC$27:$AC$87,"уплата процентов по кредитам из нормативной прибыли")</f>
        <v>0</v>
      </c>
      <c r="AQ119" s="777">
        <f ca="1">SUMIFS('ИП + источники'!AR$27:AR$87,'ИП + источники'!$F$27:$F$87,$F119,'ИП + источники'!$AC$27:$AC$87,"уплата процентов по кредитам из нормативной прибыли")</f>
        <v>0</v>
      </c>
      <c r="AR119" s="777">
        <f ca="1">SUMIFS('ИП + источники'!AS$27:AS$87,'ИП + источники'!$F$27:$F$87,$F119,'ИП + источники'!$AC$27:$AC$87,"уплата процентов по кредитам из нормативной прибыли")</f>
        <v>0</v>
      </c>
      <c r="AS119" s="777">
        <f ca="1">SUMIFS('ИП + источники'!AT$27:AT$87,'ИП + источники'!$F$27:$F$87,$F119,'ИП + источники'!$AC$27:$AC$87,"уплата процентов по кредитам из нормативной прибыли")</f>
        <v>0</v>
      </c>
      <c r="AT119" s="128">
        <f ca="1">SUMIFS('ИП + источники'!AU$27:AU$87,'ИП + источники'!$F$27:$F$87,$F119,'ИП + источники'!$AC$27:$AC$87,"уплата процентов по кредитам из нормативной прибыли")</f>
        <v>0</v>
      </c>
      <c r="AU119" s="128">
        <f ca="1">SUMIFS('ИП + источники'!AV$27:AV$87,'ИП + источники'!$F$27:$F$87,$F119,'ИП + источники'!$AC$27:$AC$87,"уплата процентов по кредитам из нормативной прибыли")</f>
        <v>0</v>
      </c>
      <c r="AV119" s="128">
        <f ca="1">SUMIFS('ИП + источники'!AW$27:AW$87,'ИП + источники'!$F$27:$F$87,$F119,'ИП + источники'!$AC$27:$AC$87,"уплата процентов по кредитам из нормативной прибыли")</f>
        <v>0</v>
      </c>
      <c r="AW119" s="777">
        <f ca="1">SUMIFS('ИП + источники'!AX$27:AX$87,'ИП + источники'!$F$27:$F$87,$F119,'ИП + источники'!$AC$27:$AC$87,"уплата процентов по кредитам из нормативной прибыли")</f>
        <v>0</v>
      </c>
      <c r="AX119" s="777">
        <f ca="1">SUMIFS('ИП + источники'!AY$27:AY$87,'ИП + источники'!$F$27:$F$87,$F119,'ИП + источники'!$AC$27:$AC$87,"уплата процентов по кредитам из нормативной прибыли")</f>
        <v>0</v>
      </c>
      <c r="AY119" s="777">
        <f ca="1">SUMIFS('ИП + источники'!AZ$27:AZ$87,'ИП + источники'!$F$27:$F$87,$F119,'ИП + источники'!$AC$27:$AC$87,"уплата процентов по кредитам из нормативной прибыли")</f>
        <v>0</v>
      </c>
      <c r="AZ119" s="777">
        <f ca="1">SUMIFS('ИП + источники'!BA$27:BA$87,'ИП + источники'!$F$27:$F$87,$F119,'ИП + источники'!$AC$27:$AC$87,"уплата процентов по кредитам из нормативной прибыли")</f>
        <v>0</v>
      </c>
      <c r="BA119" s="777">
        <f ca="1">SUMIFS('ИП + источники'!BB$27:BB$87,'ИП + источники'!$F$27:$F$87,$F119,'ИП + источники'!$AC$27:$AC$87,"уплата процентов по кредитам из нормативной прибыли")</f>
        <v>0</v>
      </c>
      <c r="BB119" s="777">
        <f ca="1">SUMIFS('ИП + источники'!BC$27:BC$87,'ИП + источники'!$F$27:$F$87,$F119,'ИП + источники'!$AC$27:$AC$87,"уплата процентов по кредитам из нормативной прибыли")</f>
        <v>0</v>
      </c>
      <c r="BC119" s="777">
        <f ca="1">SUMIFS('ИП + источники'!BD$27:BD$87,'ИП + источники'!$F$27:$F$87,$F119,'ИП + источники'!$AC$27:$AC$87,"уплата процентов по кредитам из нормативной прибыли")</f>
        <v>0</v>
      </c>
      <c r="BD119" s="170">
        <f t="shared" ca="1" si="9"/>
        <v>0</v>
      </c>
      <c r="BE119" s="170">
        <f t="shared" ca="1" si="10"/>
        <v>0</v>
      </c>
      <c r="BF119" s="170">
        <f t="shared" ca="1" si="11"/>
        <v>0</v>
      </c>
      <c r="BG119" s="170">
        <f t="shared" ca="1" si="12"/>
        <v>0</v>
      </c>
      <c r="BH119" s="170">
        <f t="shared" ca="1" si="13"/>
        <v>0</v>
      </c>
      <c r="BI119" s="170">
        <f t="shared" ca="1" si="14"/>
        <v>0</v>
      </c>
      <c r="BJ119" s="170">
        <f t="shared" ca="1" si="15"/>
        <v>0</v>
      </c>
      <c r="BK119" s="170">
        <f t="shared" ca="1" si="16"/>
        <v>0</v>
      </c>
      <c r="BL119" s="170">
        <f t="shared" ca="1" si="17"/>
        <v>0</v>
      </c>
      <c r="BM119" s="170">
        <f t="shared" ca="1" si="18"/>
        <v>0</v>
      </c>
      <c r="BN119" s="774"/>
      <c r="BO119" s="778" t="str">
        <f ca="1">IF(IFERROR(INDEX('ИП + источники'!$K$28:$L$87,MATCH($F119&amp;"3komm",'ИП + источники'!$K$28:$K$87,0),2),"")=0,"",IFERROR(INDEX('ИП + источники'!$K$28:$L$87,MATCH($F119&amp;"3komm",'ИП + источники'!$K$28:$K$87,0),2),""))</f>
        <v/>
      </c>
      <c r="BP119" s="774"/>
      <c r="BS119" s="694" t="s">
        <v>2142</v>
      </c>
    </row>
    <row r="120" spans="2:75" ht="14.65" hidden="1" customHeight="1">
      <c r="B120" s="328" t="b" cm="1">
        <f t="array" ref="B120">B119</f>
        <v>1</v>
      </c>
      <c r="E120" s="505">
        <v>15</v>
      </c>
      <c r="F120" s="3" cm="1">
        <f t="array" aca="1" ref="F120" ca="1">OFFSET(E120,-1,1)</f>
        <v>0</v>
      </c>
      <c r="I120" s="72" t="s">
        <v>817</v>
      </c>
      <c r="K120" s="72" t="s">
        <v>817</v>
      </c>
      <c r="L120" s="25" t="s">
        <v>620</v>
      </c>
      <c r="M120" s="25"/>
      <c r="T120" s="351" t="b" cm="1">
        <f t="array" aca="1" ref="T120" ca="1">T119</f>
        <v>0</v>
      </c>
      <c r="X120" s="1024"/>
      <c r="Z120" s="1008"/>
      <c r="AB120" s="133" t="s">
        <v>991</v>
      </c>
      <c r="AC120" s="127" t="s">
        <v>2143</v>
      </c>
      <c r="AD120" s="7" t="s">
        <v>859</v>
      </c>
      <c r="AE120" s="777">
        <f ca="1">SUMIFS('ИП + источники'!AF$27:AF$87,'ИП + источники'!$F$27:$F$87,$F120,'ИП + источники'!$AC$27:$AC$87,"Прибыль на капвложения")</f>
        <v>0</v>
      </c>
      <c r="AF120" s="777">
        <f ca="1">SUMIFS('ИП + источники'!AG$27:AG$87,'ИП + источники'!$F$27:$F$87,$F120,'ИП + источники'!$AC$27:$AC$87,"Прибыль на капвложения")</f>
        <v>0</v>
      </c>
      <c r="AG120" s="777">
        <f ca="1">SUMIFS('ИП + источники'!AH$27:AH$87,'ИП + источники'!$F$27:$F$87,$F120,'ИП + источники'!$AC$27:$AC$87,"Прибыль на капвложения")</f>
        <v>0</v>
      </c>
      <c r="AH120" s="170">
        <f t="shared" ca="1" si="7"/>
        <v>0</v>
      </c>
      <c r="AI120" s="777">
        <f ca="1">SUMIFS('ИП + источники'!AJ$27:AJ$87,'ИП + источники'!$F$27:$F$87,$F120,'ИП + источники'!$AC$27:$AC$87,"Прибыль на капвложения")</f>
        <v>0</v>
      </c>
      <c r="AJ120" s="128">
        <f ca="1">SUMIFS('ИП + источники'!AK$27:AK$87,'ИП + источники'!$F$27:$F$87,$F120,'ИП + источники'!$AC$27:$AC$87,"Прибыль на капвложения")</f>
        <v>0</v>
      </c>
      <c r="AK120" s="128">
        <f ca="1">SUMIFS('ИП + источники'!AL$27:AL$87,'ИП + источники'!$F$27:$F$87,$F120,'ИП + источники'!$AC$27:$AC$87,"Прибыль на капвложения")</f>
        <v>0</v>
      </c>
      <c r="AL120" s="128">
        <f ca="1">SUMIFS('ИП + источники'!AM$27:AM$87,'ИП + источники'!$F$27:$F$87,$F120,'ИП + источники'!$AC$27:$AC$87,"Прибыль на капвложения")</f>
        <v>0</v>
      </c>
      <c r="AM120" s="777">
        <f ca="1">SUMIFS('ИП + источники'!AN$27:AN$87,'ИП + источники'!$F$27:$F$87,$F120,'ИП + источники'!$AC$27:$AC$87,"Прибыль на капвложения")</f>
        <v>0</v>
      </c>
      <c r="AN120" s="777">
        <f ca="1">SUMIFS('ИП + источники'!AO$27:AO$87,'ИП + источники'!$F$27:$F$87,$F120,'ИП + источники'!$AC$27:$AC$87,"Прибыль на капвложения")</f>
        <v>0</v>
      </c>
      <c r="AO120" s="777">
        <f ca="1">SUMIFS('ИП + источники'!AP$27:AP$87,'ИП + источники'!$F$27:$F$87,$F120,'ИП + источники'!$AC$27:$AC$87,"Прибыль на капвложения")</f>
        <v>0</v>
      </c>
      <c r="AP120" s="777">
        <f ca="1">SUMIFS('ИП + источники'!AQ$27:AQ$87,'ИП + источники'!$F$27:$F$87,$F120,'ИП + источники'!$AC$27:$AC$87,"Прибыль на капвложения")</f>
        <v>0</v>
      </c>
      <c r="AQ120" s="777">
        <f ca="1">SUMIFS('ИП + источники'!AR$27:AR$87,'ИП + источники'!$F$27:$F$87,$F120,'ИП + источники'!$AC$27:$AC$87,"Прибыль на капвложения")</f>
        <v>0</v>
      </c>
      <c r="AR120" s="777">
        <f ca="1">SUMIFS('ИП + источники'!AS$27:AS$87,'ИП + источники'!$F$27:$F$87,$F120,'ИП + источники'!$AC$27:$AC$87,"Прибыль на капвложения")</f>
        <v>0</v>
      </c>
      <c r="AS120" s="777">
        <f ca="1">SUMIFS('ИП + источники'!AT$27:AT$87,'ИП + источники'!$F$27:$F$87,$F120,'ИП + источники'!$AC$27:$AC$87,"Прибыль на капвложения")</f>
        <v>0</v>
      </c>
      <c r="AT120" s="128">
        <f ca="1">SUMIFS('ИП + источники'!AU$27:AU$87,'ИП + источники'!$F$27:$F$87,$F120,'ИП + источники'!$AC$27:$AC$87,"Прибыль на капвложения")</f>
        <v>0</v>
      </c>
      <c r="AU120" s="128">
        <f ca="1">SUMIFS('ИП + источники'!AV$27:AV$87,'ИП + источники'!$F$27:$F$87,$F120,'ИП + источники'!$AC$27:$AC$87,"Прибыль на капвложения")</f>
        <v>0</v>
      </c>
      <c r="AV120" s="128">
        <f ca="1">SUMIFS('ИП + источники'!AW$27:AW$87,'ИП + источники'!$F$27:$F$87,$F120,'ИП + источники'!$AC$27:$AC$87,"Прибыль на капвложения")</f>
        <v>0</v>
      </c>
      <c r="AW120" s="777">
        <f ca="1">SUMIFS('ИП + источники'!AX$27:AX$87,'ИП + источники'!$F$27:$F$87,$F120,'ИП + источники'!$AC$27:$AC$87,"Прибыль на капвложения")</f>
        <v>0</v>
      </c>
      <c r="AX120" s="777">
        <f ca="1">SUMIFS('ИП + источники'!AY$27:AY$87,'ИП + источники'!$F$27:$F$87,$F120,'ИП + источники'!$AC$27:$AC$87,"Прибыль на капвложения")</f>
        <v>0</v>
      </c>
      <c r="AY120" s="777">
        <f ca="1">SUMIFS('ИП + источники'!AZ$27:AZ$87,'ИП + источники'!$F$27:$F$87,$F120,'ИП + источники'!$AC$27:$AC$87,"Прибыль на капвложения")</f>
        <v>0</v>
      </c>
      <c r="AZ120" s="777">
        <f ca="1">SUMIFS('ИП + источники'!BA$27:BA$87,'ИП + источники'!$F$27:$F$87,$F120,'ИП + источники'!$AC$27:$AC$87,"Прибыль на капвложения")</f>
        <v>0</v>
      </c>
      <c r="BA120" s="777">
        <f ca="1">SUMIFS('ИП + источники'!BB$27:BB$87,'ИП + источники'!$F$27:$F$87,$F120,'ИП + источники'!$AC$27:$AC$87,"Прибыль на капвложения")</f>
        <v>0</v>
      </c>
      <c r="BB120" s="777">
        <f ca="1">SUMIFS('ИП + источники'!BC$27:BC$87,'ИП + источники'!$F$27:$F$87,$F120,'ИП + источники'!$AC$27:$AC$87,"Прибыль на капвложения")</f>
        <v>0</v>
      </c>
      <c r="BC120" s="777">
        <f ca="1">SUMIFS('ИП + источники'!BD$27:BD$87,'ИП + источники'!$F$27:$F$87,$F120,'ИП + источники'!$AC$27:$AC$87,"Прибыль на капвложения")</f>
        <v>0</v>
      </c>
      <c r="BD120" s="170">
        <f t="shared" ca="1" si="9"/>
        <v>0</v>
      </c>
      <c r="BE120" s="170">
        <f t="shared" ca="1" si="10"/>
        <v>0</v>
      </c>
      <c r="BF120" s="170">
        <f t="shared" ca="1" si="11"/>
        <v>0</v>
      </c>
      <c r="BG120" s="170">
        <f t="shared" ca="1" si="12"/>
        <v>0</v>
      </c>
      <c r="BH120" s="170">
        <f t="shared" ca="1" si="13"/>
        <v>0</v>
      </c>
      <c r="BI120" s="170">
        <f t="shared" ca="1" si="14"/>
        <v>0</v>
      </c>
      <c r="BJ120" s="170">
        <f t="shared" ca="1" si="15"/>
        <v>0</v>
      </c>
      <c r="BK120" s="170">
        <f t="shared" ca="1" si="16"/>
        <v>0</v>
      </c>
      <c r="BL120" s="170">
        <f t="shared" ca="1" si="17"/>
        <v>0</v>
      </c>
      <c r="BM120" s="170">
        <f t="shared" ca="1" si="18"/>
        <v>0</v>
      </c>
      <c r="BN120" s="774"/>
      <c r="BO120" s="778" t="str">
        <f ca="1">IF(IFERROR(INDEX('ИП + источники'!$K$28:$L$87,MATCH($F120&amp;"1komm",'ИП + источники'!$K$28:$K$87,0),2),"")=0,"",IFERROR(INDEX('ИП + источники'!$K$28:$L$87,MATCH($F120&amp;"1komm",'ИП + источники'!$K$28:$K$87,0),2),""))</f>
        <v/>
      </c>
      <c r="BP120" s="774"/>
      <c r="BS120" s="694" t="s">
        <v>1852</v>
      </c>
    </row>
    <row r="121" spans="2:75" ht="21.95" hidden="1" customHeight="1">
      <c r="B121" s="328" t="b" cm="1">
        <f t="array" ref="B121">B120</f>
        <v>1</v>
      </c>
      <c r="E121" s="505">
        <v>22.5</v>
      </c>
      <c r="F121" s="3" cm="1">
        <f t="array" aca="1" ref="F121" ca="1">OFFSET(E121,-1,1)</f>
        <v>0</v>
      </c>
      <c r="G121" s="72" t="s">
        <v>2144</v>
      </c>
      <c r="I121" s="72" t="s">
        <v>993</v>
      </c>
      <c r="K121" s="72" t="s">
        <v>993</v>
      </c>
      <c r="L121" s="25" t="s">
        <v>624</v>
      </c>
      <c r="M121" s="25"/>
      <c r="T121" s="351" t="b" cm="1">
        <f t="array" aca="1" ref="T121" ca="1">T120</f>
        <v>0</v>
      </c>
      <c r="X121" s="1024"/>
      <c r="Z121" s="1008"/>
      <c r="AB121" s="133" t="s">
        <v>994</v>
      </c>
      <c r="AC121" s="127" t="s">
        <v>2145</v>
      </c>
      <c r="AD121" s="7" t="s">
        <v>859</v>
      </c>
      <c r="AE121" s="777"/>
      <c r="AF121" s="777"/>
      <c r="AG121" s="777"/>
      <c r="AH121" s="170">
        <f t="shared" si="7"/>
        <v>0</v>
      </c>
      <c r="AI121" s="777"/>
      <c r="AJ121" s="128"/>
      <c r="AK121" s="128"/>
      <c r="AL121" s="128"/>
      <c r="AM121" s="777"/>
      <c r="AN121" s="777"/>
      <c r="AO121" s="777"/>
      <c r="AP121" s="777"/>
      <c r="AQ121" s="777"/>
      <c r="AR121" s="777"/>
      <c r="AS121" s="777"/>
      <c r="AT121" s="128"/>
      <c r="AU121" s="128"/>
      <c r="AV121" s="128"/>
      <c r="AW121" s="777"/>
      <c r="AX121" s="777"/>
      <c r="AY121" s="777"/>
      <c r="AZ121" s="777"/>
      <c r="BA121" s="777"/>
      <c r="BB121" s="777"/>
      <c r="BC121" s="777"/>
      <c r="BD121" s="170">
        <f t="shared" si="9"/>
        <v>0</v>
      </c>
      <c r="BE121" s="170">
        <f t="shared" si="10"/>
        <v>0</v>
      </c>
      <c r="BF121" s="170">
        <f t="shared" si="11"/>
        <v>0</v>
      </c>
      <c r="BG121" s="170">
        <f t="shared" si="12"/>
        <v>0</v>
      </c>
      <c r="BH121" s="170">
        <f t="shared" si="13"/>
        <v>0</v>
      </c>
      <c r="BI121" s="170">
        <f t="shared" si="14"/>
        <v>0</v>
      </c>
      <c r="BJ121" s="170">
        <f t="shared" si="15"/>
        <v>0</v>
      </c>
      <c r="BK121" s="170">
        <f t="shared" si="16"/>
        <v>0</v>
      </c>
      <c r="BL121" s="170">
        <f t="shared" si="17"/>
        <v>0</v>
      </c>
      <c r="BM121" s="170">
        <f t="shared" si="18"/>
        <v>0</v>
      </c>
      <c r="BN121" s="774"/>
      <c r="BO121" s="774"/>
      <c r="BP121" s="774"/>
      <c r="BS121" s="694" t="s">
        <v>2146</v>
      </c>
    </row>
    <row r="122" spans="2:75" ht="14.65" hidden="1" customHeight="1">
      <c r="B122" s="328" t="b">
        <f>AND(method_reg="Метод индексации",STATUS_GO="да")</f>
        <v>1</v>
      </c>
      <c r="E122" s="505">
        <v>15</v>
      </c>
      <c r="F122" s="3" cm="1">
        <f t="array" aca="1" ref="F122" ca="1">OFFSET(E122,-1,1)</f>
        <v>0</v>
      </c>
      <c r="G122" s="72" t="s">
        <v>1855</v>
      </c>
      <c r="I122" s="72" t="s">
        <v>557</v>
      </c>
      <c r="K122" s="72" t="s">
        <v>557</v>
      </c>
      <c r="L122" s="25" t="s">
        <v>628</v>
      </c>
      <c r="M122" s="25"/>
      <c r="T122" s="351" t="b" cm="1">
        <f t="array" aca="1" ref="T122" ca="1">T121</f>
        <v>0</v>
      </c>
      <c r="X122" s="1024"/>
      <c r="Z122" s="1008"/>
      <c r="AB122" s="133" t="s">
        <v>442</v>
      </c>
      <c r="AC122" s="345" t="s">
        <v>1855</v>
      </c>
      <c r="AD122" s="7" t="s">
        <v>859</v>
      </c>
      <c r="AE122" s="777"/>
      <c r="AF122" s="777"/>
      <c r="AG122" s="777"/>
      <c r="AH122" s="170">
        <f t="shared" si="7"/>
        <v>0</v>
      </c>
      <c r="AI122" s="777"/>
      <c r="AJ122" s="128"/>
      <c r="AK122" s="128"/>
      <c r="AL122" s="128"/>
      <c r="AM122" s="777"/>
      <c r="AN122" s="777"/>
      <c r="AO122" s="777"/>
      <c r="AP122" s="777"/>
      <c r="AQ122" s="777"/>
      <c r="AR122" s="777"/>
      <c r="AS122" s="777"/>
      <c r="AT122" s="128"/>
      <c r="AU122" s="128"/>
      <c r="AV122" s="128"/>
      <c r="AW122" s="777"/>
      <c r="AX122" s="777"/>
      <c r="AY122" s="777"/>
      <c r="AZ122" s="777"/>
      <c r="BA122" s="777"/>
      <c r="BB122" s="777"/>
      <c r="BC122" s="777"/>
      <c r="BD122" s="170">
        <f t="shared" si="9"/>
        <v>0</v>
      </c>
      <c r="BE122" s="170">
        <f t="shared" si="10"/>
        <v>0</v>
      </c>
      <c r="BF122" s="170">
        <f t="shared" si="11"/>
        <v>0</v>
      </c>
      <c r="BG122" s="170">
        <f t="shared" si="12"/>
        <v>0</v>
      </c>
      <c r="BH122" s="170">
        <f t="shared" si="13"/>
        <v>0</v>
      </c>
      <c r="BI122" s="170">
        <f t="shared" si="14"/>
        <v>0</v>
      </c>
      <c r="BJ122" s="170">
        <f t="shared" si="15"/>
        <v>0</v>
      </c>
      <c r="BK122" s="170">
        <f t="shared" si="16"/>
        <v>0</v>
      </c>
      <c r="BL122" s="170">
        <f t="shared" si="17"/>
        <v>0</v>
      </c>
      <c r="BM122" s="170">
        <f t="shared" si="18"/>
        <v>0</v>
      </c>
      <c r="BN122" s="774"/>
      <c r="BO122" s="774"/>
      <c r="BP122" s="774"/>
      <c r="BS122" s="694" t="s">
        <v>1856</v>
      </c>
    </row>
    <row r="123" spans="2:75" ht="14.65" hidden="1" customHeight="1">
      <c r="B123" s="642" t="b">
        <f>method_reg="Метод обеспечения доходности инвестированного капитала"</f>
        <v>0</v>
      </c>
      <c r="E123" s="505">
        <v>15</v>
      </c>
      <c r="F123" s="3" cm="1">
        <f t="array" aca="1" ref="F123" ca="1">OFFSET(E123,-1,1)</f>
        <v>0</v>
      </c>
      <c r="K123" s="25" t="s">
        <v>325</v>
      </c>
      <c r="L123" s="25"/>
      <c r="M123" s="25"/>
      <c r="T123" s="351" t="b" cm="1">
        <f t="array" aca="1" ref="T123" ca="1">T122</f>
        <v>0</v>
      </c>
      <c r="X123" s="1024"/>
      <c r="Z123" s="1008"/>
      <c r="AB123" s="131" t="s">
        <v>438</v>
      </c>
      <c r="AC123" s="132" t="s">
        <v>2147</v>
      </c>
      <c r="AD123" s="124" t="s">
        <v>859</v>
      </c>
      <c r="AE123" s="773"/>
      <c r="AF123" s="773"/>
      <c r="AG123" s="773"/>
      <c r="AH123" s="126">
        <f t="shared" si="7"/>
        <v>0</v>
      </c>
      <c r="AI123" s="773"/>
      <c r="AJ123" s="138"/>
      <c r="AK123" s="138"/>
      <c r="AL123" s="138"/>
      <c r="AM123" s="773"/>
      <c r="AN123" s="773"/>
      <c r="AO123" s="773"/>
      <c r="AP123" s="773"/>
      <c r="AQ123" s="773"/>
      <c r="AR123" s="773"/>
      <c r="AS123" s="773"/>
      <c r="AT123" s="138"/>
      <c r="AU123" s="138"/>
      <c r="AV123" s="138"/>
      <c r="AW123" s="773"/>
      <c r="AX123" s="773"/>
      <c r="AY123" s="773"/>
      <c r="AZ123" s="773"/>
      <c r="BA123" s="773"/>
      <c r="BB123" s="773"/>
      <c r="BC123" s="773"/>
      <c r="BD123" s="126">
        <f t="shared" si="9"/>
        <v>0</v>
      </c>
      <c r="BE123" s="126">
        <f t="shared" si="10"/>
        <v>0</v>
      </c>
      <c r="BF123" s="126">
        <f t="shared" si="11"/>
        <v>0</v>
      </c>
      <c r="BG123" s="126">
        <f t="shared" si="12"/>
        <v>0</v>
      </c>
      <c r="BH123" s="126">
        <f t="shared" si="13"/>
        <v>0</v>
      </c>
      <c r="BI123" s="126">
        <f t="shared" si="14"/>
        <v>0</v>
      </c>
      <c r="BJ123" s="126">
        <f t="shared" si="15"/>
        <v>0</v>
      </c>
      <c r="BK123" s="126">
        <f t="shared" si="16"/>
        <v>0</v>
      </c>
      <c r="BL123" s="126">
        <f t="shared" si="17"/>
        <v>0</v>
      </c>
      <c r="BM123" s="126">
        <f t="shared" si="18"/>
        <v>0</v>
      </c>
      <c r="BN123" s="776"/>
      <c r="BO123" s="776"/>
      <c r="BP123" s="776"/>
      <c r="BS123" s="694" t="s">
        <v>2148</v>
      </c>
    </row>
    <row r="124" spans="2:75" ht="14.65" hidden="1" customHeight="1">
      <c r="B124" s="642" t="b" cm="1">
        <f t="array" ref="B124">B123</f>
        <v>0</v>
      </c>
      <c r="E124" s="505">
        <v>15</v>
      </c>
      <c r="F124" s="3" cm="1">
        <f t="array" aca="1" ref="F124" ca="1">OFFSET(E124,-1,1)</f>
        <v>0</v>
      </c>
      <c r="K124" s="25" t="s">
        <v>587</v>
      </c>
      <c r="L124" s="25"/>
      <c r="M124" s="25"/>
      <c r="T124" s="351" t="b" cm="1">
        <f t="array" aca="1" ref="T124" ca="1">T123</f>
        <v>0</v>
      </c>
      <c r="X124" s="1024"/>
      <c r="Z124" s="1008"/>
      <c r="AB124" s="133" t="s">
        <v>722</v>
      </c>
      <c r="AC124" s="127" t="s">
        <v>2149</v>
      </c>
      <c r="AD124" s="7" t="s">
        <v>859</v>
      </c>
      <c r="AE124" s="777"/>
      <c r="AF124" s="777"/>
      <c r="AG124" s="777"/>
      <c r="AH124" s="540"/>
      <c r="AI124" s="777"/>
      <c r="AJ124" s="128"/>
      <c r="AK124" s="128"/>
      <c r="AL124" s="128"/>
      <c r="AM124" s="777"/>
      <c r="AN124" s="777"/>
      <c r="AO124" s="777"/>
      <c r="AP124" s="777"/>
      <c r="AQ124" s="777"/>
      <c r="AR124" s="777"/>
      <c r="AS124" s="777"/>
      <c r="AT124" s="128"/>
      <c r="AU124" s="128"/>
      <c r="AV124" s="128"/>
      <c r="AW124" s="777"/>
      <c r="AX124" s="777"/>
      <c r="AY124" s="777"/>
      <c r="AZ124" s="777"/>
      <c r="BA124" s="777"/>
      <c r="BB124" s="777"/>
      <c r="BC124" s="777"/>
      <c r="BD124" s="540"/>
      <c r="BE124" s="540"/>
      <c r="BF124" s="540"/>
      <c r="BG124" s="540"/>
      <c r="BH124" s="540"/>
      <c r="BI124" s="540"/>
      <c r="BJ124" s="540"/>
      <c r="BK124" s="540"/>
      <c r="BL124" s="540"/>
      <c r="BM124" s="540"/>
      <c r="BN124" s="774"/>
      <c r="BO124" s="774"/>
      <c r="BP124" s="774"/>
      <c r="BS124" s="694" t="s">
        <v>2150</v>
      </c>
    </row>
    <row r="125" spans="2:75" ht="14.65" hidden="1" customHeight="1">
      <c r="B125" s="642" t="b" cm="1">
        <f t="array" ref="B125">B124</f>
        <v>0</v>
      </c>
      <c r="E125" s="505">
        <v>15</v>
      </c>
      <c r="F125" s="3" cm="1">
        <f t="array" aca="1" ref="F125" ca="1">OFFSET(E125,-1,1)</f>
        <v>0</v>
      </c>
      <c r="K125" s="25" t="s">
        <v>591</v>
      </c>
      <c r="L125" s="25"/>
      <c r="M125" s="25"/>
      <c r="T125" s="351" t="b" cm="1">
        <f t="array" aca="1" ref="T125" ca="1">T124</f>
        <v>0</v>
      </c>
      <c r="X125" s="1024"/>
      <c r="Z125" s="1008"/>
      <c r="AB125" s="133" t="s">
        <v>725</v>
      </c>
      <c r="AC125" s="127" t="s">
        <v>2151</v>
      </c>
      <c r="AD125" s="7" t="s">
        <v>2152</v>
      </c>
      <c r="AE125" s="777"/>
      <c r="AF125" s="777"/>
      <c r="AG125" s="777"/>
      <c r="AH125" s="540"/>
      <c r="AI125" s="777"/>
      <c r="AJ125" s="128"/>
      <c r="AK125" s="128"/>
      <c r="AL125" s="128"/>
      <c r="AM125" s="777"/>
      <c r="AN125" s="777"/>
      <c r="AO125" s="777"/>
      <c r="AP125" s="777"/>
      <c r="AQ125" s="777"/>
      <c r="AR125" s="777"/>
      <c r="AS125" s="777"/>
      <c r="AT125" s="128"/>
      <c r="AU125" s="128"/>
      <c r="AV125" s="128"/>
      <c r="AW125" s="777"/>
      <c r="AX125" s="777"/>
      <c r="AY125" s="777"/>
      <c r="AZ125" s="777"/>
      <c r="BA125" s="777"/>
      <c r="BB125" s="777"/>
      <c r="BC125" s="777"/>
      <c r="BD125" s="540"/>
      <c r="BE125" s="540"/>
      <c r="BF125" s="540"/>
      <c r="BG125" s="540"/>
      <c r="BH125" s="540"/>
      <c r="BI125" s="540"/>
      <c r="BJ125" s="540"/>
      <c r="BK125" s="540"/>
      <c r="BL125" s="540"/>
      <c r="BM125" s="540"/>
      <c r="BN125" s="774"/>
      <c r="BO125" s="774"/>
      <c r="BP125" s="774"/>
      <c r="BS125" s="694" t="s">
        <v>2153</v>
      </c>
    </row>
    <row r="126" spans="2:75" ht="14.65" hidden="1" customHeight="1">
      <c r="B126" s="642" t="b" cm="1">
        <f t="array" ref="B126">B125</f>
        <v>0</v>
      </c>
      <c r="E126" s="505">
        <v>15</v>
      </c>
      <c r="F126" s="3" cm="1">
        <f t="array" aca="1" ref="F126" ca="1">OFFSET(E126,-1,1)</f>
        <v>0</v>
      </c>
      <c r="K126" s="25" t="s">
        <v>324</v>
      </c>
      <c r="L126" s="25"/>
      <c r="M126" s="25"/>
      <c r="T126" s="351" t="b" cm="1">
        <f t="array" aca="1" ref="T126" ca="1">T125</f>
        <v>0</v>
      </c>
      <c r="X126" s="1024"/>
      <c r="Z126" s="1008"/>
      <c r="AB126" s="131" t="s">
        <v>440</v>
      </c>
      <c r="AC126" s="132" t="s">
        <v>2154</v>
      </c>
      <c r="AD126" s="124" t="s">
        <v>859</v>
      </c>
      <c r="AE126" s="773"/>
      <c r="AF126" s="773"/>
      <c r="AG126" s="773"/>
      <c r="AH126" s="126">
        <f>AG126-AF126</f>
        <v>0</v>
      </c>
      <c r="AI126" s="773"/>
      <c r="AJ126" s="138"/>
      <c r="AK126" s="138"/>
      <c r="AL126" s="138"/>
      <c r="AM126" s="773"/>
      <c r="AN126" s="773"/>
      <c r="AO126" s="773"/>
      <c r="AP126" s="773"/>
      <c r="AQ126" s="773"/>
      <c r="AR126" s="773"/>
      <c r="AS126" s="773"/>
      <c r="AT126" s="138"/>
      <c r="AU126" s="138"/>
      <c r="AV126" s="138"/>
      <c r="AW126" s="773"/>
      <c r="AX126" s="773"/>
      <c r="AY126" s="773"/>
      <c r="AZ126" s="773"/>
      <c r="BA126" s="773"/>
      <c r="BB126" s="773"/>
      <c r="BC126" s="773"/>
      <c r="BD126" s="126">
        <f>IF(AI126=0,0,(AT126-AI126)/AI126*100)</f>
        <v>0</v>
      </c>
      <c r="BE126" s="126">
        <f t="shared" ref="BE126:BM126" si="23">IF(AT126=0,0,(AU126-AT126)/AT126*100)</f>
        <v>0</v>
      </c>
      <c r="BF126" s="126">
        <f t="shared" si="23"/>
        <v>0</v>
      </c>
      <c r="BG126" s="126">
        <f t="shared" si="23"/>
        <v>0</v>
      </c>
      <c r="BH126" s="126">
        <f t="shared" si="23"/>
        <v>0</v>
      </c>
      <c r="BI126" s="126">
        <f t="shared" si="23"/>
        <v>0</v>
      </c>
      <c r="BJ126" s="126">
        <f t="shared" si="23"/>
        <v>0</v>
      </c>
      <c r="BK126" s="126">
        <f t="shared" si="23"/>
        <v>0</v>
      </c>
      <c r="BL126" s="126">
        <f t="shared" si="23"/>
        <v>0</v>
      </c>
      <c r="BM126" s="126">
        <f t="shared" si="23"/>
        <v>0</v>
      </c>
      <c r="BN126" s="776"/>
      <c r="BO126" s="776"/>
      <c r="BP126" s="776"/>
      <c r="BS126" s="694" t="s">
        <v>2155</v>
      </c>
    </row>
    <row r="127" spans="2:75" ht="14.65" hidden="1" customHeight="1">
      <c r="B127" s="642" t="b" cm="1">
        <f t="array" ref="B127">B126</f>
        <v>0</v>
      </c>
      <c r="E127" s="505">
        <v>15</v>
      </c>
      <c r="F127" s="3" cm="1">
        <f t="array" aca="1" ref="F127" ca="1">OFFSET(E127,-1,1)</f>
        <v>0</v>
      </c>
      <c r="K127" s="25" t="s">
        <v>601</v>
      </c>
      <c r="L127" s="25"/>
      <c r="M127" s="25"/>
      <c r="T127" s="351" t="b" cm="1">
        <f t="array" aca="1" ref="T127" ca="1">T126</f>
        <v>0</v>
      </c>
      <c r="X127" s="1024"/>
      <c r="Z127" s="1008"/>
      <c r="AB127" s="133" t="s">
        <v>729</v>
      </c>
      <c r="AC127" s="127" t="s">
        <v>2156</v>
      </c>
      <c r="AD127" s="7" t="s">
        <v>859</v>
      </c>
      <c r="AE127" s="777"/>
      <c r="AF127" s="777"/>
      <c r="AG127" s="777"/>
      <c r="AH127" s="540"/>
      <c r="AI127" s="777"/>
      <c r="AJ127" s="128"/>
      <c r="AK127" s="128"/>
      <c r="AL127" s="128"/>
      <c r="AM127" s="777"/>
      <c r="AN127" s="777"/>
      <c r="AO127" s="777"/>
      <c r="AP127" s="777"/>
      <c r="AQ127" s="777"/>
      <c r="AR127" s="777"/>
      <c r="AS127" s="777"/>
      <c r="AT127" s="128"/>
      <c r="AU127" s="128"/>
      <c r="AV127" s="128"/>
      <c r="AW127" s="777"/>
      <c r="AX127" s="777"/>
      <c r="AY127" s="777"/>
      <c r="AZ127" s="777"/>
      <c r="BA127" s="777"/>
      <c r="BB127" s="777"/>
      <c r="BC127" s="777"/>
      <c r="BD127" s="540"/>
      <c r="BE127" s="540"/>
      <c r="BF127" s="540"/>
      <c r="BG127" s="540"/>
      <c r="BH127" s="540"/>
      <c r="BI127" s="540"/>
      <c r="BJ127" s="540"/>
      <c r="BK127" s="540"/>
      <c r="BL127" s="540"/>
      <c r="BM127" s="540"/>
      <c r="BN127" s="774"/>
      <c r="BO127" s="774"/>
      <c r="BP127" s="774"/>
      <c r="BS127" s="694" t="s">
        <v>2157</v>
      </c>
    </row>
    <row r="128" spans="2:75" ht="14.65" hidden="1" customHeight="1">
      <c r="B128" s="642" t="b" cm="1">
        <f t="array" ref="B128">B127</f>
        <v>0</v>
      </c>
      <c r="E128" s="505">
        <v>15</v>
      </c>
      <c r="F128" s="3" cm="1">
        <f t="array" aca="1" ref="F128" ca="1">OFFSET(E128,-1,1)</f>
        <v>0</v>
      </c>
      <c r="K128" s="25" t="s">
        <v>605</v>
      </c>
      <c r="L128" s="25"/>
      <c r="M128" s="25"/>
      <c r="T128" s="351" t="b" cm="1">
        <f t="array" aca="1" ref="T128" ca="1">T127</f>
        <v>0</v>
      </c>
      <c r="X128" s="1024"/>
      <c r="Z128" s="1008"/>
      <c r="AB128" s="133" t="s">
        <v>732</v>
      </c>
      <c r="AC128" s="127" t="s">
        <v>2158</v>
      </c>
      <c r="AD128" s="7" t="s">
        <v>501</v>
      </c>
      <c r="AE128" s="777"/>
      <c r="AF128" s="777"/>
      <c r="AG128" s="777"/>
      <c r="AH128" s="540"/>
      <c r="AI128" s="777"/>
      <c r="AJ128" s="128"/>
      <c r="AK128" s="128"/>
      <c r="AL128" s="128"/>
      <c r="AM128" s="777"/>
      <c r="AN128" s="777"/>
      <c r="AO128" s="777"/>
      <c r="AP128" s="777"/>
      <c r="AQ128" s="777"/>
      <c r="AR128" s="777"/>
      <c r="AS128" s="777"/>
      <c r="AT128" s="128"/>
      <c r="AU128" s="128"/>
      <c r="AV128" s="128"/>
      <c r="AW128" s="777"/>
      <c r="AX128" s="777"/>
      <c r="AY128" s="777"/>
      <c r="AZ128" s="777"/>
      <c r="BA128" s="777"/>
      <c r="BB128" s="777"/>
      <c r="BC128" s="777"/>
      <c r="BD128" s="540"/>
      <c r="BE128" s="540"/>
      <c r="BF128" s="540"/>
      <c r="BG128" s="540"/>
      <c r="BH128" s="540"/>
      <c r="BI128" s="540"/>
      <c r="BJ128" s="540"/>
      <c r="BK128" s="540"/>
      <c r="BL128" s="540"/>
      <c r="BM128" s="540"/>
      <c r="BN128" s="774"/>
      <c r="BO128" s="774"/>
      <c r="BP128" s="774"/>
      <c r="BS128" s="694" t="s">
        <v>2159</v>
      </c>
    </row>
    <row r="129" spans="2:75" ht="14.65" hidden="1" customHeight="1">
      <c r="B129" s="642" t="b" cm="1">
        <f t="array" ref="B129">B128</f>
        <v>0</v>
      </c>
      <c r="E129" s="505">
        <v>15</v>
      </c>
      <c r="F129" s="3" cm="1">
        <f t="array" aca="1" ref="F129" ca="1">OFFSET(E129,-1,1)</f>
        <v>0</v>
      </c>
      <c r="K129" s="25" t="s">
        <v>817</v>
      </c>
      <c r="L129" s="25"/>
      <c r="M129" s="25"/>
      <c r="T129" s="351" t="b" cm="1">
        <f t="array" aca="1" ref="T129" ca="1">T128</f>
        <v>0</v>
      </c>
      <c r="X129" s="1024"/>
      <c r="Z129" s="1008"/>
      <c r="AB129" s="133" t="s">
        <v>991</v>
      </c>
      <c r="AC129" s="127" t="s">
        <v>2160</v>
      </c>
      <c r="AD129" s="7" t="s">
        <v>859</v>
      </c>
      <c r="AE129" s="777"/>
      <c r="AF129" s="777"/>
      <c r="AG129" s="777"/>
      <c r="AH129" s="540"/>
      <c r="AI129" s="777"/>
      <c r="AJ129" s="128"/>
      <c r="AK129" s="128"/>
      <c r="AL129" s="128"/>
      <c r="AM129" s="777"/>
      <c r="AN129" s="777"/>
      <c r="AO129" s="777"/>
      <c r="AP129" s="777"/>
      <c r="AQ129" s="777"/>
      <c r="AR129" s="777"/>
      <c r="AS129" s="777"/>
      <c r="AT129" s="128"/>
      <c r="AU129" s="128"/>
      <c r="AV129" s="128"/>
      <c r="AW129" s="777"/>
      <c r="AX129" s="777"/>
      <c r="AY129" s="777"/>
      <c r="AZ129" s="777"/>
      <c r="BA129" s="777"/>
      <c r="BB129" s="777"/>
      <c r="BC129" s="777"/>
      <c r="BD129" s="540"/>
      <c r="BE129" s="540"/>
      <c r="BF129" s="540"/>
      <c r="BG129" s="540"/>
      <c r="BH129" s="540"/>
      <c r="BI129" s="540"/>
      <c r="BJ129" s="540"/>
      <c r="BK129" s="540"/>
      <c r="BL129" s="540"/>
      <c r="BM129" s="540"/>
      <c r="BN129" s="774"/>
      <c r="BO129" s="774"/>
      <c r="BP129" s="774"/>
      <c r="BS129" s="694" t="s">
        <v>2161</v>
      </c>
    </row>
    <row r="130" spans="2:75" ht="14.65" hidden="1" customHeight="1">
      <c r="B130" s="642" t="b" cm="1">
        <f t="array" ref="B130">B129</f>
        <v>0</v>
      </c>
      <c r="E130" s="505">
        <v>15</v>
      </c>
      <c r="F130" s="3" cm="1">
        <f t="array" aca="1" ref="F130" ca="1">OFFSET(E130,-1,1)</f>
        <v>0</v>
      </c>
      <c r="K130" s="25" t="s">
        <v>993</v>
      </c>
      <c r="L130" s="25"/>
      <c r="M130" s="25"/>
      <c r="T130" s="351" t="b" cm="1">
        <f t="array" aca="1" ref="T130" ca="1">T129</f>
        <v>0</v>
      </c>
      <c r="X130" s="1024"/>
      <c r="Z130" s="1008"/>
      <c r="AB130" s="133" t="s">
        <v>994</v>
      </c>
      <c r="AC130" s="127" t="s">
        <v>2162</v>
      </c>
      <c r="AD130" s="7" t="s">
        <v>859</v>
      </c>
      <c r="AE130" s="777"/>
      <c r="AF130" s="777"/>
      <c r="AG130" s="777"/>
      <c r="AH130" s="540"/>
      <c r="AI130" s="777"/>
      <c r="AJ130" s="128"/>
      <c r="AK130" s="128"/>
      <c r="AL130" s="128"/>
      <c r="AM130" s="777"/>
      <c r="AN130" s="777"/>
      <c r="AO130" s="777"/>
      <c r="AP130" s="777"/>
      <c r="AQ130" s="777"/>
      <c r="AR130" s="777"/>
      <c r="AS130" s="777"/>
      <c r="AT130" s="128"/>
      <c r="AU130" s="128"/>
      <c r="AV130" s="128"/>
      <c r="AW130" s="777"/>
      <c r="AX130" s="777"/>
      <c r="AY130" s="777"/>
      <c r="AZ130" s="777"/>
      <c r="BA130" s="777"/>
      <c r="BB130" s="777"/>
      <c r="BC130" s="777"/>
      <c r="BD130" s="540"/>
      <c r="BE130" s="540"/>
      <c r="BF130" s="540"/>
      <c r="BG130" s="540"/>
      <c r="BH130" s="540"/>
      <c r="BI130" s="540"/>
      <c r="BJ130" s="540"/>
      <c r="BK130" s="540"/>
      <c r="BL130" s="540"/>
      <c r="BM130" s="540"/>
      <c r="BN130" s="774"/>
      <c r="BO130" s="774"/>
      <c r="BP130" s="774"/>
      <c r="BS130" s="694" t="s">
        <v>2163</v>
      </c>
    </row>
    <row r="131" spans="2:75" ht="14.65" hidden="1" customHeight="1">
      <c r="B131" s="642" t="b" cm="1">
        <f t="array" ref="B131">B130</f>
        <v>0</v>
      </c>
      <c r="E131" s="505">
        <v>15</v>
      </c>
      <c r="F131" s="3" cm="1">
        <f t="array" aca="1" ref="F131" ca="1">OFFSET(E131,-1,1)</f>
        <v>0</v>
      </c>
      <c r="K131" s="25" t="s">
        <v>2164</v>
      </c>
      <c r="L131" s="25"/>
      <c r="M131" s="25"/>
      <c r="T131" s="351" t="b" cm="1">
        <f t="array" aca="1" ref="T131" ca="1">T130</f>
        <v>0</v>
      </c>
      <c r="X131" s="1024"/>
      <c r="Z131" s="1008"/>
      <c r="AB131" s="133" t="s">
        <v>2165</v>
      </c>
      <c r="AC131" s="134" t="s">
        <v>2166</v>
      </c>
      <c r="AD131" s="7" t="s">
        <v>501</v>
      </c>
      <c r="AE131" s="777"/>
      <c r="AF131" s="777"/>
      <c r="AG131" s="777"/>
      <c r="AH131" s="540"/>
      <c r="AI131" s="777"/>
      <c r="AJ131" s="128"/>
      <c r="AK131" s="128"/>
      <c r="AL131" s="128"/>
      <c r="AM131" s="777"/>
      <c r="AN131" s="777"/>
      <c r="AO131" s="777"/>
      <c r="AP131" s="777"/>
      <c r="AQ131" s="777"/>
      <c r="AR131" s="777"/>
      <c r="AS131" s="777"/>
      <c r="AT131" s="128"/>
      <c r="AU131" s="128"/>
      <c r="AV131" s="128"/>
      <c r="AW131" s="777"/>
      <c r="AX131" s="777"/>
      <c r="AY131" s="777"/>
      <c r="AZ131" s="777"/>
      <c r="BA131" s="777"/>
      <c r="BB131" s="777"/>
      <c r="BC131" s="777"/>
      <c r="BD131" s="540"/>
      <c r="BE131" s="540"/>
      <c r="BF131" s="540"/>
      <c r="BG131" s="540"/>
      <c r="BH131" s="540"/>
      <c r="BI131" s="540"/>
      <c r="BJ131" s="540"/>
      <c r="BK131" s="540"/>
      <c r="BL131" s="540"/>
      <c r="BM131" s="540"/>
      <c r="BN131" s="774"/>
      <c r="BO131" s="774"/>
      <c r="BP131" s="774"/>
      <c r="BS131" s="694" t="s">
        <v>2167</v>
      </c>
    </row>
    <row r="132" spans="2:75" ht="14.65" hidden="1" customHeight="1">
      <c r="B132" s="642" t="b" cm="1">
        <f t="array" ref="B132">B131</f>
        <v>0</v>
      </c>
      <c r="E132" s="505">
        <v>15</v>
      </c>
      <c r="F132" s="3" cm="1">
        <f t="array" aca="1" ref="F132" ca="1">OFFSET(E132,-1,1)</f>
        <v>0</v>
      </c>
      <c r="K132" s="25" t="s">
        <v>996</v>
      </c>
      <c r="L132" s="25"/>
      <c r="M132" s="25"/>
      <c r="T132" s="351" t="b" cm="1">
        <f t="array" aca="1" ref="T132" ca="1">T131</f>
        <v>0</v>
      </c>
      <c r="X132" s="1024"/>
      <c r="Z132" s="1008"/>
      <c r="AB132" s="133" t="s">
        <v>997</v>
      </c>
      <c r="AC132" s="127" t="s">
        <v>2168</v>
      </c>
      <c r="AD132" s="7" t="s">
        <v>501</v>
      </c>
      <c r="AE132" s="777"/>
      <c r="AF132" s="777"/>
      <c r="AG132" s="777"/>
      <c r="AH132" s="540"/>
      <c r="AI132" s="777"/>
      <c r="AJ132" s="128"/>
      <c r="AK132" s="128"/>
      <c r="AL132" s="128"/>
      <c r="AM132" s="777"/>
      <c r="AN132" s="777"/>
      <c r="AO132" s="777"/>
      <c r="AP132" s="777"/>
      <c r="AQ132" s="777"/>
      <c r="AR132" s="777"/>
      <c r="AS132" s="777"/>
      <c r="AT132" s="128"/>
      <c r="AU132" s="128"/>
      <c r="AV132" s="128"/>
      <c r="AW132" s="777"/>
      <c r="AX132" s="777"/>
      <c r="AY132" s="777"/>
      <c r="AZ132" s="777"/>
      <c r="BA132" s="777"/>
      <c r="BB132" s="777"/>
      <c r="BC132" s="777"/>
      <c r="BD132" s="540"/>
      <c r="BE132" s="540"/>
      <c r="BF132" s="540"/>
      <c r="BG132" s="540"/>
      <c r="BH132" s="540"/>
      <c r="BI132" s="540"/>
      <c r="BJ132" s="540"/>
      <c r="BK132" s="540"/>
      <c r="BL132" s="540"/>
      <c r="BM132" s="540"/>
      <c r="BN132" s="774"/>
      <c r="BO132" s="774"/>
      <c r="BP132" s="774"/>
      <c r="BS132" s="694" t="s">
        <v>2169</v>
      </c>
    </row>
    <row r="133" spans="2:75" ht="14.65" hidden="1" customHeight="1">
      <c r="B133" s="642" t="b" cm="1">
        <f t="array" ref="B133">B132</f>
        <v>0</v>
      </c>
      <c r="E133" s="505">
        <v>15</v>
      </c>
      <c r="F133" s="3" cm="1">
        <f t="array" aca="1" ref="F133" ca="1">OFFSET(E133,-1,1)</f>
        <v>0</v>
      </c>
      <c r="K133" s="25" t="s">
        <v>2170</v>
      </c>
      <c r="L133" s="25"/>
      <c r="M133" s="25"/>
      <c r="T133" s="351" t="b" cm="1">
        <f t="array" aca="1" ref="T133" ca="1">T132</f>
        <v>0</v>
      </c>
      <c r="X133" s="1024"/>
      <c r="Z133" s="1008"/>
      <c r="AB133" s="133" t="s">
        <v>2171</v>
      </c>
      <c r="AC133" s="134" t="s">
        <v>2172</v>
      </c>
      <c r="AD133" s="7" t="s">
        <v>501</v>
      </c>
      <c r="AE133" s="777"/>
      <c r="AF133" s="777"/>
      <c r="AG133" s="777"/>
      <c r="AH133" s="540"/>
      <c r="AI133" s="777"/>
      <c r="AJ133" s="128"/>
      <c r="AK133" s="128"/>
      <c r="AL133" s="128"/>
      <c r="AM133" s="777"/>
      <c r="AN133" s="777"/>
      <c r="AO133" s="777"/>
      <c r="AP133" s="777"/>
      <c r="AQ133" s="777"/>
      <c r="AR133" s="777"/>
      <c r="AS133" s="777"/>
      <c r="AT133" s="128"/>
      <c r="AU133" s="128"/>
      <c r="AV133" s="128"/>
      <c r="AW133" s="777"/>
      <c r="AX133" s="777"/>
      <c r="AY133" s="777"/>
      <c r="AZ133" s="777"/>
      <c r="BA133" s="777"/>
      <c r="BB133" s="777"/>
      <c r="BC133" s="777"/>
      <c r="BD133" s="540"/>
      <c r="BE133" s="540"/>
      <c r="BF133" s="540"/>
      <c r="BG133" s="540"/>
      <c r="BH133" s="540"/>
      <c r="BI133" s="540"/>
      <c r="BJ133" s="540"/>
      <c r="BK133" s="540"/>
      <c r="BL133" s="540"/>
      <c r="BM133" s="540"/>
      <c r="BN133" s="774"/>
      <c r="BO133" s="774"/>
      <c r="BP133" s="774"/>
      <c r="BS133" s="694" t="s">
        <v>2173</v>
      </c>
    </row>
    <row r="134" spans="2:75" ht="14.65" hidden="1" customHeight="1">
      <c r="B134" s="642" t="b" cm="1">
        <f t="array" ref="B134">B133</f>
        <v>0</v>
      </c>
      <c r="E134" s="505">
        <v>15</v>
      </c>
      <c r="F134" s="3" cm="1">
        <f t="array" aca="1" ref="F134" ca="1">OFFSET(E134,-1,1)</f>
        <v>0</v>
      </c>
      <c r="K134" s="25" t="s">
        <v>2174</v>
      </c>
      <c r="L134" s="25"/>
      <c r="M134" s="25"/>
      <c r="T134" s="351" t="b" cm="1">
        <f t="array" aca="1" ref="T134" ca="1">T133</f>
        <v>0</v>
      </c>
      <c r="X134" s="1024"/>
      <c r="Z134" s="1008"/>
      <c r="AB134" s="133" t="s">
        <v>2175</v>
      </c>
      <c r="AC134" s="134" t="s">
        <v>2176</v>
      </c>
      <c r="AD134" s="7" t="s">
        <v>501</v>
      </c>
      <c r="AE134" s="777"/>
      <c r="AF134" s="777"/>
      <c r="AG134" s="777"/>
      <c r="AH134" s="540"/>
      <c r="AI134" s="777"/>
      <c r="AJ134" s="128"/>
      <c r="AK134" s="128"/>
      <c r="AL134" s="128"/>
      <c r="AM134" s="777"/>
      <c r="AN134" s="777"/>
      <c r="AO134" s="777"/>
      <c r="AP134" s="777"/>
      <c r="AQ134" s="777"/>
      <c r="AR134" s="777"/>
      <c r="AS134" s="777"/>
      <c r="AT134" s="128"/>
      <c r="AU134" s="128"/>
      <c r="AV134" s="128"/>
      <c r="AW134" s="777"/>
      <c r="AX134" s="777"/>
      <c r="AY134" s="777"/>
      <c r="AZ134" s="777"/>
      <c r="BA134" s="777"/>
      <c r="BB134" s="777"/>
      <c r="BC134" s="777"/>
      <c r="BD134" s="540"/>
      <c r="BE134" s="540"/>
      <c r="BF134" s="540"/>
      <c r="BG134" s="540"/>
      <c r="BH134" s="540"/>
      <c r="BI134" s="540"/>
      <c r="BJ134" s="540"/>
      <c r="BK134" s="540"/>
      <c r="BL134" s="540"/>
      <c r="BM134" s="540"/>
      <c r="BN134" s="774"/>
      <c r="BO134" s="774"/>
      <c r="BP134" s="774"/>
      <c r="BS134" s="694" t="s">
        <v>2177</v>
      </c>
    </row>
    <row r="135" spans="2:75" s="76" customFormat="1" ht="20.45" hidden="1" customHeight="1">
      <c r="B135" s="331"/>
      <c r="D135" s="27" t="str">
        <f>IF(B134,"6","7")</f>
        <v>7</v>
      </c>
      <c r="E135" s="509">
        <v>21</v>
      </c>
      <c r="F135" s="3" cm="1">
        <f t="array" aca="1" ref="F135" ca="1">OFFSET(E135,-1,1)</f>
        <v>0</v>
      </c>
      <c r="G135" s="72" t="s">
        <v>2178</v>
      </c>
      <c r="H135" s="72"/>
      <c r="I135" s="278" t="s">
        <v>2179</v>
      </c>
      <c r="K135" s="278" t="s">
        <v>2179</v>
      </c>
      <c r="L135" s="27"/>
      <c r="M135" s="27"/>
      <c r="T135" s="351" t="b" cm="1">
        <f t="array" aca="1" ref="T135" ca="1">T134</f>
        <v>0</v>
      </c>
      <c r="X135" s="1024"/>
      <c r="Z135" s="1008"/>
      <c r="AB135" s="124" t="str" cm="1">
        <f t="array" ref="AB135">D135</f>
        <v>7</v>
      </c>
      <c r="AC135" s="132" t="s">
        <v>1632</v>
      </c>
      <c r="AD135" s="124" t="s">
        <v>859</v>
      </c>
      <c r="AE135" s="773"/>
      <c r="AF135" s="773"/>
      <c r="AG135" s="773"/>
      <c r="AH135" s="126">
        <f>AG135-AF135</f>
        <v>0</v>
      </c>
      <c r="AI135" s="773"/>
      <c r="AJ135" s="128">
        <f ca="1">SUMIFS('Корректировка НВВ'!$AF$25:$AF$129,'Корректировка НВВ'!$F$25:$F$129,$F135,'Корректировка НВВ'!$I$25:$I$129,$G135)</f>
        <v>0</v>
      </c>
      <c r="AK135" s="138"/>
      <c r="AL135" s="138"/>
      <c r="AM135" s="773"/>
      <c r="AN135" s="773"/>
      <c r="AO135" s="773"/>
      <c r="AP135" s="773"/>
      <c r="AQ135" s="773"/>
      <c r="AR135" s="773"/>
      <c r="AS135" s="773"/>
      <c r="AT135" s="128">
        <f ca="1">SUMIFS('Корректировка НВВ'!$AG$25:$AG$129,'Корректировка НВВ'!$F$25:$F$129,$F135,'Корректировка НВВ'!$I$25:$I$129,$G135)</f>
        <v>0</v>
      </c>
      <c r="AU135" s="138"/>
      <c r="AV135" s="138"/>
      <c r="AW135" s="773"/>
      <c r="AX135" s="773"/>
      <c r="AY135" s="773"/>
      <c r="AZ135" s="773"/>
      <c r="BA135" s="773"/>
      <c r="BB135" s="773"/>
      <c r="BC135" s="773"/>
      <c r="BD135" s="126">
        <f>IF(AI135=0,0,(AT135-AI135)/AI135*100)</f>
        <v>0</v>
      </c>
      <c r="BE135" s="126">
        <f t="shared" ref="BE135:BM135" ca="1" si="24">IF(AT135=0,0,(AU135-AT135)/AT135*100)</f>
        <v>0</v>
      </c>
      <c r="BF135" s="126">
        <f t="shared" si="24"/>
        <v>0</v>
      </c>
      <c r="BG135" s="126">
        <f t="shared" si="24"/>
        <v>0</v>
      </c>
      <c r="BH135" s="126">
        <f t="shared" si="24"/>
        <v>0</v>
      </c>
      <c r="BI135" s="126">
        <f t="shared" si="24"/>
        <v>0</v>
      </c>
      <c r="BJ135" s="126">
        <f t="shared" si="24"/>
        <v>0</v>
      </c>
      <c r="BK135" s="126">
        <f t="shared" si="24"/>
        <v>0</v>
      </c>
      <c r="BL135" s="126">
        <f t="shared" si="24"/>
        <v>0</v>
      </c>
      <c r="BM135" s="126">
        <f t="shared" si="24"/>
        <v>0</v>
      </c>
      <c r="BN135" s="776"/>
      <c r="BO135" s="778" t="str">
        <f ca="1">IF(IFERROR(INDEX('Корректировка НВВ'!$K$26:$L$129,MATCH($F135&amp;"11komm",'Корректировка НВВ'!$K$26:$K$129,0),2),"")=0,"",IFERROR(INDEX('Корректировка НВВ'!$K$26:$L$129,MATCH($F135&amp;"11komm",'Корректировка НВВ'!$K$26:$K$129,0),2),""))</f>
        <v/>
      </c>
      <c r="BP135" s="776"/>
      <c r="BS135" s="700" t="s">
        <v>2180</v>
      </c>
      <c r="BT135" s="700"/>
      <c r="BU135" s="700"/>
      <c r="BV135" s="509"/>
      <c r="BW135" s="509"/>
    </row>
    <row r="136" spans="2:75" ht="14.65" hidden="1" customHeight="1">
      <c r="D136" s="25" t="str" cm="1">
        <f t="array" ref="D136">D135</f>
        <v>7</v>
      </c>
      <c r="E136" s="505">
        <v>15</v>
      </c>
      <c r="F136" s="3" cm="1">
        <f t="array" aca="1" ref="F136" ca="1">OFFSET(E136,-1,1)</f>
        <v>0</v>
      </c>
      <c r="L136" s="25"/>
      <c r="M136" s="25"/>
      <c r="T136" s="351" t="b" cm="1">
        <f t="array" aca="1" ref="T136" ca="1">T135</f>
        <v>0</v>
      </c>
      <c r="X136" s="1024"/>
      <c r="Z136" s="1008"/>
      <c r="AB136" s="7"/>
      <c r="AC136" s="345" t="s">
        <v>2181</v>
      </c>
      <c r="AD136" s="7"/>
      <c r="AE136" s="540"/>
      <c r="AF136" s="540"/>
      <c r="AG136" s="540"/>
      <c r="AH136" s="540"/>
      <c r="AI136" s="540"/>
      <c r="AJ136" s="540"/>
      <c r="AK136" s="540"/>
      <c r="AL136" s="540"/>
      <c r="AM136" s="540"/>
      <c r="AN136" s="540"/>
      <c r="AO136" s="540"/>
      <c r="AP136" s="540"/>
      <c r="AQ136" s="540"/>
      <c r="AR136" s="540"/>
      <c r="AS136" s="540"/>
      <c r="AT136" s="540"/>
      <c r="AU136" s="540"/>
      <c r="AV136" s="540"/>
      <c r="AW136" s="540"/>
      <c r="AX136" s="540"/>
      <c r="AY136" s="540"/>
      <c r="AZ136" s="540"/>
      <c r="BA136" s="540"/>
      <c r="BB136" s="540"/>
      <c r="BC136" s="540"/>
      <c r="BD136" s="540"/>
      <c r="BE136" s="540"/>
      <c r="BF136" s="540"/>
      <c r="BG136" s="540"/>
      <c r="BH136" s="540"/>
      <c r="BI136" s="540"/>
      <c r="BJ136" s="540"/>
      <c r="BK136" s="540"/>
      <c r="BL136" s="540"/>
      <c r="BM136" s="540"/>
      <c r="BN136" s="384"/>
      <c r="BO136" s="384"/>
      <c r="BP136" s="384"/>
    </row>
    <row r="137" spans="2:75" ht="21.95" hidden="1" customHeight="1">
      <c r="D137" s="25" t="str" cm="1">
        <f t="array" ref="D137">D136</f>
        <v>7</v>
      </c>
      <c r="E137" s="505">
        <v>22.5</v>
      </c>
      <c r="F137" s="3" cm="1">
        <f t="array" aca="1" ref="F137" ca="1">OFFSET(E137,-1,1)</f>
        <v>0</v>
      </c>
      <c r="G137" s="72" t="s">
        <v>364</v>
      </c>
      <c r="I137" s="72" t="s">
        <v>560</v>
      </c>
      <c r="K137" s="72" t="s">
        <v>560</v>
      </c>
      <c r="L137" s="25"/>
      <c r="M137" s="25"/>
      <c r="T137" s="351" t="b" cm="1">
        <f t="array" aca="1" ref="T137" ca="1">T136</f>
        <v>0</v>
      </c>
      <c r="X137" s="1024"/>
      <c r="Z137" s="1008"/>
      <c r="AB137" s="7" t="str">
        <f>D137&amp;".1"</f>
        <v>7.1</v>
      </c>
      <c r="AC137" s="127" t="s">
        <v>2182</v>
      </c>
      <c r="AD137" s="7" t="s">
        <v>859</v>
      </c>
      <c r="AE137" s="777"/>
      <c r="AF137" s="777"/>
      <c r="AG137" s="777"/>
      <c r="AH137" s="170">
        <f t="shared" ref="AH137:AH150" si="25">AG137-AF137</f>
        <v>0</v>
      </c>
      <c r="AI137" s="777"/>
      <c r="AJ137" s="128">
        <f ca="1">SUMIFS('Корректировка НВВ'!$AF$25:$AF$129,'Корректировка НВВ'!$F$25:$F$129,$F137,'Корректировка НВВ'!$I$25:$I$129,$G137)</f>
        <v>0</v>
      </c>
      <c r="AK137" s="128"/>
      <c r="AL137" s="128"/>
      <c r="AM137" s="777"/>
      <c r="AN137" s="777"/>
      <c r="AO137" s="777"/>
      <c r="AP137" s="777"/>
      <c r="AQ137" s="777"/>
      <c r="AR137" s="777"/>
      <c r="AS137" s="777"/>
      <c r="AT137" s="128">
        <f ca="1">SUMIFS('Корректировка НВВ'!$AG$25:$AG$129,'Корректировка НВВ'!$F$25:$F$129,$F137,'Корректировка НВВ'!$I$25:$I$129,$G137)</f>
        <v>0</v>
      </c>
      <c r="AU137" s="128"/>
      <c r="AV137" s="128"/>
      <c r="AW137" s="777"/>
      <c r="AX137" s="777"/>
      <c r="AY137" s="777"/>
      <c r="AZ137" s="777"/>
      <c r="BA137" s="777"/>
      <c r="BB137" s="777"/>
      <c r="BC137" s="777"/>
      <c r="BD137" s="540"/>
      <c r="BE137" s="540"/>
      <c r="BF137" s="540"/>
      <c r="BG137" s="540"/>
      <c r="BH137" s="540"/>
      <c r="BI137" s="540"/>
      <c r="BJ137" s="540"/>
      <c r="BK137" s="540"/>
      <c r="BL137" s="540"/>
      <c r="BM137" s="540"/>
      <c r="BN137" s="774"/>
      <c r="BO137" s="778" t="str">
        <f ca="1">IF(IFERROR(INDEX('Корректировка НВВ'!$K$26:$L$129,MATCH($F137&amp;"1komm",'Корректировка НВВ'!$K$26:$K$129,0),2),"")=0,"",IFERROR(INDEX('Корректировка НВВ'!$K$26:$L$129,MATCH($F137&amp;"1komm",'Корректировка НВВ'!$K$26:$K$129,0),2),""))</f>
        <v/>
      </c>
      <c r="BP137" s="774"/>
      <c r="BS137" s="694" t="s">
        <v>2183</v>
      </c>
    </row>
    <row r="138" spans="2:75" ht="98.65" hidden="1" customHeight="1">
      <c r="D138" s="25" t="str" cm="1">
        <f t="array" ref="D138">D137</f>
        <v>7</v>
      </c>
      <c r="E138" s="505">
        <v>101.25</v>
      </c>
      <c r="F138" s="3" cm="1">
        <f t="array" aca="1" ref="F138" ca="1">OFFSET(E138,-1,1)</f>
        <v>0</v>
      </c>
      <c r="G138" s="72" t="s">
        <v>2184</v>
      </c>
      <c r="I138" s="72" t="s">
        <v>613</v>
      </c>
      <c r="K138" s="72" t="s">
        <v>613</v>
      </c>
      <c r="L138" s="25"/>
      <c r="M138" s="25"/>
      <c r="T138" s="351" t="b" cm="1">
        <f t="array" aca="1" ref="T138" ca="1">T137</f>
        <v>0</v>
      </c>
      <c r="X138" s="1024"/>
      <c r="Z138" s="1008"/>
      <c r="AB138" s="7" t="str">
        <f>D138&amp;".2"</f>
        <v>7.2</v>
      </c>
      <c r="AC138" s="127" t="s">
        <v>2185</v>
      </c>
      <c r="AD138" s="7" t="s">
        <v>859</v>
      </c>
      <c r="AE138" s="777"/>
      <c r="AF138" s="777"/>
      <c r="AG138" s="777"/>
      <c r="AH138" s="170">
        <f t="shared" si="25"/>
        <v>0</v>
      </c>
      <c r="AI138" s="777"/>
      <c r="AJ138" s="128">
        <f ca="1">SUMIFS('Корректировка НВВ'!$AF$25:$AF$129,'Корректировка НВВ'!$F$25:$F$129,$F138,'Корректировка НВВ'!$I$25:$I$129,$G138)</f>
        <v>0</v>
      </c>
      <c r="AK138" s="128"/>
      <c r="AL138" s="128"/>
      <c r="AM138" s="777"/>
      <c r="AN138" s="777"/>
      <c r="AO138" s="777"/>
      <c r="AP138" s="777"/>
      <c r="AQ138" s="777"/>
      <c r="AR138" s="777"/>
      <c r="AS138" s="777"/>
      <c r="AT138" s="128">
        <f ca="1">SUMIFS('Корректировка НВВ'!$AG$25:$AG$129,'Корректировка НВВ'!$F$25:$F$129,$F138,'Корректировка НВВ'!$I$25:$I$129,$G138)</f>
        <v>0</v>
      </c>
      <c r="AU138" s="128"/>
      <c r="AV138" s="128"/>
      <c r="AW138" s="777"/>
      <c r="AX138" s="777"/>
      <c r="AY138" s="777"/>
      <c r="AZ138" s="777"/>
      <c r="BA138" s="777"/>
      <c r="BB138" s="777"/>
      <c r="BC138" s="777"/>
      <c r="BD138" s="540"/>
      <c r="BE138" s="540"/>
      <c r="BF138" s="540"/>
      <c r="BG138" s="540"/>
      <c r="BH138" s="540"/>
      <c r="BI138" s="540"/>
      <c r="BJ138" s="540"/>
      <c r="BK138" s="540"/>
      <c r="BL138" s="540"/>
      <c r="BM138" s="540"/>
      <c r="BN138" s="774"/>
      <c r="BO138" s="778" t="str">
        <f ca="1">IF(IFERROR(INDEX('Корректировка НВВ'!$K$26:$L$129,MATCH($F138&amp;"2komm",'Корректировка НВВ'!$K$26:$K$129,0),2),"")=0,"",IFERROR(INDEX('Корректировка НВВ'!$K$26:$L$129,MATCH($F138&amp;"2komm",'Корректировка НВВ'!$K$26:$K$129,0),2),""))</f>
        <v/>
      </c>
      <c r="BP138" s="774"/>
      <c r="BS138" s="694" t="s">
        <v>2186</v>
      </c>
    </row>
    <row r="139" spans="2:75" ht="43.9" hidden="1" customHeight="1">
      <c r="D139" s="25" t="str" cm="1">
        <f t="array" ref="D139">D138</f>
        <v>7</v>
      </c>
      <c r="E139" s="505">
        <v>45</v>
      </c>
      <c r="F139" s="3" cm="1">
        <f t="array" aca="1" ref="F139" ca="1">OFFSET(E139,-1,1)</f>
        <v>0</v>
      </c>
      <c r="I139" s="72" t="s">
        <v>628</v>
      </c>
      <c r="K139" s="72" t="s">
        <v>628</v>
      </c>
      <c r="L139" s="25"/>
      <c r="M139" s="25"/>
      <c r="T139" s="351" t="b" cm="1">
        <f t="array" aca="1" ref="T139" ca="1">T138</f>
        <v>0</v>
      </c>
      <c r="X139" s="1024"/>
      <c r="Z139" s="1008"/>
      <c r="AB139" s="7" t="str">
        <f>D139&amp;".3"</f>
        <v>7.3</v>
      </c>
      <c r="AC139" s="127" t="s">
        <v>2187</v>
      </c>
      <c r="AD139" s="7" t="s">
        <v>859</v>
      </c>
      <c r="AE139" s="777"/>
      <c r="AF139" s="777"/>
      <c r="AG139" s="777"/>
      <c r="AH139" s="170">
        <f t="shared" si="25"/>
        <v>0</v>
      </c>
      <c r="AI139" s="777"/>
      <c r="AJ139" s="128">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28"/>
      <c r="AL139" s="128"/>
      <c r="AM139" s="777"/>
      <c r="AN139" s="777"/>
      <c r="AO139" s="777"/>
      <c r="AP139" s="777"/>
      <c r="AQ139" s="777"/>
      <c r="AR139" s="777"/>
      <c r="AS139" s="777"/>
      <c r="AT139" s="128">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28"/>
      <c r="AV139" s="128"/>
      <c r="AW139" s="777"/>
      <c r="AX139" s="777"/>
      <c r="AY139" s="777"/>
      <c r="AZ139" s="777"/>
      <c r="BA139" s="777"/>
      <c r="BB139" s="777"/>
      <c r="BC139" s="777"/>
      <c r="BD139" s="540"/>
      <c r="BE139" s="540"/>
      <c r="BF139" s="540"/>
      <c r="BG139" s="540"/>
      <c r="BH139" s="540"/>
      <c r="BI139" s="540"/>
      <c r="BJ139" s="540"/>
      <c r="BK139" s="540"/>
      <c r="BL139" s="540"/>
      <c r="BM139" s="540"/>
      <c r="BN139" s="774"/>
      <c r="BO139" s="778"/>
      <c r="BP139" s="774"/>
      <c r="BS139" s="694" t="s">
        <v>2188</v>
      </c>
    </row>
    <row r="140" spans="2:75" ht="87.75" hidden="1" customHeight="1">
      <c r="B140" s="340" t="b">
        <f>S27="Водоотведение"</f>
        <v>0</v>
      </c>
      <c r="D140" s="25" t="str" cm="1">
        <f t="array" ref="D140">D139</f>
        <v>7</v>
      </c>
      <c r="E140" s="505">
        <v>90</v>
      </c>
      <c r="F140" s="3" cm="1">
        <f t="array" aca="1" ref="F140" ca="1">OFFSET(E140,-1,1)</f>
        <v>0</v>
      </c>
      <c r="G140" s="72" t="s">
        <v>2189</v>
      </c>
      <c r="H140" s="2"/>
      <c r="I140" s="72" t="s">
        <v>794</v>
      </c>
      <c r="K140" s="72" t="s">
        <v>794</v>
      </c>
      <c r="L140" s="25" t="s">
        <v>792</v>
      </c>
      <c r="M140" s="25"/>
      <c r="T140" s="351" t="b" cm="1">
        <f t="array" aca="1" ref="T140" ca="1">T139</f>
        <v>0</v>
      </c>
      <c r="X140" s="1024"/>
      <c r="Z140" s="1008"/>
      <c r="AB140" s="7" t="str">
        <f>D140&amp;".4"</f>
        <v>7.4</v>
      </c>
      <c r="AC140" s="127" t="s">
        <v>1858</v>
      </c>
      <c r="AD140" s="9" t="s">
        <v>859</v>
      </c>
      <c r="AE140" s="777"/>
      <c r="AF140" s="777"/>
      <c r="AG140" s="777"/>
      <c r="AH140" s="170">
        <f t="shared" si="25"/>
        <v>0</v>
      </c>
      <c r="AI140" s="777"/>
      <c r="AJ140" s="128">
        <f ca="1">SUMIFS('Корректировка НВВ'!$AF$25:$AF$129,'Корректировка НВВ'!$F$25:$F$129,$F140,'Корректировка НВВ'!$I$25:$I$129,$G140)</f>
        <v>0</v>
      </c>
      <c r="AK140" s="128"/>
      <c r="AL140" s="128"/>
      <c r="AM140" s="777"/>
      <c r="AN140" s="777"/>
      <c r="AO140" s="777"/>
      <c r="AP140" s="777"/>
      <c r="AQ140" s="777"/>
      <c r="AR140" s="777"/>
      <c r="AS140" s="777"/>
      <c r="AT140" s="128">
        <f ca="1">SUMIFS('Корректировка НВВ'!$AG$25:$AG$129,'Корректировка НВВ'!$F$25:$F$129,$F140,'Корректировка НВВ'!$I$25:$I$129,$G140)</f>
        <v>0</v>
      </c>
      <c r="AU140" s="128"/>
      <c r="AV140" s="128"/>
      <c r="AW140" s="777"/>
      <c r="AX140" s="777"/>
      <c r="AY140" s="777"/>
      <c r="AZ140" s="777"/>
      <c r="BA140" s="777"/>
      <c r="BB140" s="777"/>
      <c r="BC140" s="777"/>
      <c r="BD140" s="540"/>
      <c r="BE140" s="540"/>
      <c r="BF140" s="540"/>
      <c r="BG140" s="540"/>
      <c r="BH140" s="540"/>
      <c r="BI140" s="540"/>
      <c r="BJ140" s="540"/>
      <c r="BK140" s="540"/>
      <c r="BL140" s="540"/>
      <c r="BM140" s="540"/>
      <c r="BN140" s="774"/>
      <c r="BO140" s="778" t="str">
        <f ca="1">IF(IFERROR(INDEX('Корректировка НВВ'!$K$26:$L$129,MATCH($F140&amp;"3komm",'Корректировка НВВ'!$K$26:$K$129,0),2),"")=0,"",IFERROR(INDEX('Корректировка НВВ'!$K$26:$L$129,MATCH($F140&amp;"3komm",'Корректировка НВВ'!$K$26:$K$129,0),2),""))</f>
        <v/>
      </c>
      <c r="BP140" s="774"/>
      <c r="BS140" s="694" t="s">
        <v>1408</v>
      </c>
    </row>
    <row r="141" spans="2:75" ht="54.75" hidden="1" customHeight="1">
      <c r="B141" s="340" t="b" cm="1">
        <f t="array" ref="B141">B140</f>
        <v>0</v>
      </c>
      <c r="D141" s="25" t="str" cm="1">
        <f t="array" ref="D141">D140</f>
        <v>7</v>
      </c>
      <c r="E141" s="505">
        <v>56.25</v>
      </c>
      <c r="F141" s="3" cm="1">
        <f t="array" aca="1" ref="F141" ca="1">OFFSET(E141,-1,1)</f>
        <v>0</v>
      </c>
      <c r="G141" s="72" t="s">
        <v>2190</v>
      </c>
      <c r="H141" s="2"/>
      <c r="I141" s="72" t="s">
        <v>837</v>
      </c>
      <c r="K141" s="72" t="s">
        <v>837</v>
      </c>
      <c r="L141" s="25" t="s">
        <v>794</v>
      </c>
      <c r="M141" s="25"/>
      <c r="T141" s="351" t="b" cm="1">
        <f t="array" aca="1" ref="T141" ca="1">T140</f>
        <v>0</v>
      </c>
      <c r="X141" s="1024"/>
      <c r="Z141" s="1008"/>
      <c r="AB141" s="7" t="str">
        <f>D141&amp;".5"</f>
        <v>7.5</v>
      </c>
      <c r="AC141" s="127" t="s">
        <v>1859</v>
      </c>
      <c r="AD141" s="9" t="s">
        <v>859</v>
      </c>
      <c r="AE141" s="777"/>
      <c r="AF141" s="777"/>
      <c r="AG141" s="777"/>
      <c r="AH141" s="170">
        <f t="shared" si="25"/>
        <v>0</v>
      </c>
      <c r="AI141" s="777"/>
      <c r="AJ141" s="128">
        <f ca="1">SUMIFS('Корректировка НВВ'!$AF$25:$AF$129,'Корректировка НВВ'!$F$25:$F$129,$F141,'Корректировка НВВ'!$I$25:$I$129,$G141)</f>
        <v>0</v>
      </c>
      <c r="AK141" s="128"/>
      <c r="AL141" s="128"/>
      <c r="AM141" s="777"/>
      <c r="AN141" s="777"/>
      <c r="AO141" s="777"/>
      <c r="AP141" s="777"/>
      <c r="AQ141" s="777"/>
      <c r="AR141" s="777"/>
      <c r="AS141" s="777"/>
      <c r="AT141" s="128">
        <f ca="1">SUMIFS('Корректировка НВВ'!$AG$25:$AG$129,'Корректировка НВВ'!$F$25:$F$129,$F141,'Корректировка НВВ'!$I$25:$I$129,$G141)</f>
        <v>0</v>
      </c>
      <c r="AU141" s="128"/>
      <c r="AV141" s="128"/>
      <c r="AW141" s="777"/>
      <c r="AX141" s="777"/>
      <c r="AY141" s="777"/>
      <c r="AZ141" s="777"/>
      <c r="BA141" s="777"/>
      <c r="BB141" s="777"/>
      <c r="BC141" s="777"/>
      <c r="BD141" s="540"/>
      <c r="BE141" s="540"/>
      <c r="BF141" s="540"/>
      <c r="BG141" s="540"/>
      <c r="BH141" s="540"/>
      <c r="BI141" s="540"/>
      <c r="BJ141" s="540"/>
      <c r="BK141" s="540"/>
      <c r="BL141" s="540"/>
      <c r="BM141" s="540"/>
      <c r="BN141" s="774"/>
      <c r="BO141" s="778" t="str">
        <f ca="1">IF(IFERROR(INDEX('Корректировка НВВ'!$K$26:$L$129,MATCH($F141&amp;"4komm",'Корректировка НВВ'!$K$26:$K$129,0),2),"")=0,"",IFERROR(INDEX('Корректировка НВВ'!$K$26:$L$129,MATCH($F141&amp;"4komm",'Корректировка НВВ'!$K$26:$K$129,0),2),""))</f>
        <v/>
      </c>
      <c r="BP141" s="774"/>
      <c r="BS141" s="694" t="s">
        <v>1412</v>
      </c>
    </row>
    <row r="142" spans="2:75" ht="14.65" hidden="1" customHeight="1">
      <c r="D142" s="25" t="str" cm="1">
        <f t="array" ref="D142">D141</f>
        <v>7</v>
      </c>
      <c r="E142" s="505">
        <v>15</v>
      </c>
      <c r="F142" s="3" cm="1">
        <f t="array" aca="1" ref="F142" ca="1">OFFSET(E142,-1,1)</f>
        <v>0</v>
      </c>
      <c r="G142" s="72" t="s">
        <v>2191</v>
      </c>
      <c r="I142" s="72" t="s">
        <v>838</v>
      </c>
      <c r="K142" s="72" t="s">
        <v>838</v>
      </c>
      <c r="L142" s="25" t="s">
        <v>837</v>
      </c>
      <c r="M142" s="25"/>
      <c r="T142" s="351" t="b" cm="1">
        <f t="array" aca="1" ref="T142" ca="1">T141</f>
        <v>0</v>
      </c>
      <c r="X142" s="1024"/>
      <c r="Z142" s="1008"/>
      <c r="AB142" s="7" t="str">
        <f>IF(B141,D142&amp;".6",D142&amp;".4")</f>
        <v>7.4</v>
      </c>
      <c r="AC142" s="127" t="s">
        <v>1625</v>
      </c>
      <c r="AD142" s="7" t="s">
        <v>859</v>
      </c>
      <c r="AE142" s="777"/>
      <c r="AF142" s="777"/>
      <c r="AG142" s="777"/>
      <c r="AH142" s="170">
        <f t="shared" si="25"/>
        <v>0</v>
      </c>
      <c r="AI142" s="777"/>
      <c r="AJ142" s="128">
        <f ca="1">SUMIFS('Корректировка НВВ'!$AF$25:$AF$129,'Корректировка НВВ'!$F$25:$F$129,$F142,'Корректировка НВВ'!$I$25:$I$129,$G142)</f>
        <v>0</v>
      </c>
      <c r="AK142" s="128"/>
      <c r="AL142" s="128"/>
      <c r="AM142" s="777"/>
      <c r="AN142" s="777"/>
      <c r="AO142" s="777"/>
      <c r="AP142" s="777"/>
      <c r="AQ142" s="777"/>
      <c r="AR142" s="777"/>
      <c r="AS142" s="777"/>
      <c r="AT142" s="128">
        <f ca="1">SUMIFS('Корректировка НВВ'!$AG$25:$AG$129,'Корректировка НВВ'!$F$25:$F$129,$F142,'Корректировка НВВ'!$I$25:$I$129,$G142)</f>
        <v>0</v>
      </c>
      <c r="AU142" s="128"/>
      <c r="AV142" s="128"/>
      <c r="AW142" s="777"/>
      <c r="AX142" s="777"/>
      <c r="AY142" s="777"/>
      <c r="AZ142" s="777"/>
      <c r="BA142" s="777"/>
      <c r="BB142" s="777"/>
      <c r="BC142" s="777"/>
      <c r="BD142" s="540"/>
      <c r="BE142" s="540"/>
      <c r="BF142" s="540"/>
      <c r="BG142" s="540"/>
      <c r="BH142" s="540"/>
      <c r="BI142" s="540"/>
      <c r="BJ142" s="540"/>
      <c r="BK142" s="540"/>
      <c r="BL142" s="540"/>
      <c r="BM142" s="540"/>
      <c r="BN142" s="774"/>
      <c r="BO142" s="778" t="str">
        <f ca="1">IF(IFERROR(INDEX('Корректировка НВВ'!$K$26:$L$129,MATCH($F142&amp;"5komm",'Корректировка НВВ'!$K$26:$K$129,0),2),"")=0,"",IFERROR(INDEX('Корректировка НВВ'!$K$26:$L$129,MATCH($F142&amp;"5komm",'Корректировка НВВ'!$K$26:$K$129,0),2),""))</f>
        <v/>
      </c>
      <c r="BP142" s="774"/>
      <c r="BS142" s="694" t="s">
        <v>2192</v>
      </c>
    </row>
    <row r="143" spans="2:75" ht="14.65" hidden="1" customHeight="1">
      <c r="D143" s="25" t="str" cm="1">
        <f t="array" ref="D143">D142</f>
        <v>7</v>
      </c>
      <c r="E143" s="505">
        <v>15</v>
      </c>
      <c r="F143" s="3" cm="1">
        <f t="array" aca="1" ref="F143" ca="1">OFFSET(E143,-1,1)</f>
        <v>0</v>
      </c>
      <c r="G143" s="72" t="s">
        <v>2193</v>
      </c>
      <c r="I143" s="72" t="s">
        <v>1867</v>
      </c>
      <c r="K143" s="72" t="s">
        <v>1867</v>
      </c>
      <c r="L143" s="25" t="s">
        <v>838</v>
      </c>
      <c r="M143" s="25"/>
      <c r="T143" s="351" t="b" cm="1">
        <f t="array" aca="1" ref="T143" ca="1">T142</f>
        <v>0</v>
      </c>
      <c r="X143" s="1024"/>
      <c r="Z143" s="1008"/>
      <c r="AB143" s="7" t="str">
        <f>IF(B141,D142&amp;".7",D142&amp;".5")</f>
        <v>7.5</v>
      </c>
      <c r="AC143" s="127" t="s">
        <v>1587</v>
      </c>
      <c r="AD143" s="7" t="s">
        <v>859</v>
      </c>
      <c r="AE143" s="777">
        <f>AE144+AE145</f>
        <v>0</v>
      </c>
      <c r="AF143" s="777">
        <f>AF144+AF145</f>
        <v>0</v>
      </c>
      <c r="AG143" s="777">
        <f>AG144+AG145</f>
        <v>0</v>
      </c>
      <c r="AH143" s="170">
        <f t="shared" si="25"/>
        <v>0</v>
      </c>
      <c r="AI143" s="777">
        <f>AI144+AI145</f>
        <v>0</v>
      </c>
      <c r="AJ143" s="128">
        <f ca="1">SUMIFS('Корректировка НВВ'!$AF$25:$AF$129,'Корректировка НВВ'!$F$25:$F$129,$F143,'Корректировка НВВ'!$I$25:$I$129,$G143)</f>
        <v>0</v>
      </c>
      <c r="AK143" s="128">
        <f t="shared" ref="AK143:AS143" si="26">AK144+AK145</f>
        <v>0</v>
      </c>
      <c r="AL143" s="128">
        <f t="shared" si="26"/>
        <v>0</v>
      </c>
      <c r="AM143" s="777">
        <f t="shared" si="26"/>
        <v>0</v>
      </c>
      <c r="AN143" s="777">
        <f t="shared" si="26"/>
        <v>0</v>
      </c>
      <c r="AO143" s="777">
        <f t="shared" si="26"/>
        <v>0</v>
      </c>
      <c r="AP143" s="777">
        <f t="shared" si="26"/>
        <v>0</v>
      </c>
      <c r="AQ143" s="777">
        <f t="shared" si="26"/>
        <v>0</v>
      </c>
      <c r="AR143" s="777">
        <f t="shared" si="26"/>
        <v>0</v>
      </c>
      <c r="AS143" s="777">
        <f t="shared" si="26"/>
        <v>0</v>
      </c>
      <c r="AT143" s="128">
        <f ca="1">SUMIFS('Корректировка НВВ'!$AG$25:$AG$129,'Корректировка НВВ'!$F$25:$F$129,$F143,'Корректировка НВВ'!$I$25:$I$129,$G143)</f>
        <v>0</v>
      </c>
      <c r="AU143" s="128">
        <f t="shared" ref="AU143:BC143" si="27">AU144+AU145</f>
        <v>0</v>
      </c>
      <c r="AV143" s="128">
        <f t="shared" si="27"/>
        <v>0</v>
      </c>
      <c r="AW143" s="777">
        <f t="shared" si="27"/>
        <v>0</v>
      </c>
      <c r="AX143" s="777">
        <f t="shared" si="27"/>
        <v>0</v>
      </c>
      <c r="AY143" s="777">
        <f t="shared" si="27"/>
        <v>0</v>
      </c>
      <c r="AZ143" s="777">
        <f t="shared" si="27"/>
        <v>0</v>
      </c>
      <c r="BA143" s="777">
        <f t="shared" si="27"/>
        <v>0</v>
      </c>
      <c r="BB143" s="777">
        <f t="shared" si="27"/>
        <v>0</v>
      </c>
      <c r="BC143" s="777">
        <f t="shared" si="27"/>
        <v>0</v>
      </c>
      <c r="BD143" s="170">
        <f>IF(AI143=0,0,(AT143-AI143)/AI143*100)</f>
        <v>0</v>
      </c>
      <c r="BE143" s="170">
        <f t="shared" ref="BE143:BM143" ca="1" si="28">IF(AT143=0,0,(AU143-AT143)/AT143*100)</f>
        <v>0</v>
      </c>
      <c r="BF143" s="170">
        <f t="shared" si="28"/>
        <v>0</v>
      </c>
      <c r="BG143" s="170">
        <f t="shared" si="28"/>
        <v>0</v>
      </c>
      <c r="BH143" s="170">
        <f t="shared" si="28"/>
        <v>0</v>
      </c>
      <c r="BI143" s="170">
        <f t="shared" si="28"/>
        <v>0</v>
      </c>
      <c r="BJ143" s="170">
        <f t="shared" si="28"/>
        <v>0</v>
      </c>
      <c r="BK143" s="170">
        <f t="shared" si="28"/>
        <v>0</v>
      </c>
      <c r="BL143" s="170">
        <f t="shared" si="28"/>
        <v>0</v>
      </c>
      <c r="BM143" s="170">
        <f t="shared" si="28"/>
        <v>0</v>
      </c>
      <c r="BN143" s="774"/>
      <c r="BO143" s="778" t="str">
        <f ca="1">IF(IFERROR(INDEX('Корректировка НВВ'!$K$26:$L$129,MATCH($F143&amp;"6komm",'Корректировка НВВ'!$K$26:$K$129,0),2),"")=0,"",IFERROR(INDEX('Корректировка НВВ'!$K$26:$L$129,MATCH($F143&amp;"6komm",'Корректировка НВВ'!$K$26:$K$129,0),2),""))</f>
        <v/>
      </c>
      <c r="BP143" s="774"/>
      <c r="BS143" s="694" t="s">
        <v>1589</v>
      </c>
    </row>
    <row r="144" spans="2:75" ht="21.95" hidden="1" customHeight="1">
      <c r="D144" s="25" t="str" cm="1">
        <f t="array" ref="D144">D143</f>
        <v>7</v>
      </c>
      <c r="E144" s="505">
        <v>22.5</v>
      </c>
      <c r="F144" s="3" cm="1">
        <f t="array" aca="1" ref="F144" ca="1">OFFSET(E144,-1,1)</f>
        <v>0</v>
      </c>
      <c r="G144" s="72" t="s">
        <v>2194</v>
      </c>
      <c r="I144" s="72" t="s">
        <v>2195</v>
      </c>
      <c r="K144" s="72" t="s">
        <v>2195</v>
      </c>
      <c r="L144" s="25" t="s">
        <v>1862</v>
      </c>
      <c r="M144" s="25"/>
      <c r="T144" s="351" t="b" cm="1">
        <f t="array" aca="1" ref="T144" ca="1">T143</f>
        <v>0</v>
      </c>
      <c r="X144" s="1024"/>
      <c r="Z144" s="1008"/>
      <c r="AB144" s="7" t="str">
        <f>AB143&amp;".1"</f>
        <v>7.5.1</v>
      </c>
      <c r="AC144" s="547" t="s">
        <v>1590</v>
      </c>
      <c r="AD144" s="7" t="s">
        <v>859</v>
      </c>
      <c r="AE144" s="777"/>
      <c r="AF144" s="777"/>
      <c r="AG144" s="777"/>
      <c r="AH144" s="170">
        <f t="shared" si="25"/>
        <v>0</v>
      </c>
      <c r="AI144" s="777"/>
      <c r="AJ144" s="128">
        <f ca="1">SUMIFS('Корректировка НВВ'!$AF$25:$AF$129,'Корректировка НВВ'!$F$25:$F$129,$F144,'Корректировка НВВ'!$I$25:$I$129,$G144)</f>
        <v>0</v>
      </c>
      <c r="AK144" s="128"/>
      <c r="AL144" s="128"/>
      <c r="AM144" s="777"/>
      <c r="AN144" s="777"/>
      <c r="AO144" s="777"/>
      <c r="AP144" s="777"/>
      <c r="AQ144" s="777"/>
      <c r="AR144" s="777"/>
      <c r="AS144" s="777"/>
      <c r="AT144" s="128">
        <f ca="1">SUMIFS('Корректировка НВВ'!$AG$25:$AG$129,'Корректировка НВВ'!$F$25:$F$129,$F144,'Корректировка НВВ'!$I$25:$I$129,$G144)</f>
        <v>0</v>
      </c>
      <c r="AU144" s="128"/>
      <c r="AV144" s="128"/>
      <c r="AW144" s="777"/>
      <c r="AX144" s="777"/>
      <c r="AY144" s="777"/>
      <c r="AZ144" s="777"/>
      <c r="BA144" s="777"/>
      <c r="BB144" s="777"/>
      <c r="BC144" s="777"/>
      <c r="BD144" s="540"/>
      <c r="BE144" s="540"/>
      <c r="BF144" s="540"/>
      <c r="BG144" s="540"/>
      <c r="BH144" s="540"/>
      <c r="BI144" s="540"/>
      <c r="BJ144" s="540"/>
      <c r="BK144" s="540"/>
      <c r="BL144" s="540"/>
      <c r="BM144" s="540"/>
      <c r="BN144" s="774"/>
      <c r="BO144" s="778" t="str">
        <f ca="1">IF(IFERROR(INDEX('Корректировка НВВ'!$K$26:$L$129,MATCH($F144&amp;"7komm",'Корректировка НВВ'!$K$26:$K$129,0),2),"")=0,"",IFERROR(INDEX('Корректировка НВВ'!$K$26:$L$129,MATCH($F144&amp;"7komm",'Корректировка НВВ'!$K$26:$K$129,0),2),""))</f>
        <v/>
      </c>
      <c r="BP144" s="774"/>
      <c r="BS144" s="694" t="s">
        <v>1591</v>
      </c>
    </row>
    <row r="145" spans="2:75" ht="21.95" hidden="1" customHeight="1">
      <c r="D145" s="25" t="str" cm="1">
        <f t="array" ref="D145">D144</f>
        <v>7</v>
      </c>
      <c r="E145" s="505">
        <v>22.5</v>
      </c>
      <c r="F145" s="3" cm="1">
        <f t="array" aca="1" ref="F145" ca="1">OFFSET(E145,-1,1)</f>
        <v>0</v>
      </c>
      <c r="G145" s="72" t="s">
        <v>2196</v>
      </c>
      <c r="I145" s="72" t="s">
        <v>2197</v>
      </c>
      <c r="K145" s="72" t="s">
        <v>2197</v>
      </c>
      <c r="L145" s="25" t="s">
        <v>1864</v>
      </c>
      <c r="M145" s="25"/>
      <c r="T145" s="351" t="b" cm="1">
        <f t="array" aca="1" ref="T145" ca="1">T144</f>
        <v>0</v>
      </c>
      <c r="X145" s="1024"/>
      <c r="Z145" s="1008"/>
      <c r="AB145" s="7" t="str">
        <f>AB143&amp;".2"</f>
        <v>7.5.2</v>
      </c>
      <c r="AC145" s="547" t="s">
        <v>1592</v>
      </c>
      <c r="AD145" s="7" t="s">
        <v>859</v>
      </c>
      <c r="AE145" s="777"/>
      <c r="AF145" s="777"/>
      <c r="AG145" s="777"/>
      <c r="AH145" s="170">
        <f t="shared" si="25"/>
        <v>0</v>
      </c>
      <c r="AI145" s="777"/>
      <c r="AJ145" s="128">
        <f ca="1">SUMIFS('Корректировка НВВ'!$AF$25:$AF$129,'Корректировка НВВ'!$F$25:$F$129,$F145,'Корректировка НВВ'!$I$25:$I$129,$G145)</f>
        <v>0</v>
      </c>
      <c r="AK145" s="128"/>
      <c r="AL145" s="128"/>
      <c r="AM145" s="777"/>
      <c r="AN145" s="777"/>
      <c r="AO145" s="777"/>
      <c r="AP145" s="777"/>
      <c r="AQ145" s="777"/>
      <c r="AR145" s="777"/>
      <c r="AS145" s="777"/>
      <c r="AT145" s="128">
        <f ca="1">SUMIFS('Корректировка НВВ'!$AG$25:$AG$129,'Корректировка НВВ'!$F$25:$F$129,$F145,'Корректировка НВВ'!$I$25:$I$129,$G145)</f>
        <v>0</v>
      </c>
      <c r="AU145" s="128"/>
      <c r="AV145" s="128"/>
      <c r="AW145" s="777"/>
      <c r="AX145" s="777"/>
      <c r="AY145" s="777"/>
      <c r="AZ145" s="777"/>
      <c r="BA145" s="777"/>
      <c r="BB145" s="777"/>
      <c r="BC145" s="777"/>
      <c r="BD145" s="540"/>
      <c r="BE145" s="540"/>
      <c r="BF145" s="540"/>
      <c r="BG145" s="540"/>
      <c r="BH145" s="540"/>
      <c r="BI145" s="540"/>
      <c r="BJ145" s="540"/>
      <c r="BK145" s="540"/>
      <c r="BL145" s="540"/>
      <c r="BM145" s="540"/>
      <c r="BN145" s="774"/>
      <c r="BO145" s="778" t="str">
        <f ca="1">IF(IFERROR(INDEX('Корректировка НВВ'!$K$26:$L$129,MATCH($F145&amp;"8komm",'Корректировка НВВ'!$K$26:$K$129,0),2),"")=0,"",IFERROR(INDEX('Корректировка НВВ'!$K$26:$L$129,MATCH($F145&amp;"8komm",'Корректировка НВВ'!$K$26:$K$129,0),2),""))</f>
        <v/>
      </c>
      <c r="BP145" s="774"/>
      <c r="BS145" s="694" t="s">
        <v>1593</v>
      </c>
    </row>
    <row r="146" spans="2:75" ht="14.65" hidden="1" customHeight="1">
      <c r="D146" s="25" t="str" cm="1">
        <f t="array" ref="D146">D145</f>
        <v>7</v>
      </c>
      <c r="E146" s="505">
        <v>15</v>
      </c>
      <c r="F146" s="3" cm="1">
        <f t="array" aca="1" ref="F146" ca="1">OFFSET(E146,-1,1)</f>
        <v>0</v>
      </c>
      <c r="G146" s="72" t="s">
        <v>308</v>
      </c>
      <c r="I146" s="72" t="s">
        <v>1868</v>
      </c>
      <c r="K146" s="72" t="s">
        <v>1868</v>
      </c>
      <c r="L146" s="25" t="s">
        <v>1867</v>
      </c>
      <c r="M146" s="25"/>
      <c r="T146" s="351" t="b" cm="1">
        <f t="array" aca="1" ref="T146" ca="1">T145</f>
        <v>0</v>
      </c>
      <c r="X146" s="1024"/>
      <c r="Z146" s="1008"/>
      <c r="AB146" s="7" t="str">
        <f>IF(B141,D142&amp;".8",D142&amp;".6")</f>
        <v>7.6</v>
      </c>
      <c r="AC146" s="548" t="s">
        <v>1594</v>
      </c>
      <c r="AD146" s="7" t="s">
        <v>859</v>
      </c>
      <c r="AE146" s="777"/>
      <c r="AF146" s="777"/>
      <c r="AG146" s="777"/>
      <c r="AH146" s="170">
        <f t="shared" si="25"/>
        <v>0</v>
      </c>
      <c r="AI146" s="777"/>
      <c r="AJ146" s="128">
        <f ca="1">SUMIFS('Корректировка НВВ'!$AF$25:$AF$129,'Корректировка НВВ'!$F$25:$F$129,$F146,'Корректировка НВВ'!$I$25:$I$129,$G146)</f>
        <v>0</v>
      </c>
      <c r="AK146" s="128"/>
      <c r="AL146" s="128"/>
      <c r="AM146" s="777"/>
      <c r="AN146" s="777"/>
      <c r="AO146" s="777"/>
      <c r="AP146" s="777"/>
      <c r="AQ146" s="777"/>
      <c r="AR146" s="777"/>
      <c r="AS146" s="777"/>
      <c r="AT146" s="128">
        <f ca="1">SUMIFS('Корректировка НВВ'!$AG$25:$AG$129,'Корректировка НВВ'!$F$25:$F$129,$F146,'Корректировка НВВ'!$I$25:$I$129,$G146)</f>
        <v>0</v>
      </c>
      <c r="AU146" s="128"/>
      <c r="AV146" s="128"/>
      <c r="AW146" s="777"/>
      <c r="AX146" s="777"/>
      <c r="AY146" s="777"/>
      <c r="AZ146" s="777"/>
      <c r="BA146" s="777"/>
      <c r="BB146" s="777"/>
      <c r="BC146" s="777"/>
      <c r="BD146" s="540"/>
      <c r="BE146" s="540"/>
      <c r="BF146" s="540"/>
      <c r="BG146" s="540"/>
      <c r="BH146" s="540"/>
      <c r="BI146" s="540"/>
      <c r="BJ146" s="540"/>
      <c r="BK146" s="540"/>
      <c r="BL146" s="540"/>
      <c r="BM146" s="540"/>
      <c r="BN146" s="774"/>
      <c r="BO146" s="778" t="str">
        <f ca="1">IF(IFERROR(INDEX('Корректировка НВВ'!$K$26:$L$129,MATCH($F146&amp;"9komm",'Корректировка НВВ'!$K$26:$K$129,0),2),"")=0,"",IFERROR(INDEX('Корректировка НВВ'!$K$26:$L$129,MATCH($F146&amp;"9komm",'Корректировка НВВ'!$K$26:$K$129,0),2),""))</f>
        <v/>
      </c>
      <c r="BP146" s="774"/>
      <c r="BS146" s="694" t="s">
        <v>2198</v>
      </c>
    </row>
    <row r="147" spans="2:75" ht="14.65" hidden="1" customHeight="1">
      <c r="D147" s="25" t="str" cm="1">
        <f t="array" ref="D147">D146</f>
        <v>7</v>
      </c>
      <c r="E147" s="505">
        <v>15</v>
      </c>
      <c r="F147" s="3" cm="1">
        <f t="array" aca="1" ref="F147" ca="1">OFFSET(E147,-1,1)</f>
        <v>0</v>
      </c>
      <c r="G147" s="72" t="s">
        <v>2199</v>
      </c>
      <c r="I147" s="72" t="s">
        <v>1869</v>
      </c>
      <c r="K147" s="72" t="s">
        <v>1869</v>
      </c>
      <c r="L147" s="25" t="s">
        <v>1868</v>
      </c>
      <c r="M147" s="25"/>
      <c r="T147" s="351" t="b" cm="1">
        <f t="array" aca="1" ref="T147" ca="1">T146</f>
        <v>0</v>
      </c>
      <c r="X147" s="1024"/>
      <c r="Z147" s="1008"/>
      <c r="AB147" s="7" t="str">
        <f>IF(B141,D142&amp;".9",D142&amp;".7")</f>
        <v>7.7</v>
      </c>
      <c r="AC147" s="548" t="s">
        <v>1596</v>
      </c>
      <c r="AD147" s="7" t="s">
        <v>859</v>
      </c>
      <c r="AE147" s="777"/>
      <c r="AF147" s="777"/>
      <c r="AG147" s="777"/>
      <c r="AH147" s="170">
        <f t="shared" si="25"/>
        <v>0</v>
      </c>
      <c r="AI147" s="777"/>
      <c r="AJ147" s="128">
        <f ca="1">SUMIFS('Корректировка НВВ'!$AF$25:$AF$129,'Корректировка НВВ'!$F$25:$F$129,$F147,'Корректировка НВВ'!$I$25:$I$129,$G147)</f>
        <v>0</v>
      </c>
      <c r="AK147" s="128"/>
      <c r="AL147" s="128"/>
      <c r="AM147" s="777"/>
      <c r="AN147" s="777"/>
      <c r="AO147" s="777"/>
      <c r="AP147" s="777"/>
      <c r="AQ147" s="777"/>
      <c r="AR147" s="777"/>
      <c r="AS147" s="777"/>
      <c r="AT147" s="128">
        <f ca="1">SUMIFS('Корректировка НВВ'!$AG$25:$AG$129,'Корректировка НВВ'!$F$25:$F$129,$F147,'Корректировка НВВ'!$I$25:$I$129,$G147)</f>
        <v>0</v>
      </c>
      <c r="AU147" s="128"/>
      <c r="AV147" s="128"/>
      <c r="AW147" s="777"/>
      <c r="AX147" s="777"/>
      <c r="AY147" s="777"/>
      <c r="AZ147" s="777"/>
      <c r="BA147" s="777"/>
      <c r="BB147" s="777"/>
      <c r="BC147" s="777"/>
      <c r="BD147" s="540"/>
      <c r="BE147" s="540"/>
      <c r="BF147" s="540"/>
      <c r="BG147" s="540"/>
      <c r="BH147" s="540"/>
      <c r="BI147" s="540"/>
      <c r="BJ147" s="540"/>
      <c r="BK147" s="540"/>
      <c r="BL147" s="540"/>
      <c r="BM147" s="540"/>
      <c r="BN147" s="774"/>
      <c r="BO147" s="778" t="str">
        <f ca="1">IF(IFERROR(INDEX('Корректировка НВВ'!$K$26:$L$129,MATCH($F147&amp;"10komm",'Корректировка НВВ'!$K$26:$K$129,0),2),"")=0,"",IFERROR(INDEX('Корректировка НВВ'!$K$26:$L$129,MATCH($F147&amp;"10komm",'Корректировка НВВ'!$K$26:$K$129,0),2),""))</f>
        <v/>
      </c>
      <c r="BP147" s="774"/>
      <c r="BS147" s="694" t="s">
        <v>1597</v>
      </c>
    </row>
    <row r="148" spans="2:75" s="76" customFormat="1" ht="20.45" hidden="1" customHeight="1">
      <c r="B148" s="331"/>
      <c r="D148" s="27">
        <f>D147+1</f>
        <v>8</v>
      </c>
      <c r="E148" s="509">
        <v>21</v>
      </c>
      <c r="F148" s="3" cm="1">
        <f t="array" aca="1" ref="F148" ca="1">OFFSET(E148,-1,1)</f>
        <v>0</v>
      </c>
      <c r="I148" s="76" t="s">
        <v>635</v>
      </c>
      <c r="K148" s="76" t="s">
        <v>635</v>
      </c>
      <c r="L148" s="27"/>
      <c r="M148" s="27"/>
      <c r="T148" s="351" t="b" cm="1">
        <f t="array" aca="1" ref="T148" ca="1">T147</f>
        <v>0</v>
      </c>
      <c r="X148" s="1024"/>
      <c r="Z148" s="1008"/>
      <c r="AB148" s="124" cm="1">
        <f t="array" ref="AB148">D148</f>
        <v>8</v>
      </c>
      <c r="AC148" s="125" t="s">
        <v>2200</v>
      </c>
      <c r="AD148" s="124" t="s">
        <v>859</v>
      </c>
      <c r="AE148" s="773"/>
      <c r="AF148" s="773"/>
      <c r="AG148" s="773"/>
      <c r="AH148" s="126">
        <f t="shared" si="25"/>
        <v>0</v>
      </c>
      <c r="AI148" s="773"/>
      <c r="AJ148" s="138"/>
      <c r="AK148" s="138"/>
      <c r="AL148" s="138"/>
      <c r="AM148" s="773"/>
      <c r="AN148" s="773"/>
      <c r="AO148" s="773"/>
      <c r="AP148" s="773"/>
      <c r="AQ148" s="773"/>
      <c r="AR148" s="773"/>
      <c r="AS148" s="773"/>
      <c r="AT148" s="138"/>
      <c r="AU148" s="138"/>
      <c r="AV148" s="138"/>
      <c r="AW148" s="773"/>
      <c r="AX148" s="773"/>
      <c r="AY148" s="773"/>
      <c r="AZ148" s="773"/>
      <c r="BA148" s="773"/>
      <c r="BB148" s="773"/>
      <c r="BC148" s="773"/>
      <c r="BD148" s="129"/>
      <c r="BE148" s="129"/>
      <c r="BF148" s="129"/>
      <c r="BG148" s="129"/>
      <c r="BH148" s="129"/>
      <c r="BI148" s="129"/>
      <c r="BJ148" s="129"/>
      <c r="BK148" s="129"/>
      <c r="BL148" s="129"/>
      <c r="BM148" s="129"/>
      <c r="BN148" s="776"/>
      <c r="BO148" s="776"/>
      <c r="BP148" s="776"/>
      <c r="BS148" s="700" t="s">
        <v>2201</v>
      </c>
      <c r="BT148" s="700"/>
      <c r="BU148" s="700"/>
      <c r="BV148" s="509"/>
      <c r="BW148" s="509"/>
    </row>
    <row r="149" spans="2:75" ht="14.65" hidden="1" customHeight="1">
      <c r="D149" s="27" cm="1">
        <f t="array" ref="D149">D148</f>
        <v>8</v>
      </c>
      <c r="E149" s="505">
        <v>15</v>
      </c>
      <c r="F149" s="3" cm="1">
        <f t="array" aca="1" ref="F149" ca="1">OFFSET(E149,-1,1)</f>
        <v>0</v>
      </c>
      <c r="I149" s="72" t="s">
        <v>638</v>
      </c>
      <c r="K149" s="72" t="s">
        <v>638</v>
      </c>
      <c r="L149" s="25"/>
      <c r="M149" s="25"/>
      <c r="T149" s="351" t="b" cm="1">
        <f t="array" aca="1" ref="T149" ca="1">T148</f>
        <v>0</v>
      </c>
      <c r="X149" s="1024"/>
      <c r="Z149" s="1008"/>
      <c r="AB149" s="7" t="str">
        <f>D149&amp;".1"</f>
        <v>8.1</v>
      </c>
      <c r="AC149" s="127" t="s">
        <v>2202</v>
      </c>
      <c r="AD149" s="7" t="s">
        <v>501</v>
      </c>
      <c r="AE149" s="170">
        <f ca="1">IF(AE150=0,0,AE148/(AE150+AE135)*100)</f>
        <v>0</v>
      </c>
      <c r="AF149" s="170">
        <f ca="1">IF(AF150=0,0,AF148/(AF150+AF135)*100)</f>
        <v>0</v>
      </c>
      <c r="AG149" s="170">
        <f ca="1">IF(AG150=0,0,AG148/(AG150+AG135)*100)</f>
        <v>0</v>
      </c>
      <c r="AH149" s="170">
        <f t="shared" ca="1" si="25"/>
        <v>0</v>
      </c>
      <c r="AI149" s="170">
        <f t="shared" ref="AI149:BC149" ca="1" si="29">IF(AI150=0,0,AI148/(AI150+AI135)*100)</f>
        <v>0</v>
      </c>
      <c r="AJ149" s="170">
        <f t="shared" ca="1" si="29"/>
        <v>0</v>
      </c>
      <c r="AK149" s="170">
        <f t="shared" ca="1" si="29"/>
        <v>0</v>
      </c>
      <c r="AL149" s="170">
        <f t="shared" ca="1" si="29"/>
        <v>0</v>
      </c>
      <c r="AM149" s="170">
        <f t="shared" ca="1" si="29"/>
        <v>0</v>
      </c>
      <c r="AN149" s="170">
        <f t="shared" ca="1" si="29"/>
        <v>0</v>
      </c>
      <c r="AO149" s="170">
        <f t="shared" ca="1" si="29"/>
        <v>0</v>
      </c>
      <c r="AP149" s="170">
        <f t="shared" ca="1" si="29"/>
        <v>0</v>
      </c>
      <c r="AQ149" s="170">
        <f t="shared" ca="1" si="29"/>
        <v>0</v>
      </c>
      <c r="AR149" s="170">
        <f t="shared" ca="1" si="29"/>
        <v>0</v>
      </c>
      <c r="AS149" s="170">
        <f t="shared" ca="1" si="29"/>
        <v>0</v>
      </c>
      <c r="AT149" s="170">
        <f t="shared" ca="1" si="29"/>
        <v>0</v>
      </c>
      <c r="AU149" s="170">
        <f t="shared" ca="1" si="29"/>
        <v>0</v>
      </c>
      <c r="AV149" s="170">
        <f t="shared" ca="1" si="29"/>
        <v>0</v>
      </c>
      <c r="AW149" s="170">
        <f t="shared" ca="1" si="29"/>
        <v>0</v>
      </c>
      <c r="AX149" s="170">
        <f t="shared" ca="1" si="29"/>
        <v>0</v>
      </c>
      <c r="AY149" s="170">
        <f t="shared" ca="1" si="29"/>
        <v>0</v>
      </c>
      <c r="AZ149" s="170">
        <f t="shared" ca="1" si="29"/>
        <v>0</v>
      </c>
      <c r="BA149" s="170">
        <f t="shared" ca="1" si="29"/>
        <v>0</v>
      </c>
      <c r="BB149" s="170">
        <f t="shared" ca="1" si="29"/>
        <v>0</v>
      </c>
      <c r="BC149" s="170">
        <f t="shared" ca="1" si="29"/>
        <v>0</v>
      </c>
      <c r="BD149" s="540"/>
      <c r="BE149" s="540"/>
      <c r="BF149" s="540"/>
      <c r="BG149" s="540"/>
      <c r="BH149" s="540"/>
      <c r="BI149" s="540"/>
      <c r="BJ149" s="540"/>
      <c r="BK149" s="540"/>
      <c r="BL149" s="540"/>
      <c r="BM149" s="540"/>
      <c r="BN149" s="774"/>
      <c r="BO149" s="774"/>
      <c r="BP149" s="774"/>
      <c r="BS149" s="694" t="s">
        <v>2203</v>
      </c>
    </row>
    <row r="150" spans="2:75" s="76" customFormat="1" ht="20.45" hidden="1" customHeight="1">
      <c r="B150" s="331"/>
      <c r="D150" s="27">
        <f>D149+1</f>
        <v>9</v>
      </c>
      <c r="E150" s="509">
        <v>21</v>
      </c>
      <c r="F150" s="3" cm="1">
        <f t="array" aca="1" ref="F150" ca="1">OFFSET(E150,-1,1)</f>
        <v>0</v>
      </c>
      <c r="H150" s="72"/>
      <c r="I150" s="72" t="s">
        <v>792</v>
      </c>
      <c r="K150" s="72" t="s">
        <v>792</v>
      </c>
      <c r="L150" s="27" t="s">
        <v>1869</v>
      </c>
      <c r="M150" s="27"/>
      <c r="T150" s="351" t="b" cm="1">
        <f t="array" aca="1" ref="T150" ca="1">T149</f>
        <v>0</v>
      </c>
      <c r="X150" s="1024"/>
      <c r="Z150" s="1008"/>
      <c r="AB150" s="124" cm="1">
        <f t="array" ref="AB150">D150</f>
        <v>9</v>
      </c>
      <c r="AC150" s="125" t="s">
        <v>1870</v>
      </c>
      <c r="AD150" s="147" t="s">
        <v>859</v>
      </c>
      <c r="AE150" s="126">
        <f ca="1">AE28+AE78+AE114+AE115+AE117+AE122+AE123+AE126</f>
        <v>0</v>
      </c>
      <c r="AF150" s="126">
        <f ca="1">AF28+AF78+AF114+AF115+AF117+AF122+AF123+AF126</f>
        <v>0</v>
      </c>
      <c r="AG150" s="126">
        <f ca="1">AG28+AG78+AG114+AG115+AG117+AG122+AG123+AG126</f>
        <v>0</v>
      </c>
      <c r="AH150" s="126">
        <f t="shared" ca="1" si="25"/>
        <v>0</v>
      </c>
      <c r="AI150" s="126">
        <f t="shared" ref="AI150:BC150" ca="1" si="30">AI28+AI78+AI114+AI115+AI117+AI122+AI123+AI126</f>
        <v>0</v>
      </c>
      <c r="AJ150" s="126">
        <f t="shared" ca="1" si="30"/>
        <v>0</v>
      </c>
      <c r="AK150" s="126">
        <f t="shared" ca="1" si="30"/>
        <v>0</v>
      </c>
      <c r="AL150" s="126">
        <f t="shared" ca="1" si="30"/>
        <v>0</v>
      </c>
      <c r="AM150" s="126">
        <f t="shared" ca="1" si="30"/>
        <v>0</v>
      </c>
      <c r="AN150" s="126">
        <f t="shared" ca="1" si="30"/>
        <v>0</v>
      </c>
      <c r="AO150" s="126">
        <f t="shared" ca="1" si="30"/>
        <v>0</v>
      </c>
      <c r="AP150" s="126">
        <f t="shared" ca="1" si="30"/>
        <v>0</v>
      </c>
      <c r="AQ150" s="126">
        <f t="shared" ca="1" si="30"/>
        <v>0</v>
      </c>
      <c r="AR150" s="126">
        <f t="shared" ca="1" si="30"/>
        <v>0</v>
      </c>
      <c r="AS150" s="126">
        <f t="shared" ca="1" si="30"/>
        <v>0</v>
      </c>
      <c r="AT150" s="126">
        <f t="shared" ca="1" si="30"/>
        <v>0</v>
      </c>
      <c r="AU150" s="126">
        <f t="shared" ca="1" si="30"/>
        <v>0</v>
      </c>
      <c r="AV150" s="126">
        <f t="shared" ca="1" si="30"/>
        <v>0</v>
      </c>
      <c r="AW150" s="126">
        <f t="shared" ca="1" si="30"/>
        <v>0</v>
      </c>
      <c r="AX150" s="126">
        <f t="shared" ca="1" si="30"/>
        <v>0</v>
      </c>
      <c r="AY150" s="126">
        <f t="shared" ca="1" si="30"/>
        <v>0</v>
      </c>
      <c r="AZ150" s="126">
        <f t="shared" ca="1" si="30"/>
        <v>0</v>
      </c>
      <c r="BA150" s="126">
        <f t="shared" ca="1" si="30"/>
        <v>0</v>
      </c>
      <c r="BB150" s="126">
        <f t="shared" ca="1" si="30"/>
        <v>0</v>
      </c>
      <c r="BC150" s="126">
        <f t="shared" ca="1" si="30"/>
        <v>0</v>
      </c>
      <c r="BD150" s="126">
        <f ca="1">IF(AI150=0,0,(AT150-AI150)/AI150*100)</f>
        <v>0</v>
      </c>
      <c r="BE150" s="126">
        <f t="shared" ref="BE150:BM151" ca="1" si="31">IF(AT150=0,0,(AU150-AT150)/AT150*100)</f>
        <v>0</v>
      </c>
      <c r="BF150" s="126">
        <f t="shared" ca="1" si="31"/>
        <v>0</v>
      </c>
      <c r="BG150" s="126">
        <f t="shared" ca="1" si="31"/>
        <v>0</v>
      </c>
      <c r="BH150" s="126">
        <f t="shared" ca="1" si="31"/>
        <v>0</v>
      </c>
      <c r="BI150" s="126">
        <f t="shared" ca="1" si="31"/>
        <v>0</v>
      </c>
      <c r="BJ150" s="126">
        <f t="shared" ca="1" si="31"/>
        <v>0</v>
      </c>
      <c r="BK150" s="126">
        <f t="shared" ca="1" si="31"/>
        <v>0</v>
      </c>
      <c r="BL150" s="126">
        <f t="shared" ca="1" si="31"/>
        <v>0</v>
      </c>
      <c r="BM150" s="126">
        <f t="shared" ca="1" si="31"/>
        <v>0</v>
      </c>
      <c r="BN150" s="774"/>
      <c r="BO150" s="774"/>
      <c r="BP150" s="774"/>
      <c r="BS150" s="700" t="s">
        <v>1871</v>
      </c>
      <c r="BT150" s="700"/>
      <c r="BU150" s="700"/>
      <c r="BV150" s="509"/>
      <c r="BW150" s="509"/>
    </row>
    <row r="151" spans="2:75" s="76" customFormat="1" ht="20.45" hidden="1" customHeight="1">
      <c r="B151" s="331"/>
      <c r="D151" s="27">
        <f>D150+1</f>
        <v>10</v>
      </c>
      <c r="E151" s="509">
        <v>21</v>
      </c>
      <c r="F151" s="3" cm="1">
        <f t="array" aca="1" ref="F151" ca="1">OFFSET(E151,-1,1)</f>
        <v>0</v>
      </c>
      <c r="H151" s="72"/>
      <c r="I151" s="72" t="s">
        <v>1880</v>
      </c>
      <c r="K151" s="72" t="s">
        <v>1880</v>
      </c>
      <c r="L151" s="27"/>
      <c r="M151" s="27"/>
      <c r="T151" s="351" t="b" cm="1">
        <f t="array" aca="1" ref="T151" ca="1">T150</f>
        <v>0</v>
      </c>
      <c r="X151" s="1024"/>
      <c r="Z151" s="1008"/>
      <c r="AB151" s="124" cm="1">
        <f t="array" ref="AB151">D151</f>
        <v>10</v>
      </c>
      <c r="AC151" s="125" t="s">
        <v>2204</v>
      </c>
      <c r="AD151" s="124" t="s">
        <v>859</v>
      </c>
      <c r="AE151" s="126">
        <f t="shared" ref="AE151:BC151" ca="1" si="32">AE150+AE135+AE148</f>
        <v>0</v>
      </c>
      <c r="AF151" s="126">
        <f t="shared" ca="1" si="32"/>
        <v>0</v>
      </c>
      <c r="AG151" s="126">
        <f t="shared" ca="1" si="32"/>
        <v>0</v>
      </c>
      <c r="AH151" s="126">
        <f t="shared" ca="1" si="32"/>
        <v>0</v>
      </c>
      <c r="AI151" s="126">
        <f t="shared" ca="1" si="32"/>
        <v>0</v>
      </c>
      <c r="AJ151" s="126">
        <f t="shared" ca="1" si="32"/>
        <v>0</v>
      </c>
      <c r="AK151" s="126">
        <f t="shared" ca="1" si="32"/>
        <v>0</v>
      </c>
      <c r="AL151" s="126">
        <f t="shared" ca="1" si="32"/>
        <v>0</v>
      </c>
      <c r="AM151" s="126">
        <f t="shared" ca="1" si="32"/>
        <v>0</v>
      </c>
      <c r="AN151" s="126">
        <f t="shared" ca="1" si="32"/>
        <v>0</v>
      </c>
      <c r="AO151" s="126">
        <f t="shared" ca="1" si="32"/>
        <v>0</v>
      </c>
      <c r="AP151" s="126">
        <f t="shared" ca="1" si="32"/>
        <v>0</v>
      </c>
      <c r="AQ151" s="126">
        <f t="shared" ca="1" si="32"/>
        <v>0</v>
      </c>
      <c r="AR151" s="126">
        <f t="shared" ca="1" si="32"/>
        <v>0</v>
      </c>
      <c r="AS151" s="126">
        <f t="shared" ca="1" si="32"/>
        <v>0</v>
      </c>
      <c r="AT151" s="126">
        <f t="shared" ca="1" si="32"/>
        <v>0</v>
      </c>
      <c r="AU151" s="126">
        <f t="shared" ca="1" si="32"/>
        <v>0</v>
      </c>
      <c r="AV151" s="126">
        <f t="shared" ca="1" si="32"/>
        <v>0</v>
      </c>
      <c r="AW151" s="126">
        <f t="shared" ca="1" si="32"/>
        <v>0</v>
      </c>
      <c r="AX151" s="126">
        <f t="shared" ca="1" si="32"/>
        <v>0</v>
      </c>
      <c r="AY151" s="126">
        <f t="shared" ca="1" si="32"/>
        <v>0</v>
      </c>
      <c r="AZ151" s="126">
        <f t="shared" ca="1" si="32"/>
        <v>0</v>
      </c>
      <c r="BA151" s="126">
        <f t="shared" ca="1" si="32"/>
        <v>0</v>
      </c>
      <c r="BB151" s="126">
        <f t="shared" ca="1" si="32"/>
        <v>0</v>
      </c>
      <c r="BC151" s="126">
        <f t="shared" ca="1" si="32"/>
        <v>0</v>
      </c>
      <c r="BD151" s="126">
        <f ca="1">IF(AI151=0,0,(AT151-AI151)/AI151*100)</f>
        <v>0</v>
      </c>
      <c r="BE151" s="126">
        <f t="shared" ca="1" si="31"/>
        <v>0</v>
      </c>
      <c r="BF151" s="126">
        <f t="shared" ca="1" si="31"/>
        <v>0</v>
      </c>
      <c r="BG151" s="126">
        <f t="shared" ca="1" si="31"/>
        <v>0</v>
      </c>
      <c r="BH151" s="126">
        <f t="shared" ca="1" si="31"/>
        <v>0</v>
      </c>
      <c r="BI151" s="126">
        <f t="shared" ca="1" si="31"/>
        <v>0</v>
      </c>
      <c r="BJ151" s="126">
        <f t="shared" ca="1" si="31"/>
        <v>0</v>
      </c>
      <c r="BK151" s="126">
        <f t="shared" ca="1" si="31"/>
        <v>0</v>
      </c>
      <c r="BL151" s="126">
        <f t="shared" ca="1" si="31"/>
        <v>0</v>
      </c>
      <c r="BM151" s="126">
        <f t="shared" ca="1" si="31"/>
        <v>0</v>
      </c>
      <c r="BN151" s="774"/>
      <c r="BO151" s="774"/>
      <c r="BP151" s="774"/>
      <c r="BS151" s="700" t="s">
        <v>2205</v>
      </c>
      <c r="BT151" s="700"/>
      <c r="BU151" s="700"/>
      <c r="BV151" s="509"/>
      <c r="BW151" s="509"/>
    </row>
    <row r="152" spans="2:75" ht="14.65" hidden="1" customHeight="1">
      <c r="B152" s="340" t="b">
        <f>A27="двухставочный"</f>
        <v>0</v>
      </c>
      <c r="D152" s="25" cm="1">
        <f t="array" ref="D152">D151</f>
        <v>10</v>
      </c>
      <c r="E152" s="505">
        <v>15</v>
      </c>
      <c r="F152" s="3" cm="1">
        <f t="array" aca="1" ref="F152" ca="1">OFFSET(E152,-1,1)</f>
        <v>0</v>
      </c>
      <c r="H152" s="2"/>
      <c r="I152" s="277" t="s">
        <v>1883</v>
      </c>
      <c r="K152" s="277" t="s">
        <v>1883</v>
      </c>
      <c r="L152" s="25" t="s">
        <v>1872</v>
      </c>
      <c r="M152" s="25"/>
      <c r="T152" s="351" t="b" cm="1">
        <f t="array" aca="1" ref="T152" ca="1">T151</f>
        <v>0</v>
      </c>
      <c r="X152" s="1024"/>
      <c r="Z152" s="1008"/>
      <c r="AB152" s="7" t="str">
        <f>D152&amp;".1"</f>
        <v>10.1</v>
      </c>
      <c r="AC152" s="548" t="s">
        <v>1874</v>
      </c>
      <c r="AD152" s="7" t="s">
        <v>859</v>
      </c>
      <c r="AE152" s="777"/>
      <c r="AF152" s="777"/>
      <c r="AG152" s="777"/>
      <c r="AH152" s="170">
        <f t="shared" ref="AH152:AH158" si="33">AG152-AF152</f>
        <v>0</v>
      </c>
      <c r="AI152" s="777"/>
      <c r="AJ152" s="128"/>
      <c r="AK152" s="128"/>
      <c r="AL152" s="128"/>
      <c r="AM152" s="777"/>
      <c r="AN152" s="777"/>
      <c r="AO152" s="777"/>
      <c r="AP152" s="777"/>
      <c r="AQ152" s="777"/>
      <c r="AR152" s="777"/>
      <c r="AS152" s="777"/>
      <c r="AT152" s="128"/>
      <c r="AU152" s="128"/>
      <c r="AV152" s="128"/>
      <c r="AW152" s="777"/>
      <c r="AX152" s="777"/>
      <c r="AY152" s="777"/>
      <c r="AZ152" s="777"/>
      <c r="BA152" s="777"/>
      <c r="BB152" s="777"/>
      <c r="BC152" s="777"/>
      <c r="BD152" s="540"/>
      <c r="BE152" s="540"/>
      <c r="BF152" s="540"/>
      <c r="BG152" s="540"/>
      <c r="BH152" s="540"/>
      <c r="BI152" s="540"/>
      <c r="BJ152" s="540"/>
      <c r="BK152" s="540"/>
      <c r="BL152" s="540"/>
      <c r="BM152" s="540"/>
      <c r="BN152" s="774"/>
      <c r="BO152" s="774"/>
      <c r="BP152" s="774"/>
      <c r="BS152" s="692" t="s">
        <v>1875</v>
      </c>
    </row>
    <row r="153" spans="2:75" ht="14.65" hidden="1" customHeight="1">
      <c r="B153" s="340" t="b">
        <f>A27="двухставочный"</f>
        <v>0</v>
      </c>
      <c r="D153" s="25" cm="1">
        <f t="array" ref="D153">D152</f>
        <v>10</v>
      </c>
      <c r="E153" s="505">
        <v>15</v>
      </c>
      <c r="F153" s="3" cm="1">
        <f t="array" aca="1" ref="F153" ca="1">OFFSET(E153,-1,1)</f>
        <v>0</v>
      </c>
      <c r="H153" s="2"/>
      <c r="I153" s="277" t="s">
        <v>1887</v>
      </c>
      <c r="K153" s="277" t="s">
        <v>1887</v>
      </c>
      <c r="L153" s="25" t="s">
        <v>1876</v>
      </c>
      <c r="M153" s="25"/>
      <c r="T153" s="351" t="b" cm="1">
        <f t="array" aca="1" ref="T153" ca="1">T152</f>
        <v>0</v>
      </c>
      <c r="X153" s="1024"/>
      <c r="Z153" s="1008"/>
      <c r="AB153" s="7" t="str">
        <f>D153&amp;".2"</f>
        <v>10.2</v>
      </c>
      <c r="AC153" s="548" t="s">
        <v>1878</v>
      </c>
      <c r="AD153" s="7" t="s">
        <v>859</v>
      </c>
      <c r="AE153" s="777"/>
      <c r="AF153" s="777"/>
      <c r="AG153" s="777"/>
      <c r="AH153" s="170">
        <f t="shared" si="33"/>
        <v>0</v>
      </c>
      <c r="AI153" s="777"/>
      <c r="AJ153" s="128"/>
      <c r="AK153" s="128"/>
      <c r="AL153" s="128"/>
      <c r="AM153" s="777"/>
      <c r="AN153" s="777"/>
      <c r="AO153" s="777"/>
      <c r="AP153" s="777"/>
      <c r="AQ153" s="777"/>
      <c r="AR153" s="777"/>
      <c r="AS153" s="777"/>
      <c r="AT153" s="128"/>
      <c r="AU153" s="128"/>
      <c r="AV153" s="128"/>
      <c r="AW153" s="777"/>
      <c r="AX153" s="777"/>
      <c r="AY153" s="777"/>
      <c r="AZ153" s="777"/>
      <c r="BA153" s="777"/>
      <c r="BB153" s="777"/>
      <c r="BC153" s="777"/>
      <c r="BD153" s="540"/>
      <c r="BE153" s="540"/>
      <c r="BF153" s="540"/>
      <c r="BG153" s="540"/>
      <c r="BH153" s="540"/>
      <c r="BI153" s="540"/>
      <c r="BJ153" s="540"/>
      <c r="BK153" s="540"/>
      <c r="BL153" s="540"/>
      <c r="BM153" s="540"/>
      <c r="BN153" s="774"/>
      <c r="BO153" s="774"/>
      <c r="BP153" s="774"/>
      <c r="BS153" s="692" t="s">
        <v>1879</v>
      </c>
    </row>
    <row r="154" spans="2:75" s="76" customFormat="1" ht="20.45" hidden="1" customHeight="1">
      <c r="B154" s="331"/>
      <c r="D154" s="27">
        <f>D153+1</f>
        <v>11</v>
      </c>
      <c r="E154" s="509">
        <v>21</v>
      </c>
      <c r="F154" s="3" cm="1">
        <f t="array" aca="1" ref="F154" ca="1">OFFSET(E154,-1,1)</f>
        <v>0</v>
      </c>
      <c r="G154" s="72" t="s">
        <v>1656</v>
      </c>
      <c r="H154" s="72"/>
      <c r="I154" s="72" t="s">
        <v>1907</v>
      </c>
      <c r="K154" s="72" t="s">
        <v>1907</v>
      </c>
      <c r="L154" s="27" t="s">
        <v>1880</v>
      </c>
      <c r="M154" s="27"/>
      <c r="T154" s="351" t="b" cm="1">
        <f t="array" aca="1" ref="T154" ca="1">T153</f>
        <v>0</v>
      </c>
      <c r="X154" s="1024"/>
      <c r="Z154" s="1008"/>
      <c r="AB154" s="124" cm="1">
        <f t="array" ref="AB154">D154</f>
        <v>11</v>
      </c>
      <c r="AC154" s="125" t="s">
        <v>1881</v>
      </c>
      <c r="AD154" s="124" t="s">
        <v>585</v>
      </c>
      <c r="AE154" s="550">
        <f ca="1">SUMIFS(Баланс!AE$26:AE$209,Баланс!$F$26:$F$209,$F154,Баланс!$G$26:$G$209,"ПО")</f>
        <v>0</v>
      </c>
      <c r="AF154" s="550">
        <f ca="1">SUMIFS(Баланс!AF$26:AF$209,Баланс!$F$26:$F$209,$F154,Баланс!$G$26:$G$209,"ПО")</f>
        <v>0</v>
      </c>
      <c r="AG154" s="550">
        <f ca="1">SUMIFS(Баланс!AG$26:AG$209,Баланс!$F$26:$F$209,$F154,Баланс!$G$26:$G$209,"ПО")</f>
        <v>0</v>
      </c>
      <c r="AH154" s="550">
        <f t="shared" ca="1" si="33"/>
        <v>0</v>
      </c>
      <c r="AI154" s="550">
        <f ca="1">SUMIFS(Баланс!AH$26:AH$209,Баланс!$F$26:$F$209,$F154,Баланс!$G$26:$G$209,"ПО")</f>
        <v>0</v>
      </c>
      <c r="AJ154" s="550">
        <f ca="1">SUMIFS(Баланс!AI$26:AI$209,Баланс!$F$26:$F$209,$F154,Баланс!$G$26:$G$209,"ПО")</f>
        <v>0</v>
      </c>
      <c r="AK154" s="550">
        <f ca="1">SUMIFS(Баланс!AJ$26:AJ$209,Баланс!$F$26:$F$209,$F154,Баланс!$G$26:$G$209,"ПО")</f>
        <v>0</v>
      </c>
      <c r="AL154" s="550">
        <f ca="1">SUMIFS(Баланс!AK$26:AK$209,Баланс!$F$26:$F$209,$F154,Баланс!$G$26:$G$209,"ПО")</f>
        <v>0</v>
      </c>
      <c r="AM154" s="550">
        <f ca="1">SUMIFS(Баланс!AL$26:AL$209,Баланс!$F$26:$F$209,$F154,Баланс!$G$26:$G$209,"ПО")</f>
        <v>0</v>
      </c>
      <c r="AN154" s="550">
        <f ca="1">SUMIFS(Баланс!AM$26:AM$209,Баланс!$F$26:$F$209,$F154,Баланс!$G$26:$G$209,"ПО")</f>
        <v>0</v>
      </c>
      <c r="AO154" s="550">
        <f ca="1">SUMIFS(Баланс!AN$26:AN$209,Баланс!$F$26:$F$209,$F154,Баланс!$G$26:$G$209,"ПО")</f>
        <v>0</v>
      </c>
      <c r="AP154" s="550">
        <f ca="1">SUMIFS(Баланс!AO$26:AO$209,Баланс!$F$26:$F$209,$F154,Баланс!$G$26:$G$209,"ПО")</f>
        <v>0</v>
      </c>
      <c r="AQ154" s="550">
        <f ca="1">SUMIFS(Баланс!AP$26:AP$209,Баланс!$F$26:$F$209,$F154,Баланс!$G$26:$G$209,"ПО")</f>
        <v>0</v>
      </c>
      <c r="AR154" s="550">
        <f ca="1">SUMIFS(Баланс!AQ$26:AQ$209,Баланс!$F$26:$F$209,$F154,Баланс!$G$26:$G$209,"ПО")</f>
        <v>0</v>
      </c>
      <c r="AS154" s="550">
        <f ca="1">SUMIFS(Баланс!AR$26:AR$209,Баланс!$F$26:$F$209,$F154,Баланс!$G$26:$G$209,"ПО")</f>
        <v>0</v>
      </c>
      <c r="AT154" s="550">
        <f ca="1">SUMIFS(Баланс!AS$26:AS$209,Баланс!$F$26:$F$209,$F154,Баланс!$G$26:$G$209,"ПО")</f>
        <v>0</v>
      </c>
      <c r="AU154" s="550">
        <f ca="1">SUMIFS(Баланс!AT$26:AT$209,Баланс!$F$26:$F$209,$F154,Баланс!$G$26:$G$209,"ПО")</f>
        <v>0</v>
      </c>
      <c r="AV154" s="550">
        <f ca="1">SUMIFS(Баланс!AU$26:AU$209,Баланс!$F$26:$F$209,$F154,Баланс!$G$26:$G$209,"ПО")</f>
        <v>0</v>
      </c>
      <c r="AW154" s="550">
        <f ca="1">SUMIFS(Баланс!AV$26:AV$209,Баланс!$F$26:$F$209,$F154,Баланс!$G$26:$G$209,"ПО")</f>
        <v>0</v>
      </c>
      <c r="AX154" s="550">
        <f ca="1">SUMIFS(Баланс!AW$26:AW$209,Баланс!$F$26:$F$209,$F154,Баланс!$G$26:$G$209,"ПО")</f>
        <v>0</v>
      </c>
      <c r="AY154" s="550">
        <f ca="1">SUMIFS(Баланс!AX$26:AX$209,Баланс!$F$26:$F$209,$F154,Баланс!$G$26:$G$209,"ПО")</f>
        <v>0</v>
      </c>
      <c r="AZ154" s="550">
        <f ca="1">SUMIFS(Баланс!AY$26:AY$209,Баланс!$F$26:$F$209,$F154,Баланс!$G$26:$G$209,"ПО")</f>
        <v>0</v>
      </c>
      <c r="BA154" s="550">
        <f ca="1">SUMIFS(Баланс!AZ$26:AZ$209,Баланс!$F$26:$F$209,$F154,Баланс!$G$26:$G$209,"ПО")</f>
        <v>0</v>
      </c>
      <c r="BB154" s="550">
        <f ca="1">SUMIFS(Баланс!BA$26:BA$209,Баланс!$F$26:$F$209,$F154,Баланс!$G$26:$G$209,"ПО")</f>
        <v>0</v>
      </c>
      <c r="BC154" s="550">
        <f ca="1">SUMIFS(Баланс!BB$26:BB$209,Баланс!$F$26:$F$209,$F154,Баланс!$G$26:$G$209,"ПО")</f>
        <v>0</v>
      </c>
      <c r="BD154" s="129"/>
      <c r="BE154" s="129"/>
      <c r="BF154" s="129"/>
      <c r="BG154" s="129"/>
      <c r="BH154" s="129"/>
      <c r="BI154" s="129"/>
      <c r="BJ154" s="129"/>
      <c r="BK154" s="129"/>
      <c r="BL154" s="129"/>
      <c r="BM154" s="129"/>
      <c r="BN154" s="774"/>
      <c r="BO154" s="774"/>
      <c r="BP154" s="774"/>
      <c r="BS154" s="693" t="s">
        <v>1882</v>
      </c>
      <c r="BT154" s="700"/>
      <c r="BU154" s="700"/>
      <c r="BV154" s="509"/>
      <c r="BW154" s="509"/>
    </row>
    <row r="155" spans="2:75" ht="14.65" hidden="1" customHeight="1">
      <c r="D155" s="25" cm="1">
        <f t="array" ref="D155">D154</f>
        <v>11</v>
      </c>
      <c r="E155" s="505">
        <v>15</v>
      </c>
      <c r="F155" s="3" cm="1">
        <f t="array" aca="1" ref="F155" ca="1">OFFSET(E155,-1,1)</f>
        <v>0</v>
      </c>
      <c r="G155" s="72" t="s">
        <v>1683</v>
      </c>
      <c r="I155" s="72" t="s">
        <v>2206</v>
      </c>
      <c r="K155" s="72" t="s">
        <v>2206</v>
      </c>
      <c r="L155" s="25" t="s">
        <v>1883</v>
      </c>
      <c r="M155" s="25"/>
      <c r="T155" s="351" t="b" cm="1">
        <f t="array" aca="1" ref="T155" ca="1">T154</f>
        <v>0</v>
      </c>
      <c r="X155" s="1024"/>
      <c r="Z155" s="1008"/>
      <c r="AB155" s="7" t="str">
        <f>D155&amp;".1"</f>
        <v>11.1</v>
      </c>
      <c r="AC155" s="127" t="s">
        <v>1885</v>
      </c>
      <c r="AD155" s="7" t="s">
        <v>585</v>
      </c>
      <c r="AE155" s="775">
        <f ca="1">AE154/2</f>
        <v>0</v>
      </c>
      <c r="AF155" s="775">
        <f ca="1">AF154/2</f>
        <v>0</v>
      </c>
      <c r="AG155" s="775">
        <f ca="1">AG154/2</f>
        <v>0</v>
      </c>
      <c r="AH155" s="556">
        <f t="shared" ca="1" si="33"/>
        <v>0</v>
      </c>
      <c r="AI155" s="775">
        <f ca="1">AI154/2</f>
        <v>0</v>
      </c>
      <c r="AJ155" s="442">
        <f ca="1">IF(god=2026,AJ154/12*9,AJ154/2)</f>
        <v>0</v>
      </c>
      <c r="AK155" s="442">
        <f ca="1">IF(god=2025,AK154/12*9,AK154/2)</f>
        <v>0</v>
      </c>
      <c r="AL155" s="442">
        <f t="shared" ref="AL155:AS155" ca="1" si="34">AL154/2</f>
        <v>0</v>
      </c>
      <c r="AM155" s="775">
        <f t="shared" ca="1" si="34"/>
        <v>0</v>
      </c>
      <c r="AN155" s="775">
        <f t="shared" ca="1" si="34"/>
        <v>0</v>
      </c>
      <c r="AO155" s="775">
        <f t="shared" ca="1" si="34"/>
        <v>0</v>
      </c>
      <c r="AP155" s="775">
        <f t="shared" ca="1" si="34"/>
        <v>0</v>
      </c>
      <c r="AQ155" s="775">
        <f t="shared" ca="1" si="34"/>
        <v>0</v>
      </c>
      <c r="AR155" s="775">
        <f t="shared" ca="1" si="34"/>
        <v>0</v>
      </c>
      <c r="AS155" s="775">
        <f t="shared" ca="1" si="34"/>
        <v>0</v>
      </c>
      <c r="AT155" s="442">
        <f ca="1">IF(god=2026,AT154/12*9,AT154/2)</f>
        <v>0</v>
      </c>
      <c r="AU155" s="442">
        <f ca="1">IF(god=2025,AU154/12*9,AU154/2)</f>
        <v>0</v>
      </c>
      <c r="AV155" s="442">
        <f t="shared" ref="AV155:BC155" ca="1" si="35">AV154/2</f>
        <v>0</v>
      </c>
      <c r="AW155" s="775">
        <f t="shared" ca="1" si="35"/>
        <v>0</v>
      </c>
      <c r="AX155" s="775">
        <f t="shared" ca="1" si="35"/>
        <v>0</v>
      </c>
      <c r="AY155" s="775">
        <f t="shared" ca="1" si="35"/>
        <v>0</v>
      </c>
      <c r="AZ155" s="775">
        <f t="shared" ca="1" si="35"/>
        <v>0</v>
      </c>
      <c r="BA155" s="775">
        <f t="shared" ca="1" si="35"/>
        <v>0</v>
      </c>
      <c r="BB155" s="775">
        <f t="shared" ca="1" si="35"/>
        <v>0</v>
      </c>
      <c r="BC155" s="775">
        <f t="shared" ca="1" si="35"/>
        <v>0</v>
      </c>
      <c r="BD155" s="540"/>
      <c r="BE155" s="540"/>
      <c r="BF155" s="540"/>
      <c r="BG155" s="540"/>
      <c r="BH155" s="540"/>
      <c r="BI155" s="540"/>
      <c r="BJ155" s="540"/>
      <c r="BK155" s="540"/>
      <c r="BL155" s="540"/>
      <c r="BM155" s="540"/>
      <c r="BN155" s="774"/>
      <c r="BO155" s="774"/>
      <c r="BP155" s="774"/>
      <c r="BS155" s="692" t="s">
        <v>1886</v>
      </c>
    </row>
    <row r="156" spans="2:75" ht="14.65" hidden="1" customHeight="1">
      <c r="D156" s="25" cm="1">
        <f t="array" ref="D156">D155</f>
        <v>11</v>
      </c>
      <c r="E156" s="505">
        <v>15</v>
      </c>
      <c r="F156" s="3" cm="1">
        <f t="array" aca="1" ref="F156" ca="1">OFFSET(E156,-1,1)</f>
        <v>0</v>
      </c>
      <c r="G156" s="72" t="s">
        <v>1644</v>
      </c>
      <c r="I156" s="72" t="s">
        <v>2207</v>
      </c>
      <c r="K156" s="72" t="s">
        <v>2207</v>
      </c>
      <c r="L156" s="25" t="s">
        <v>1887</v>
      </c>
      <c r="M156" s="25"/>
      <c r="T156" s="351" t="b" cm="1">
        <f t="array" aca="1" ref="T156" ca="1">T155</f>
        <v>0</v>
      </c>
      <c r="X156" s="1024"/>
      <c r="Z156" s="1008"/>
      <c r="AB156" s="7" t="str">
        <f>D156&amp;".2"</f>
        <v>11.2</v>
      </c>
      <c r="AC156" s="127" t="s">
        <v>1889</v>
      </c>
      <c r="AD156" s="7" t="s">
        <v>1647</v>
      </c>
      <c r="AE156" s="777"/>
      <c r="AF156" s="777"/>
      <c r="AG156" s="777"/>
      <c r="AH156" s="170">
        <f t="shared" si="33"/>
        <v>0</v>
      </c>
      <c r="AI156" s="777"/>
      <c r="AJ156" s="128"/>
      <c r="AK156" s="128"/>
      <c r="AL156" s="128"/>
      <c r="AM156" s="777"/>
      <c r="AN156" s="777"/>
      <c r="AO156" s="777"/>
      <c r="AP156" s="777"/>
      <c r="AQ156" s="777"/>
      <c r="AR156" s="777"/>
      <c r="AS156" s="777"/>
      <c r="AT156" s="128"/>
      <c r="AU156" s="128" cm="1">
        <f t="array" aca="1" ref="AU156" ca="1">AT158</f>
        <v>0</v>
      </c>
      <c r="AV156" s="128" cm="1">
        <f t="array" aca="1" ref="AV156" ca="1">AU158</f>
        <v>0</v>
      </c>
      <c r="AW156" s="777" cm="1">
        <f t="array" aca="1" ref="AW156" ca="1">AV158</f>
        <v>0</v>
      </c>
      <c r="AX156" s="777" cm="1">
        <f t="array" aca="1" ref="AX156" ca="1">AW158</f>
        <v>0</v>
      </c>
      <c r="AY156" s="777" cm="1">
        <f t="array" aca="1" ref="AY156" ca="1">AX158</f>
        <v>0</v>
      </c>
      <c r="AZ156" s="777" cm="1">
        <f t="array" aca="1" ref="AZ156" ca="1">AY158</f>
        <v>0</v>
      </c>
      <c r="BA156" s="777" cm="1">
        <f t="array" aca="1" ref="BA156" ca="1">AZ158</f>
        <v>0</v>
      </c>
      <c r="BB156" s="777" cm="1">
        <f t="array" aca="1" ref="BB156" ca="1">BA158</f>
        <v>0</v>
      </c>
      <c r="BC156" s="777" cm="1">
        <f t="array" aca="1" ref="BC156" ca="1">BB158</f>
        <v>0</v>
      </c>
      <c r="BD156" s="540"/>
      <c r="BE156" s="540"/>
      <c r="BF156" s="540"/>
      <c r="BG156" s="540"/>
      <c r="BH156" s="540"/>
      <c r="BI156" s="540"/>
      <c r="BJ156" s="540"/>
      <c r="BK156" s="540"/>
      <c r="BL156" s="540"/>
      <c r="BM156" s="540"/>
      <c r="BN156" s="774"/>
      <c r="BO156" s="774"/>
      <c r="BP156" s="774"/>
      <c r="BS156" s="692" t="s">
        <v>1890</v>
      </c>
    </row>
    <row r="157" spans="2:75" ht="14.65" hidden="1" customHeight="1">
      <c r="D157" s="25" cm="1">
        <f t="array" ref="D157">D156</f>
        <v>11</v>
      </c>
      <c r="E157" s="505">
        <v>15</v>
      </c>
      <c r="F157" s="3" cm="1">
        <f t="array" aca="1" ref="F157" ca="1">OFFSET(E157,-1,1)</f>
        <v>0</v>
      </c>
      <c r="G157" s="72" t="s">
        <v>1696</v>
      </c>
      <c r="I157" s="72" t="s">
        <v>2208</v>
      </c>
      <c r="K157" s="72" t="s">
        <v>2208</v>
      </c>
      <c r="L157" s="25" t="s">
        <v>1891</v>
      </c>
      <c r="M157" s="25"/>
      <c r="T157" s="351" t="b" cm="1">
        <f t="array" aca="1" ref="T157" ca="1">T156</f>
        <v>0</v>
      </c>
      <c r="X157" s="1024"/>
      <c r="Z157" s="1008"/>
      <c r="AB157" s="7" t="str">
        <f>D157&amp;".3"</f>
        <v>11.3</v>
      </c>
      <c r="AC157" s="127" t="s">
        <v>2209</v>
      </c>
      <c r="AD157" s="7" t="s">
        <v>585</v>
      </c>
      <c r="AE157" s="556">
        <f ca="1">AE154-AE155</f>
        <v>0</v>
      </c>
      <c r="AF157" s="556">
        <f ca="1">AF154-AF155</f>
        <v>0</v>
      </c>
      <c r="AG157" s="556">
        <f ca="1">AG154-AG155</f>
        <v>0</v>
      </c>
      <c r="AH157" s="556">
        <f t="shared" ca="1" si="33"/>
        <v>0</v>
      </c>
      <c r="AI157" s="556">
        <f t="shared" ref="AI157:BC157" ca="1" si="36">AI154-AI155</f>
        <v>0</v>
      </c>
      <c r="AJ157" s="556">
        <f t="shared" ca="1" si="36"/>
        <v>0</v>
      </c>
      <c r="AK157" s="556">
        <f t="shared" ca="1" si="36"/>
        <v>0</v>
      </c>
      <c r="AL157" s="556">
        <f t="shared" ca="1" si="36"/>
        <v>0</v>
      </c>
      <c r="AM157" s="556">
        <f t="shared" ca="1" si="36"/>
        <v>0</v>
      </c>
      <c r="AN157" s="556">
        <f t="shared" ca="1" si="36"/>
        <v>0</v>
      </c>
      <c r="AO157" s="556">
        <f t="shared" ca="1" si="36"/>
        <v>0</v>
      </c>
      <c r="AP157" s="556">
        <f t="shared" ca="1" si="36"/>
        <v>0</v>
      </c>
      <c r="AQ157" s="556">
        <f t="shared" ca="1" si="36"/>
        <v>0</v>
      </c>
      <c r="AR157" s="556">
        <f t="shared" ca="1" si="36"/>
        <v>0</v>
      </c>
      <c r="AS157" s="556">
        <f t="shared" ca="1" si="36"/>
        <v>0</v>
      </c>
      <c r="AT157" s="556">
        <f t="shared" ca="1" si="36"/>
        <v>0</v>
      </c>
      <c r="AU157" s="556">
        <f t="shared" ca="1" si="36"/>
        <v>0</v>
      </c>
      <c r="AV157" s="556">
        <f t="shared" ca="1" si="36"/>
        <v>0</v>
      </c>
      <c r="AW157" s="556">
        <f t="shared" ca="1" si="36"/>
        <v>0</v>
      </c>
      <c r="AX157" s="556">
        <f t="shared" ca="1" si="36"/>
        <v>0</v>
      </c>
      <c r="AY157" s="556">
        <f t="shared" ca="1" si="36"/>
        <v>0</v>
      </c>
      <c r="AZ157" s="556">
        <f t="shared" ca="1" si="36"/>
        <v>0</v>
      </c>
      <c r="BA157" s="556">
        <f t="shared" ca="1" si="36"/>
        <v>0</v>
      </c>
      <c r="BB157" s="556">
        <f t="shared" ca="1" si="36"/>
        <v>0</v>
      </c>
      <c r="BC157" s="556">
        <f t="shared" ca="1" si="36"/>
        <v>0</v>
      </c>
      <c r="BD157" s="540"/>
      <c r="BE157" s="540"/>
      <c r="BF157" s="540"/>
      <c r="BG157" s="540"/>
      <c r="BH157" s="540"/>
      <c r="BI157" s="540"/>
      <c r="BJ157" s="540"/>
      <c r="BK157" s="540"/>
      <c r="BL157" s="540"/>
      <c r="BM157" s="540"/>
      <c r="BN157" s="774"/>
      <c r="BO157" s="774"/>
      <c r="BP157" s="774"/>
      <c r="BS157" s="692" t="s">
        <v>1894</v>
      </c>
    </row>
    <row r="158" spans="2:75" ht="14.65" hidden="1" customHeight="1">
      <c r="D158" s="25" cm="1">
        <f t="array" ref="D158">D157</f>
        <v>11</v>
      </c>
      <c r="E158" s="505">
        <v>15</v>
      </c>
      <c r="F158" s="3" cm="1">
        <f t="array" aca="1" ref="F158" ca="1">OFFSET(E158,-1,1)</f>
        <v>0</v>
      </c>
      <c r="G158" s="72" t="s">
        <v>1649</v>
      </c>
      <c r="I158" s="72" t="s">
        <v>2210</v>
      </c>
      <c r="K158" s="72" t="s">
        <v>2210</v>
      </c>
      <c r="L158" s="25" t="s">
        <v>1895</v>
      </c>
      <c r="M158" s="25"/>
      <c r="T158" s="351" t="b" cm="1">
        <f t="array" aca="1" ref="T158" ca="1">T157</f>
        <v>0</v>
      </c>
      <c r="X158" s="1024"/>
      <c r="Z158" s="1008"/>
      <c r="AB158" s="7" t="str">
        <f>D158&amp;".4"</f>
        <v>11.4</v>
      </c>
      <c r="AC158" s="127" t="s">
        <v>1897</v>
      </c>
      <c r="AD158" s="7" t="s">
        <v>1647</v>
      </c>
      <c r="AE158" s="777">
        <f ca="1">IF(AE157=0,0,(AE151-AE155*AE156)/AE157)</f>
        <v>0</v>
      </c>
      <c r="AF158" s="777">
        <f ca="1">IF(AF157=0,0,(AF151-AF155*AF156)/AF157)</f>
        <v>0</v>
      </c>
      <c r="AG158" s="777">
        <f ca="1">IF(AG157=0,0,(AG151-AG155*AG156)/AG157)</f>
        <v>0</v>
      </c>
      <c r="AH158" s="170">
        <f t="shared" ca="1" si="33"/>
        <v>0</v>
      </c>
      <c r="AI158" s="777">
        <f t="shared" ref="AI158:BC158" ca="1" si="37">IF(AI157=0,0,(AI151-AI155*AI156)/AI157)</f>
        <v>0</v>
      </c>
      <c r="AJ158" s="128">
        <f t="shared" ca="1" si="37"/>
        <v>0</v>
      </c>
      <c r="AK158" s="128">
        <f t="shared" ca="1" si="37"/>
        <v>0</v>
      </c>
      <c r="AL158" s="128">
        <f t="shared" ca="1" si="37"/>
        <v>0</v>
      </c>
      <c r="AM158" s="777">
        <f t="shared" ca="1" si="37"/>
        <v>0</v>
      </c>
      <c r="AN158" s="777">
        <f t="shared" ca="1" si="37"/>
        <v>0</v>
      </c>
      <c r="AO158" s="777">
        <f t="shared" ca="1" si="37"/>
        <v>0</v>
      </c>
      <c r="AP158" s="777">
        <f t="shared" ca="1" si="37"/>
        <v>0</v>
      </c>
      <c r="AQ158" s="777">
        <f t="shared" ca="1" si="37"/>
        <v>0</v>
      </c>
      <c r="AR158" s="777">
        <f t="shared" ca="1" si="37"/>
        <v>0</v>
      </c>
      <c r="AS158" s="777">
        <f t="shared" ca="1" si="37"/>
        <v>0</v>
      </c>
      <c r="AT158" s="128">
        <f t="shared" ca="1" si="37"/>
        <v>0</v>
      </c>
      <c r="AU158" s="128">
        <f t="shared" ca="1" si="37"/>
        <v>0</v>
      </c>
      <c r="AV158" s="128">
        <f t="shared" ca="1" si="37"/>
        <v>0</v>
      </c>
      <c r="AW158" s="777">
        <f t="shared" ca="1" si="37"/>
        <v>0</v>
      </c>
      <c r="AX158" s="777">
        <f t="shared" ca="1" si="37"/>
        <v>0</v>
      </c>
      <c r="AY158" s="777">
        <f t="shared" ca="1" si="37"/>
        <v>0</v>
      </c>
      <c r="AZ158" s="777">
        <f t="shared" ca="1" si="37"/>
        <v>0</v>
      </c>
      <c r="BA158" s="777">
        <f t="shared" ca="1" si="37"/>
        <v>0</v>
      </c>
      <c r="BB158" s="777">
        <f t="shared" ca="1" si="37"/>
        <v>0</v>
      </c>
      <c r="BC158" s="777">
        <f t="shared" ca="1" si="37"/>
        <v>0</v>
      </c>
      <c r="BD158" s="540"/>
      <c r="BE158" s="540"/>
      <c r="BF158" s="540"/>
      <c r="BG158" s="540"/>
      <c r="BH158" s="540"/>
      <c r="BI158" s="540"/>
      <c r="BJ158" s="540"/>
      <c r="BK158" s="540"/>
      <c r="BL158" s="540"/>
      <c r="BM158" s="540"/>
      <c r="BN158" s="774"/>
      <c r="BO158" s="774"/>
      <c r="BP158" s="774"/>
      <c r="BS158" s="692" t="s">
        <v>1898</v>
      </c>
    </row>
    <row r="159" spans="2:75" ht="14.65" hidden="1" customHeight="1">
      <c r="D159" s="25" cm="1">
        <f t="array" ref="D159">D158</f>
        <v>11</v>
      </c>
      <c r="E159" s="505">
        <v>15</v>
      </c>
      <c r="F159" s="3" cm="1">
        <f t="array" aca="1" ref="F159" ca="1">OFFSET(E159,-1,1)</f>
        <v>0</v>
      </c>
      <c r="I159" s="72" t="s">
        <v>2211</v>
      </c>
      <c r="K159" s="72" t="s">
        <v>2211</v>
      </c>
      <c r="L159" s="25" t="s">
        <v>1899</v>
      </c>
      <c r="M159" s="25"/>
      <c r="T159" s="351" t="b" cm="1">
        <f t="array" aca="1" ref="T159" ca="1">T158</f>
        <v>0</v>
      </c>
      <c r="X159" s="1024"/>
      <c r="Z159" s="1008"/>
      <c r="AB159" s="7" t="str">
        <f>D159&amp;".5"</f>
        <v>11.5</v>
      </c>
      <c r="AC159" s="127" t="s">
        <v>1901</v>
      </c>
      <c r="AD159" s="7" t="s">
        <v>501</v>
      </c>
      <c r="AE159" s="170">
        <f>IF(AE156=0,0,AE158/AE156*100)</f>
        <v>0</v>
      </c>
      <c r="AF159" s="170">
        <f>IF(AF156=0,0,AF158/AF156*100)</f>
        <v>0</v>
      </c>
      <c r="AG159" s="170">
        <f>IF(AG156=0,0,AG158/AG156*100)</f>
        <v>0</v>
      </c>
      <c r="AH159" s="540"/>
      <c r="AI159" s="170">
        <f t="shared" ref="AI159:BC159" si="38">IF(AI156=0,0,AI158/AI156*100)</f>
        <v>0</v>
      </c>
      <c r="AJ159" s="170">
        <f t="shared" si="38"/>
        <v>0</v>
      </c>
      <c r="AK159" s="170">
        <f t="shared" si="38"/>
        <v>0</v>
      </c>
      <c r="AL159" s="170">
        <f t="shared" si="38"/>
        <v>0</v>
      </c>
      <c r="AM159" s="170">
        <f t="shared" si="38"/>
        <v>0</v>
      </c>
      <c r="AN159" s="170">
        <f t="shared" si="38"/>
        <v>0</v>
      </c>
      <c r="AO159" s="170">
        <f t="shared" si="38"/>
        <v>0</v>
      </c>
      <c r="AP159" s="170">
        <f t="shared" si="38"/>
        <v>0</v>
      </c>
      <c r="AQ159" s="170">
        <f t="shared" si="38"/>
        <v>0</v>
      </c>
      <c r="AR159" s="170">
        <f t="shared" si="38"/>
        <v>0</v>
      </c>
      <c r="AS159" s="170">
        <f t="shared" si="38"/>
        <v>0</v>
      </c>
      <c r="AT159" s="170">
        <f t="shared" si="38"/>
        <v>0</v>
      </c>
      <c r="AU159" s="170">
        <f t="shared" ca="1" si="38"/>
        <v>0</v>
      </c>
      <c r="AV159" s="170">
        <f t="shared" ca="1" si="38"/>
        <v>0</v>
      </c>
      <c r="AW159" s="170">
        <f t="shared" ca="1" si="38"/>
        <v>0</v>
      </c>
      <c r="AX159" s="170">
        <f t="shared" ca="1" si="38"/>
        <v>0</v>
      </c>
      <c r="AY159" s="170">
        <f t="shared" ca="1" si="38"/>
        <v>0</v>
      </c>
      <c r="AZ159" s="170">
        <f t="shared" ca="1" si="38"/>
        <v>0</v>
      </c>
      <c r="BA159" s="170">
        <f t="shared" ca="1" si="38"/>
        <v>0</v>
      </c>
      <c r="BB159" s="170">
        <f t="shared" ca="1" si="38"/>
        <v>0</v>
      </c>
      <c r="BC159" s="170">
        <f t="shared" ca="1" si="38"/>
        <v>0</v>
      </c>
      <c r="BD159" s="540"/>
      <c r="BE159" s="540"/>
      <c r="BF159" s="540"/>
      <c r="BG159" s="540"/>
      <c r="BH159" s="540"/>
      <c r="BI159" s="540"/>
      <c r="BJ159" s="540"/>
      <c r="BK159" s="540"/>
      <c r="BL159" s="540"/>
      <c r="BM159" s="540"/>
      <c r="BN159" s="774"/>
      <c r="BO159" s="774"/>
      <c r="BP159" s="774"/>
      <c r="BS159" s="692" t="s">
        <v>1902</v>
      </c>
    </row>
    <row r="160" spans="2:75" ht="14.65" hidden="1" customHeight="1">
      <c r="D160" s="25" cm="1">
        <f t="array" ref="D160">D159</f>
        <v>11</v>
      </c>
      <c r="E160" s="505">
        <v>15</v>
      </c>
      <c r="F160" s="3" cm="1">
        <f t="array" aca="1" ref="F160" ca="1">OFFSET(E160,-1,1)</f>
        <v>0</v>
      </c>
      <c r="I160" s="72" t="s">
        <v>2212</v>
      </c>
      <c r="K160" s="72" t="s">
        <v>2212</v>
      </c>
      <c r="L160" s="25" t="s">
        <v>1903</v>
      </c>
      <c r="M160" s="25"/>
      <c r="T160" s="351" t="b" cm="1">
        <f t="array" aca="1" ref="T160" ca="1">T159</f>
        <v>0</v>
      </c>
      <c r="X160" s="1024"/>
      <c r="Z160" s="1008"/>
      <c r="AB160" s="7" t="str">
        <f>D160&amp;".6"</f>
        <v>11.6</v>
      </c>
      <c r="AC160" s="127" t="s">
        <v>1905</v>
      </c>
      <c r="AD160" s="7" t="s">
        <v>1647</v>
      </c>
      <c r="AE160" s="777">
        <f ca="1">IF(AE154=0,0,AE151/AE154)</f>
        <v>0</v>
      </c>
      <c r="AF160" s="777">
        <f ca="1">IF(AF154=0,0,AF151/AF154)</f>
        <v>0</v>
      </c>
      <c r="AG160" s="777">
        <f ca="1">IF(AG154=0,0,AG151/AG154)</f>
        <v>0</v>
      </c>
      <c r="AH160" s="170">
        <f ca="1">AG160-AF160</f>
        <v>0</v>
      </c>
      <c r="AI160" s="777">
        <f t="shared" ref="AI160:BC160" ca="1" si="39">IF(AI154=0,0,AI151/AI154)</f>
        <v>0</v>
      </c>
      <c r="AJ160" s="128">
        <f t="shared" ca="1" si="39"/>
        <v>0</v>
      </c>
      <c r="AK160" s="128">
        <f t="shared" ca="1" si="39"/>
        <v>0</v>
      </c>
      <c r="AL160" s="128">
        <f t="shared" ca="1" si="39"/>
        <v>0</v>
      </c>
      <c r="AM160" s="777">
        <f t="shared" ca="1" si="39"/>
        <v>0</v>
      </c>
      <c r="AN160" s="777">
        <f t="shared" ca="1" si="39"/>
        <v>0</v>
      </c>
      <c r="AO160" s="777">
        <f t="shared" ca="1" si="39"/>
        <v>0</v>
      </c>
      <c r="AP160" s="777">
        <f t="shared" ca="1" si="39"/>
        <v>0</v>
      </c>
      <c r="AQ160" s="777">
        <f t="shared" ca="1" si="39"/>
        <v>0</v>
      </c>
      <c r="AR160" s="777">
        <f t="shared" ca="1" si="39"/>
        <v>0</v>
      </c>
      <c r="AS160" s="777">
        <f t="shared" ca="1" si="39"/>
        <v>0</v>
      </c>
      <c r="AT160" s="128">
        <f t="shared" ca="1" si="39"/>
        <v>0</v>
      </c>
      <c r="AU160" s="128">
        <f t="shared" ca="1" si="39"/>
        <v>0</v>
      </c>
      <c r="AV160" s="128">
        <f t="shared" ca="1" si="39"/>
        <v>0</v>
      </c>
      <c r="AW160" s="777">
        <f t="shared" ca="1" si="39"/>
        <v>0</v>
      </c>
      <c r="AX160" s="777">
        <f t="shared" ca="1" si="39"/>
        <v>0</v>
      </c>
      <c r="AY160" s="777">
        <f t="shared" ca="1" si="39"/>
        <v>0</v>
      </c>
      <c r="AZ160" s="777">
        <f t="shared" ca="1" si="39"/>
        <v>0</v>
      </c>
      <c r="BA160" s="777">
        <f t="shared" ca="1" si="39"/>
        <v>0</v>
      </c>
      <c r="BB160" s="777">
        <f t="shared" ca="1" si="39"/>
        <v>0</v>
      </c>
      <c r="BC160" s="777">
        <f t="shared" ca="1" si="39"/>
        <v>0</v>
      </c>
      <c r="BD160" s="540"/>
      <c r="BE160" s="540"/>
      <c r="BF160" s="540"/>
      <c r="BG160" s="540"/>
      <c r="BH160" s="540"/>
      <c r="BI160" s="540"/>
      <c r="BJ160" s="540"/>
      <c r="BK160" s="540"/>
      <c r="BL160" s="540"/>
      <c r="BM160" s="540"/>
      <c r="BN160" s="774"/>
      <c r="BO160" s="774"/>
      <c r="BP160" s="774"/>
      <c r="BS160" s="692" t="s">
        <v>1906</v>
      </c>
    </row>
    <row r="161" spans="1:75" s="76" customFormat="1" ht="20.45" hidden="1" customHeight="1">
      <c r="B161" s="331"/>
      <c r="D161" s="27">
        <f>D160+1</f>
        <v>12</v>
      </c>
      <c r="E161" s="509">
        <v>21</v>
      </c>
      <c r="F161" s="3" cm="1">
        <f t="array" aca="1" ref="F161" ca="1">OFFSET(E161,-1,1)</f>
        <v>0</v>
      </c>
      <c r="H161" s="72"/>
      <c r="I161" s="72" t="s">
        <v>1910</v>
      </c>
      <c r="K161" s="72" t="s">
        <v>1910</v>
      </c>
      <c r="L161" s="27" t="s">
        <v>1907</v>
      </c>
      <c r="M161" s="27"/>
      <c r="T161" s="351" t="b" cm="1">
        <f t="array" aca="1" ref="T161" ca="1">T160</f>
        <v>0</v>
      </c>
      <c r="X161" s="1024"/>
      <c r="Z161" s="1008"/>
      <c r="AB161" s="124" cm="1">
        <f t="array" ref="AB161">D161</f>
        <v>12</v>
      </c>
      <c r="AC161" s="125" t="s">
        <v>1908</v>
      </c>
      <c r="AD161" s="124" t="s">
        <v>859</v>
      </c>
      <c r="AE161" s="773">
        <f ca="1">IF(AE154=0,0,AE151/AE154*AE162)</f>
        <v>0</v>
      </c>
      <c r="AF161" s="773">
        <f ca="1">IF(AF154=0,0,AF151/AF154*AF162)</f>
        <v>0</v>
      </c>
      <c r="AG161" s="773">
        <f ca="1">IF(AG154=0,0,AG151/AG154*AG162)</f>
        <v>0</v>
      </c>
      <c r="AH161" s="126">
        <f ca="1">AH163*AH164+AH165*AH166</f>
        <v>0</v>
      </c>
      <c r="AI161" s="773">
        <f t="shared" ref="AI161:BC161" ca="1" si="40">IF(AI154=0,0,AI151/AI154*AI162)</f>
        <v>0</v>
      </c>
      <c r="AJ161" s="138">
        <f t="shared" ca="1" si="40"/>
        <v>0</v>
      </c>
      <c r="AK161" s="138">
        <f t="shared" ca="1" si="40"/>
        <v>0</v>
      </c>
      <c r="AL161" s="138">
        <f t="shared" ca="1" si="40"/>
        <v>0</v>
      </c>
      <c r="AM161" s="773">
        <f t="shared" ca="1" si="40"/>
        <v>0</v>
      </c>
      <c r="AN161" s="773">
        <f t="shared" ca="1" si="40"/>
        <v>0</v>
      </c>
      <c r="AO161" s="773">
        <f t="shared" ca="1" si="40"/>
        <v>0</v>
      </c>
      <c r="AP161" s="773">
        <f t="shared" ca="1" si="40"/>
        <v>0</v>
      </c>
      <c r="AQ161" s="773">
        <f t="shared" ca="1" si="40"/>
        <v>0</v>
      </c>
      <c r="AR161" s="773">
        <f t="shared" ca="1" si="40"/>
        <v>0</v>
      </c>
      <c r="AS161" s="773">
        <f t="shared" ca="1" si="40"/>
        <v>0</v>
      </c>
      <c r="AT161" s="138">
        <f t="shared" ca="1" si="40"/>
        <v>0</v>
      </c>
      <c r="AU161" s="138">
        <f t="shared" ca="1" si="40"/>
        <v>0</v>
      </c>
      <c r="AV161" s="138">
        <f t="shared" ca="1" si="40"/>
        <v>0</v>
      </c>
      <c r="AW161" s="773">
        <f t="shared" ca="1" si="40"/>
        <v>0</v>
      </c>
      <c r="AX161" s="773">
        <f t="shared" ca="1" si="40"/>
        <v>0</v>
      </c>
      <c r="AY161" s="773">
        <f t="shared" ca="1" si="40"/>
        <v>0</v>
      </c>
      <c r="AZ161" s="773">
        <f t="shared" ca="1" si="40"/>
        <v>0</v>
      </c>
      <c r="BA161" s="773">
        <f t="shared" ca="1" si="40"/>
        <v>0</v>
      </c>
      <c r="BB161" s="773">
        <f t="shared" ca="1" si="40"/>
        <v>0</v>
      </c>
      <c r="BC161" s="773">
        <f t="shared" ca="1" si="40"/>
        <v>0</v>
      </c>
      <c r="BD161" s="126">
        <f ca="1">IF(AI161=0,0,(AT161-AI161)/AI161*100)</f>
        <v>0</v>
      </c>
      <c r="BE161" s="126">
        <f t="shared" ref="BE161:BM161" ca="1" si="41">IF(AT161=0,0,(AU161-AT161)/AT161*100)</f>
        <v>0</v>
      </c>
      <c r="BF161" s="126">
        <f t="shared" ca="1" si="41"/>
        <v>0</v>
      </c>
      <c r="BG161" s="126">
        <f t="shared" ca="1" si="41"/>
        <v>0</v>
      </c>
      <c r="BH161" s="126">
        <f t="shared" ca="1" si="41"/>
        <v>0</v>
      </c>
      <c r="BI161" s="126">
        <f t="shared" ca="1" si="41"/>
        <v>0</v>
      </c>
      <c r="BJ161" s="126">
        <f t="shared" ca="1" si="41"/>
        <v>0</v>
      </c>
      <c r="BK161" s="126">
        <f t="shared" ca="1" si="41"/>
        <v>0</v>
      </c>
      <c r="BL161" s="126">
        <f t="shared" ca="1" si="41"/>
        <v>0</v>
      </c>
      <c r="BM161" s="126">
        <f t="shared" ca="1" si="41"/>
        <v>0</v>
      </c>
      <c r="BN161" s="774"/>
      <c r="BO161" s="774"/>
      <c r="BP161" s="774"/>
      <c r="BS161" s="693" t="s">
        <v>1909</v>
      </c>
      <c r="BT161" s="700"/>
      <c r="BU161" s="700"/>
      <c r="BV161" s="509"/>
      <c r="BW161" s="509"/>
    </row>
    <row r="162" spans="1:75" s="76" customFormat="1" ht="20.45" hidden="1" customHeight="1">
      <c r="B162" s="331"/>
      <c r="D162" s="27">
        <f>D161+1</f>
        <v>13</v>
      </c>
      <c r="E162" s="509">
        <v>21</v>
      </c>
      <c r="F162" s="3" cm="1">
        <f t="array" aca="1" ref="F162" ca="1">OFFSET(E162,-1,1)</f>
        <v>0</v>
      </c>
      <c r="G162" s="72" t="s">
        <v>1669</v>
      </c>
      <c r="H162" s="72"/>
      <c r="I162" s="72" t="s">
        <v>2213</v>
      </c>
      <c r="K162" s="72" t="s">
        <v>2213</v>
      </c>
      <c r="L162" s="27" t="s">
        <v>1910</v>
      </c>
      <c r="M162" s="27"/>
      <c r="T162" s="351" t="b" cm="1">
        <f t="array" aca="1" ref="T162" ca="1">T161</f>
        <v>0</v>
      </c>
      <c r="X162" s="1024"/>
      <c r="Z162" s="1008"/>
      <c r="AB162" s="124" cm="1">
        <f t="array" ref="AB162">D162</f>
        <v>13</v>
      </c>
      <c r="AC162" s="125" t="s">
        <v>1911</v>
      </c>
      <c r="AD162" s="124" t="s">
        <v>585</v>
      </c>
      <c r="AE162" s="550">
        <f ca="1">SUMIFS(Баланс!AE$26:AE$209,Баланс!$F$26:$F$209,$F162,Баланс!$G$26:$G$209,"население")</f>
        <v>0</v>
      </c>
      <c r="AF162" s="550">
        <f ca="1">SUMIFS(Баланс!AF$26:AF$209,Баланс!$F$26:$F$209,$F162,Баланс!$G$26:$G$209,"население")</f>
        <v>0</v>
      </c>
      <c r="AG162" s="550">
        <f ca="1">SUMIFS(Баланс!AG$26:AG$209,Баланс!$F$26:$F$209,$F162,Баланс!$G$26:$G$209,"население")</f>
        <v>0</v>
      </c>
      <c r="AH162" s="550">
        <f ca="1">AG162-AF162</f>
        <v>0</v>
      </c>
      <c r="AI162" s="550">
        <f ca="1">SUMIFS(Баланс!AH$26:AH$209,Баланс!$F$26:$F$209,$F162,Баланс!$G$26:$G$209,"население")</f>
        <v>0</v>
      </c>
      <c r="AJ162" s="550">
        <f ca="1">SUMIFS(Баланс!AI$26:AI$209,Баланс!$F$26:$F$209,$F162,Баланс!$G$26:$G$209,"население")</f>
        <v>0</v>
      </c>
      <c r="AK162" s="550">
        <f ca="1">SUMIFS(Баланс!AJ$26:AJ$209,Баланс!$F$26:$F$209,$F162,Баланс!$G$26:$G$209,"население")</f>
        <v>0</v>
      </c>
      <c r="AL162" s="550">
        <f ca="1">SUMIFS(Баланс!AK$26:AK$209,Баланс!$F$26:$F$209,$F162,Баланс!$G$26:$G$209,"население")</f>
        <v>0</v>
      </c>
      <c r="AM162" s="550">
        <f ca="1">SUMIFS(Баланс!AL$26:AL$209,Баланс!$F$26:$F$209,$F162,Баланс!$G$26:$G$209,"население")</f>
        <v>0</v>
      </c>
      <c r="AN162" s="550">
        <f ca="1">SUMIFS(Баланс!AM$26:AM$209,Баланс!$F$26:$F$209,$F162,Баланс!$G$26:$G$209,"население")</f>
        <v>0</v>
      </c>
      <c r="AO162" s="550">
        <f ca="1">SUMIFS(Баланс!AN$26:AN$209,Баланс!$F$26:$F$209,$F162,Баланс!$G$26:$G$209,"население")</f>
        <v>0</v>
      </c>
      <c r="AP162" s="550">
        <f ca="1">SUMIFS(Баланс!AO$26:AO$209,Баланс!$F$26:$F$209,$F162,Баланс!$G$26:$G$209,"население")</f>
        <v>0</v>
      </c>
      <c r="AQ162" s="550">
        <f ca="1">SUMIFS(Баланс!AP$26:AP$209,Баланс!$F$26:$F$209,$F162,Баланс!$G$26:$G$209,"население")</f>
        <v>0</v>
      </c>
      <c r="AR162" s="550">
        <f ca="1">SUMIFS(Баланс!AQ$26:AQ$209,Баланс!$F$26:$F$209,$F162,Баланс!$G$26:$G$209,"население")</f>
        <v>0</v>
      </c>
      <c r="AS162" s="550">
        <f ca="1">SUMIFS(Баланс!AR$26:AR$209,Баланс!$F$26:$F$209,$F162,Баланс!$G$26:$G$209,"население")</f>
        <v>0</v>
      </c>
      <c r="AT162" s="550">
        <f ca="1">SUMIFS(Баланс!AS$26:AS$209,Баланс!$F$26:$F$209,$F162,Баланс!$G$26:$G$209,"население")</f>
        <v>0</v>
      </c>
      <c r="AU162" s="550">
        <f ca="1">SUMIFS(Баланс!AT$26:AT$209,Баланс!$F$26:$F$209,$F162,Баланс!$G$26:$G$209,"население")</f>
        <v>0</v>
      </c>
      <c r="AV162" s="550">
        <f ca="1">SUMIFS(Баланс!AU$26:AU$209,Баланс!$F$26:$F$209,$F162,Баланс!$G$26:$G$209,"население")</f>
        <v>0</v>
      </c>
      <c r="AW162" s="550">
        <f ca="1">SUMIFS(Баланс!AV$26:AV$209,Баланс!$F$26:$F$209,$F162,Баланс!$G$26:$G$209,"население")</f>
        <v>0</v>
      </c>
      <c r="AX162" s="550">
        <f ca="1">SUMIFS(Баланс!AW$26:AW$209,Баланс!$F$26:$F$209,$F162,Баланс!$G$26:$G$209,"население")</f>
        <v>0</v>
      </c>
      <c r="AY162" s="550">
        <f ca="1">SUMIFS(Баланс!AX$26:AX$209,Баланс!$F$26:$F$209,$F162,Баланс!$G$26:$G$209,"население")</f>
        <v>0</v>
      </c>
      <c r="AZ162" s="550">
        <f ca="1">SUMIFS(Баланс!AY$26:AY$209,Баланс!$F$26:$F$209,$F162,Баланс!$G$26:$G$209,"население")</f>
        <v>0</v>
      </c>
      <c r="BA162" s="550">
        <f ca="1">SUMIFS(Баланс!AZ$26:AZ$209,Баланс!$F$26:$F$209,$F162,Баланс!$G$26:$G$209,"население")</f>
        <v>0</v>
      </c>
      <c r="BB162" s="550">
        <f ca="1">SUMIFS(Баланс!BA$26:BA$209,Баланс!$F$26:$F$209,$F162,Баланс!$G$26:$G$209,"население")</f>
        <v>0</v>
      </c>
      <c r="BC162" s="550">
        <f ca="1">SUMIFS(Баланс!BB$26:BB$209,Баланс!$F$26:$F$209,$F162,Баланс!$G$26:$G$209,"население")</f>
        <v>0</v>
      </c>
      <c r="BD162" s="129"/>
      <c r="BE162" s="129"/>
      <c r="BF162" s="129"/>
      <c r="BG162" s="129"/>
      <c r="BH162" s="129"/>
      <c r="BI162" s="129"/>
      <c r="BJ162" s="129"/>
      <c r="BK162" s="129"/>
      <c r="BL162" s="129"/>
      <c r="BM162" s="129"/>
      <c r="BN162" s="774"/>
      <c r="BO162" s="774"/>
      <c r="BP162" s="774"/>
      <c r="BS162" s="693" t="s">
        <v>1912</v>
      </c>
      <c r="BT162" s="700"/>
      <c r="BU162" s="700"/>
      <c r="BV162" s="509"/>
      <c r="BW162" s="509"/>
    </row>
    <row r="163" spans="1:75" ht="14.65" hidden="1" customHeight="1">
      <c r="D163" s="25" cm="1">
        <f t="array" ref="D163">D162</f>
        <v>13</v>
      </c>
      <c r="E163" s="505">
        <v>15</v>
      </c>
      <c r="F163" s="3" cm="1">
        <f t="array" aca="1" ref="F163" ca="1">OFFSET(E163,-1,1)</f>
        <v>0</v>
      </c>
      <c r="G163" s="72" t="s">
        <v>1703</v>
      </c>
      <c r="I163" s="72" t="s">
        <v>2214</v>
      </c>
      <c r="K163" s="72" t="s">
        <v>2214</v>
      </c>
      <c r="L163" s="25" t="s">
        <v>1913</v>
      </c>
      <c r="M163" s="25"/>
      <c r="T163" s="351" t="b" cm="1">
        <f t="array" aca="1" ref="T163" ca="1">T162</f>
        <v>0</v>
      </c>
      <c r="X163" s="1024"/>
      <c r="Z163" s="1008"/>
      <c r="AB163" s="7" t="str">
        <f>D163&amp;".1"</f>
        <v>13.1</v>
      </c>
      <c r="AC163" s="127" t="s">
        <v>1915</v>
      </c>
      <c r="AD163" s="7" t="s">
        <v>585</v>
      </c>
      <c r="AE163" s="775">
        <f ca="1">AE162/2</f>
        <v>0</v>
      </c>
      <c r="AF163" s="775">
        <f ca="1">AF162/2</f>
        <v>0</v>
      </c>
      <c r="AG163" s="775">
        <f ca="1">AG162/2</f>
        <v>0</v>
      </c>
      <c r="AH163" s="556">
        <f ca="1">AG163-AF163</f>
        <v>0</v>
      </c>
      <c r="AI163" s="775">
        <f ca="1">AI162/2</f>
        <v>0</v>
      </c>
      <c r="AJ163" s="442">
        <f ca="1">IF(god=2026,AJ162/12*9,AJ162/2)</f>
        <v>0</v>
      </c>
      <c r="AK163" s="442">
        <f ca="1">IF(god=2025,AK162/12*9,AK162/2)</f>
        <v>0</v>
      </c>
      <c r="AL163" s="442">
        <f t="shared" ref="AL163:AS163" ca="1" si="42">AL162/2</f>
        <v>0</v>
      </c>
      <c r="AM163" s="775">
        <f t="shared" ca="1" si="42"/>
        <v>0</v>
      </c>
      <c r="AN163" s="775">
        <f t="shared" ca="1" si="42"/>
        <v>0</v>
      </c>
      <c r="AO163" s="775">
        <f t="shared" ca="1" si="42"/>
        <v>0</v>
      </c>
      <c r="AP163" s="775">
        <f t="shared" ca="1" si="42"/>
        <v>0</v>
      </c>
      <c r="AQ163" s="775">
        <f t="shared" ca="1" si="42"/>
        <v>0</v>
      </c>
      <c r="AR163" s="775">
        <f t="shared" ca="1" si="42"/>
        <v>0</v>
      </c>
      <c r="AS163" s="775">
        <f t="shared" ca="1" si="42"/>
        <v>0</v>
      </c>
      <c r="AT163" s="442">
        <f ca="1">IF(god=2026,AT162/12*9,AT162/2)</f>
        <v>0</v>
      </c>
      <c r="AU163" s="442">
        <f ca="1">IF(god=2025,AU162/12*9,AU162/2)</f>
        <v>0</v>
      </c>
      <c r="AV163" s="442">
        <f t="shared" ref="AV163:BC163" ca="1" si="43">AV162/2</f>
        <v>0</v>
      </c>
      <c r="AW163" s="775">
        <f t="shared" ca="1" si="43"/>
        <v>0</v>
      </c>
      <c r="AX163" s="775">
        <f t="shared" ca="1" si="43"/>
        <v>0</v>
      </c>
      <c r="AY163" s="775">
        <f t="shared" ca="1" si="43"/>
        <v>0</v>
      </c>
      <c r="AZ163" s="775">
        <f t="shared" ca="1" si="43"/>
        <v>0</v>
      </c>
      <c r="BA163" s="775">
        <f t="shared" ca="1" si="43"/>
        <v>0</v>
      </c>
      <c r="BB163" s="775">
        <f t="shared" ca="1" si="43"/>
        <v>0</v>
      </c>
      <c r="BC163" s="775">
        <f t="shared" ca="1" si="43"/>
        <v>0</v>
      </c>
      <c r="BD163" s="540"/>
      <c r="BE163" s="540"/>
      <c r="BF163" s="540"/>
      <c r="BG163" s="540"/>
      <c r="BH163" s="540"/>
      <c r="BI163" s="540"/>
      <c r="BJ163" s="540"/>
      <c r="BK163" s="540"/>
      <c r="BL163" s="540"/>
      <c r="BM163" s="540"/>
      <c r="BN163" s="774"/>
      <c r="BO163" s="774"/>
      <c r="BP163" s="774"/>
      <c r="BS163" s="692" t="s">
        <v>1916</v>
      </c>
    </row>
    <row r="164" spans="1:75" ht="14.65" hidden="1" customHeight="1">
      <c r="D164" s="25" cm="1">
        <f t="array" ref="D164">D163</f>
        <v>13</v>
      </c>
      <c r="E164" s="505">
        <v>15</v>
      </c>
      <c r="F164" s="3" cm="1">
        <f t="array" aca="1" ref="F164" ca="1">OFFSET(E164,-1,1)</f>
        <v>0</v>
      </c>
      <c r="G164" s="72" t="s">
        <v>1659</v>
      </c>
      <c r="I164" s="72" t="s">
        <v>2215</v>
      </c>
      <c r="K164" s="72" t="s">
        <v>2215</v>
      </c>
      <c r="L164" s="25" t="s">
        <v>1917</v>
      </c>
      <c r="M164" s="25"/>
      <c r="T164" s="351" t="b" cm="1">
        <f t="array" aca="1" ref="T164" ca="1">T163</f>
        <v>0</v>
      </c>
      <c r="X164" s="1024"/>
      <c r="Z164" s="1008"/>
      <c r="AB164" s="7" t="str">
        <f>D164&amp;".2"</f>
        <v>13.2</v>
      </c>
      <c r="AC164" s="127" t="s">
        <v>1919</v>
      </c>
      <c r="AD164" s="7" t="s">
        <v>1647</v>
      </c>
      <c r="AE164" s="777">
        <f ca="1">IF(AE162=0,0,AE156*(1+Сценарии!AE$26))</f>
        <v>0</v>
      </c>
      <c r="AF164" s="777">
        <f ca="1">IF(AF162=0,0,AF156*(1+Сценарии!AF$26))</f>
        <v>0</v>
      </c>
      <c r="AG164" s="777">
        <f ca="1">IF(AG162=0,0,AG156*(1+Сценарии!AG$26))</f>
        <v>0</v>
      </c>
      <c r="AH164" s="170">
        <f ca="1">AG164-AF164</f>
        <v>0</v>
      </c>
      <c r="AI164" s="777">
        <f ca="1">IF(AI162=0,0,AI156*(1+Сценарии!AI$26))</f>
        <v>0</v>
      </c>
      <c r="AJ164" s="128">
        <f ca="1">IF(AJ162=0,0,AJ156*(1+Сценарии!AJ$26))</f>
        <v>0</v>
      </c>
      <c r="AK164" s="128">
        <f ca="1">IF(AK162=0,0,AK156*(1+Сценарии!AO$26))</f>
        <v>0</v>
      </c>
      <c r="AL164" s="128">
        <f ca="1">IF(AL162=0,0,AL156*(1+Сценарии!AP$26))</f>
        <v>0</v>
      </c>
      <c r="AM164" s="777">
        <f ca="1">IF(AM162=0,0,AM156*(1+Сценарии!AQ$26))</f>
        <v>0</v>
      </c>
      <c r="AN164" s="777">
        <f ca="1">IF(AN162=0,0,AN156*(1+Сценарии!AR$26))</f>
        <v>0</v>
      </c>
      <c r="AO164" s="777">
        <f ca="1">IF(AO162=0,0,AO156*(1+Сценарии!AS$26))</f>
        <v>0</v>
      </c>
      <c r="AP164" s="777">
        <f ca="1">IF(AP162=0,0,AP156*(1+Сценарии!AT$26))</f>
        <v>0</v>
      </c>
      <c r="AQ164" s="777">
        <f ca="1">IF(AQ162=0,0,AQ156*(1+Сценарии!AU$26))</f>
        <v>0</v>
      </c>
      <c r="AR164" s="777">
        <f ca="1">IF(AR162=0,0,AR156*(1+Сценарии!AV$26))</f>
        <v>0</v>
      </c>
      <c r="AS164" s="777">
        <f ca="1">IF(AS162=0,0,AS156*(1+Сценарии!AW$26))</f>
        <v>0</v>
      </c>
      <c r="AT164" s="128">
        <f ca="1">IF(AT162=0,0,AT156*(1+Сценарии!AK$26))</f>
        <v>0</v>
      </c>
      <c r="AU164" s="128">
        <f ca="1">IF(AU162=0,0,AU156*(1+Сценарии!AX$26))</f>
        <v>0</v>
      </c>
      <c r="AV164" s="128">
        <f ca="1">IF(AV162=0,0,AV156*(1+Сценарии!AY$26))</f>
        <v>0</v>
      </c>
      <c r="AW164" s="777">
        <f ca="1">IF(AW162=0,0,AW156*(1+Сценарии!AZ$26))</f>
        <v>0</v>
      </c>
      <c r="AX164" s="777">
        <f ca="1">IF(AX162=0,0,AX156*(1+Сценарии!BA$26))</f>
        <v>0</v>
      </c>
      <c r="AY164" s="777">
        <f ca="1">IF(AY162=0,0,AY156*(1+Сценарии!BB$26))</f>
        <v>0</v>
      </c>
      <c r="AZ164" s="777">
        <f ca="1">IF(AZ162=0,0,AZ156*(1+Сценарии!BC$26))</f>
        <v>0</v>
      </c>
      <c r="BA164" s="777">
        <f ca="1">IF(BA162=0,0,BA156*(1+Сценарии!BD$26))</f>
        <v>0</v>
      </c>
      <c r="BB164" s="777">
        <f ca="1">IF(BB162=0,0,BB156*(1+Сценарии!BE$26))</f>
        <v>0</v>
      </c>
      <c r="BC164" s="777">
        <f ca="1">IF(BC162=0,0,BC156*(1+Сценарии!BF$26))</f>
        <v>0</v>
      </c>
      <c r="BD164" s="540"/>
      <c r="BE164" s="540"/>
      <c r="BF164" s="540"/>
      <c r="BG164" s="540"/>
      <c r="BH164" s="540"/>
      <c r="BI164" s="540"/>
      <c r="BJ164" s="540"/>
      <c r="BK164" s="540"/>
      <c r="BL164" s="540"/>
      <c r="BM164" s="540"/>
      <c r="BN164" s="774"/>
      <c r="BO164" s="774"/>
      <c r="BP164" s="774"/>
      <c r="BS164" s="692" t="s">
        <v>1920</v>
      </c>
    </row>
    <row r="165" spans="1:75" ht="14.65" hidden="1" customHeight="1">
      <c r="B165" s="15"/>
      <c r="C165" s="25"/>
      <c r="D165" s="25" cm="1">
        <f t="array" ref="D165">D164</f>
        <v>13</v>
      </c>
      <c r="E165" s="449">
        <v>15</v>
      </c>
      <c r="F165" s="3" cm="1">
        <f t="array" aca="1" ref="F165" ca="1">OFFSET(E165,-1,1)</f>
        <v>0</v>
      </c>
      <c r="G165" s="25" t="s">
        <v>1710</v>
      </c>
      <c r="H165" s="25"/>
      <c r="I165" s="25" t="s">
        <v>2216</v>
      </c>
      <c r="J165" s="25"/>
      <c r="K165" s="25" t="s">
        <v>2216</v>
      </c>
      <c r="L165" s="25" t="s">
        <v>1921</v>
      </c>
      <c r="M165" s="25"/>
      <c r="N165" s="25"/>
      <c r="O165" s="25"/>
      <c r="P165" s="25"/>
      <c r="Q165" s="25"/>
      <c r="R165" s="25"/>
      <c r="S165" s="25"/>
      <c r="T165" s="351" t="b" cm="1">
        <f t="array" aca="1" ref="T165" ca="1">T164</f>
        <v>0</v>
      </c>
      <c r="U165" s="25"/>
      <c r="V165" s="25"/>
      <c r="W165" s="25"/>
      <c r="X165" s="1024"/>
      <c r="Z165" s="1008"/>
      <c r="AB165" s="7" t="str">
        <f>D165&amp;".3"</f>
        <v>13.3</v>
      </c>
      <c r="AC165" s="127" t="s">
        <v>1893</v>
      </c>
      <c r="AD165" s="7" t="s">
        <v>585</v>
      </c>
      <c r="AE165" s="556">
        <f ca="1">AE162-AE163</f>
        <v>0</v>
      </c>
      <c r="AF165" s="556">
        <f ca="1">AF162-AF163</f>
        <v>0</v>
      </c>
      <c r="AG165" s="556">
        <f ca="1">AG162-AG163</f>
        <v>0</v>
      </c>
      <c r="AH165" s="556">
        <f ca="1">AG165-AF165</f>
        <v>0</v>
      </c>
      <c r="AI165" s="556">
        <f t="shared" ref="AI165:BC165" ca="1" si="44">AI162-AI163</f>
        <v>0</v>
      </c>
      <c r="AJ165" s="556">
        <f t="shared" ca="1" si="44"/>
        <v>0</v>
      </c>
      <c r="AK165" s="556">
        <f t="shared" ca="1" si="44"/>
        <v>0</v>
      </c>
      <c r="AL165" s="556">
        <f t="shared" ca="1" si="44"/>
        <v>0</v>
      </c>
      <c r="AM165" s="556">
        <f t="shared" ca="1" si="44"/>
        <v>0</v>
      </c>
      <c r="AN165" s="556">
        <f t="shared" ca="1" si="44"/>
        <v>0</v>
      </c>
      <c r="AO165" s="556">
        <f t="shared" ca="1" si="44"/>
        <v>0</v>
      </c>
      <c r="AP165" s="556">
        <f t="shared" ca="1" si="44"/>
        <v>0</v>
      </c>
      <c r="AQ165" s="556">
        <f t="shared" ca="1" si="44"/>
        <v>0</v>
      </c>
      <c r="AR165" s="556">
        <f t="shared" ca="1" si="44"/>
        <v>0</v>
      </c>
      <c r="AS165" s="556">
        <f t="shared" ca="1" si="44"/>
        <v>0</v>
      </c>
      <c r="AT165" s="556">
        <f t="shared" ca="1" si="44"/>
        <v>0</v>
      </c>
      <c r="AU165" s="556">
        <f t="shared" ca="1" si="44"/>
        <v>0</v>
      </c>
      <c r="AV165" s="556">
        <f t="shared" ca="1" si="44"/>
        <v>0</v>
      </c>
      <c r="AW165" s="556">
        <f t="shared" ca="1" si="44"/>
        <v>0</v>
      </c>
      <c r="AX165" s="556">
        <f t="shared" ca="1" si="44"/>
        <v>0</v>
      </c>
      <c r="AY165" s="556">
        <f t="shared" ca="1" si="44"/>
        <v>0</v>
      </c>
      <c r="AZ165" s="556">
        <f t="shared" ca="1" si="44"/>
        <v>0</v>
      </c>
      <c r="BA165" s="556">
        <f t="shared" ca="1" si="44"/>
        <v>0</v>
      </c>
      <c r="BB165" s="556">
        <f t="shared" ca="1" si="44"/>
        <v>0</v>
      </c>
      <c r="BC165" s="556">
        <f t="shared" ca="1" si="44"/>
        <v>0</v>
      </c>
      <c r="BD165" s="540"/>
      <c r="BE165" s="540"/>
      <c r="BF165" s="540"/>
      <c r="BG165" s="540"/>
      <c r="BH165" s="540"/>
      <c r="BI165" s="540"/>
      <c r="BJ165" s="540"/>
      <c r="BK165" s="540"/>
      <c r="BL165" s="540"/>
      <c r="BM165" s="540"/>
      <c r="BN165" s="774"/>
      <c r="BO165" s="774"/>
      <c r="BP165" s="774"/>
      <c r="BS165" s="692" t="s">
        <v>1923</v>
      </c>
    </row>
    <row r="166" spans="1:75" ht="14.65" hidden="1" customHeight="1">
      <c r="B166" s="15"/>
      <c r="C166" s="25"/>
      <c r="D166" s="25" cm="1">
        <f t="array" ref="D166">D165</f>
        <v>13</v>
      </c>
      <c r="E166" s="449">
        <v>15</v>
      </c>
      <c r="F166" s="3" cm="1">
        <f t="array" aca="1" ref="F166" ca="1">OFFSET(E166,-1,1)</f>
        <v>0</v>
      </c>
      <c r="G166" s="25" t="s">
        <v>1663</v>
      </c>
      <c r="H166" s="25"/>
      <c r="I166" s="25" t="s">
        <v>2217</v>
      </c>
      <c r="J166" s="25"/>
      <c r="K166" s="25" t="s">
        <v>2217</v>
      </c>
      <c r="L166" s="25" t="s">
        <v>1924</v>
      </c>
      <c r="M166" s="25"/>
      <c r="N166" s="25"/>
      <c r="O166" s="25"/>
      <c r="P166" s="25"/>
      <c r="Q166" s="25"/>
      <c r="R166" s="25"/>
      <c r="S166" s="25"/>
      <c r="T166" s="351" t="b" cm="1">
        <f t="array" aca="1" ref="T166" ca="1">T165</f>
        <v>0</v>
      </c>
      <c r="U166" s="25"/>
      <c r="V166" s="25"/>
      <c r="W166" s="25"/>
      <c r="X166" s="1024"/>
      <c r="Z166" s="1008"/>
      <c r="AB166" s="7" t="str">
        <f>D166&amp;".4"</f>
        <v>13.4</v>
      </c>
      <c r="AC166" s="127" t="s">
        <v>1897</v>
      </c>
      <c r="AD166" s="7" t="s">
        <v>1647</v>
      </c>
      <c r="AE166" s="777">
        <f ca="1">IF(AE162=0,0,AE158*(1+Сценарии!AE$26))</f>
        <v>0</v>
      </c>
      <c r="AF166" s="777">
        <f ca="1">IF(AF162=0,0,AF158*(1+Сценарии!AF$26))</f>
        <v>0</v>
      </c>
      <c r="AG166" s="777">
        <f ca="1">IF(AG162=0,0,AG158*(1+Сценарии!AG$26))</f>
        <v>0</v>
      </c>
      <c r="AH166" s="170">
        <f ca="1">AG166-AF166</f>
        <v>0</v>
      </c>
      <c r="AI166" s="777">
        <f ca="1">IF(AI162=0,0,AI158*(1+Сценарии!AI$26))</f>
        <v>0</v>
      </c>
      <c r="AJ166" s="128">
        <f ca="1">IF(AJ162=0,0,AJ158*(1+Сценарии!AJ$26))</f>
        <v>0</v>
      </c>
      <c r="AK166" s="128">
        <f ca="1">IF(AK162=0,0,AK158*(1+Сценарии!AO$26))</f>
        <v>0</v>
      </c>
      <c r="AL166" s="128">
        <f ca="1">IF(AL162=0,0,AL158*(1+Сценарии!AP$26))</f>
        <v>0</v>
      </c>
      <c r="AM166" s="777">
        <f ca="1">IF(AM162=0,0,AM158*(1+Сценарии!AQ$26))</f>
        <v>0</v>
      </c>
      <c r="AN166" s="777">
        <f ca="1">IF(AN162=0,0,AN158*(1+Сценарии!AR$26))</f>
        <v>0</v>
      </c>
      <c r="AO166" s="777">
        <f ca="1">IF(AO162=0,0,AO158*(1+Сценарии!AS$26))</f>
        <v>0</v>
      </c>
      <c r="AP166" s="777">
        <f ca="1">IF(AP162=0,0,AP158*(1+Сценарии!AT$26))</f>
        <v>0</v>
      </c>
      <c r="AQ166" s="777">
        <f ca="1">IF(AQ162=0,0,AQ158*(1+Сценарии!AU$26))</f>
        <v>0</v>
      </c>
      <c r="AR166" s="777">
        <f ca="1">IF(AR162=0,0,AR158*(1+Сценарии!AV$26))</f>
        <v>0</v>
      </c>
      <c r="AS166" s="777">
        <f ca="1">IF(AS162=0,0,AS158*(1+Сценарии!AW$26))</f>
        <v>0</v>
      </c>
      <c r="AT166" s="128">
        <f ca="1">IF(AT162=0,0,AT158*(1+Сценарии!AK$26))</f>
        <v>0</v>
      </c>
      <c r="AU166" s="128">
        <f ca="1">IF(AU162=0,0,AU158*(1+Сценарии!AX$26))</f>
        <v>0</v>
      </c>
      <c r="AV166" s="128">
        <f ca="1">IF(AV162=0,0,AV158*(1+Сценарии!AY$26))</f>
        <v>0</v>
      </c>
      <c r="AW166" s="777">
        <f ca="1">IF(AW162=0,0,AW158*(1+Сценарии!AZ$26))</f>
        <v>0</v>
      </c>
      <c r="AX166" s="777">
        <f ca="1">IF(AX162=0,0,AX158*(1+Сценарии!BA$26))</f>
        <v>0</v>
      </c>
      <c r="AY166" s="777">
        <f ca="1">IF(AY162=0,0,AY158*(1+Сценарии!BB$26))</f>
        <v>0</v>
      </c>
      <c r="AZ166" s="777">
        <f ca="1">IF(AZ162=0,0,AZ158*(1+Сценарии!BC$26))</f>
        <v>0</v>
      </c>
      <c r="BA166" s="777">
        <f ca="1">IF(BA162=0,0,BA158*(1+Сценарии!BD$26))</f>
        <v>0</v>
      </c>
      <c r="BB166" s="777">
        <f ca="1">IF(BB162=0,0,BB158*(1+Сценарии!BE$26))</f>
        <v>0</v>
      </c>
      <c r="BC166" s="777">
        <f ca="1">IF(BC162=0,0,BC158*(1+Сценарии!BF$26))</f>
        <v>0</v>
      </c>
      <c r="BD166" s="540"/>
      <c r="BE166" s="540"/>
      <c r="BF166" s="540"/>
      <c r="BG166" s="540"/>
      <c r="BH166" s="540"/>
      <c r="BI166" s="540"/>
      <c r="BJ166" s="540"/>
      <c r="BK166" s="540"/>
      <c r="BL166" s="540"/>
      <c r="BM166" s="540"/>
      <c r="BN166" s="774"/>
      <c r="BO166" s="774"/>
      <c r="BP166" s="774"/>
      <c r="BS166" s="692" t="s">
        <v>1927</v>
      </c>
    </row>
    <row r="167" spans="1:75" ht="14.65" hidden="1" customHeight="1">
      <c r="B167" s="15"/>
      <c r="C167" s="25"/>
      <c r="D167" s="25">
        <f>D166+1</f>
        <v>14</v>
      </c>
      <c r="E167" s="449">
        <v>15</v>
      </c>
      <c r="F167" s="3" cm="1">
        <f t="array" aca="1" ref="F167" ca="1">OFFSET(E167,-1,1)</f>
        <v>0</v>
      </c>
      <c r="G167" s="25"/>
      <c r="H167" s="25"/>
      <c r="I167" s="25"/>
      <c r="J167" s="25"/>
      <c r="K167" s="25"/>
      <c r="L167" s="25"/>
      <c r="M167" s="25"/>
      <c r="N167" s="25"/>
      <c r="O167" s="25"/>
      <c r="P167" s="25"/>
      <c r="Q167" s="25"/>
      <c r="R167" s="25"/>
      <c r="S167" s="25"/>
      <c r="T167" s="351" t="b" cm="1">
        <f t="array" aca="1" ref="T167" ca="1">T166</f>
        <v>0</v>
      </c>
      <c r="U167" s="25"/>
      <c r="V167" s="25"/>
      <c r="W167" s="25"/>
      <c r="X167" s="1024"/>
      <c r="Z167" s="1008"/>
      <c r="AB167" s="124" cm="1">
        <f t="array" ref="AB167">D167</f>
        <v>14</v>
      </c>
      <c r="AC167" s="125" t="s">
        <v>1928</v>
      </c>
      <c r="AD167" s="124" t="s">
        <v>859</v>
      </c>
      <c r="AE167" s="777"/>
      <c r="AF167" s="777"/>
      <c r="AG167" s="777"/>
      <c r="AH167" s="170"/>
      <c r="AI167" s="777"/>
      <c r="AJ167" s="128"/>
      <c r="AK167" s="128"/>
      <c r="AL167" s="128"/>
      <c r="AM167" s="777"/>
      <c r="AN167" s="777"/>
      <c r="AO167" s="777"/>
      <c r="AP167" s="777"/>
      <c r="AQ167" s="777"/>
      <c r="AR167" s="777"/>
      <c r="AS167" s="777"/>
      <c r="AT167" s="128"/>
      <c r="AU167" s="128"/>
      <c r="AV167" s="128"/>
      <c r="AW167" s="777"/>
      <c r="AX167" s="777"/>
      <c r="AY167" s="777"/>
      <c r="AZ167" s="777"/>
      <c r="BA167" s="777"/>
      <c r="BB167" s="777"/>
      <c r="BC167" s="777"/>
      <c r="BD167" s="540"/>
      <c r="BE167" s="540"/>
      <c r="BF167" s="540"/>
      <c r="BG167" s="540"/>
      <c r="BH167" s="540"/>
      <c r="BI167" s="540"/>
      <c r="BJ167" s="540"/>
      <c r="BK167" s="540"/>
      <c r="BL167" s="540"/>
      <c r="BM167" s="540"/>
      <c r="BN167" s="774"/>
      <c r="BO167" s="774"/>
      <c r="BP167" s="774"/>
      <c r="BS167" s="692" t="s">
        <v>1929</v>
      </c>
    </row>
    <row r="168" spans="1:75" ht="20.45" hidden="1" customHeight="1">
      <c r="B168" s="15"/>
      <c r="C168" s="25"/>
      <c r="D168" s="25" cm="1">
        <f t="array" ref="D168">D167</f>
        <v>14</v>
      </c>
      <c r="E168" s="449">
        <v>21</v>
      </c>
      <c r="F168" s="3" cm="1">
        <f t="array" aca="1" ref="F168" ca="1">OFFSET(E168,-1,1)</f>
        <v>0</v>
      </c>
      <c r="G168" s="25"/>
      <c r="H168" s="25"/>
      <c r="I168" s="25"/>
      <c r="J168" s="25"/>
      <c r="K168" s="25"/>
      <c r="L168" s="25"/>
      <c r="M168" s="25"/>
      <c r="N168" s="25"/>
      <c r="O168" s="25"/>
      <c r="P168" s="25"/>
      <c r="Q168" s="25"/>
      <c r="R168" s="25"/>
      <c r="S168" s="25"/>
      <c r="T168" s="351" t="b" cm="1">
        <f t="array" aca="1" ref="T168" ca="1">T167</f>
        <v>0</v>
      </c>
      <c r="U168" s="25"/>
      <c r="V168" s="25"/>
      <c r="W168" s="25"/>
      <c r="X168" s="1024"/>
      <c r="Z168" s="1008"/>
      <c r="AB168" s="7" t="str">
        <f>D168&amp;".1"</f>
        <v>14.1</v>
      </c>
      <c r="AC168" s="127" t="s">
        <v>1931</v>
      </c>
      <c r="AD168" s="7" t="s">
        <v>859</v>
      </c>
      <c r="AE168" s="777"/>
      <c r="AF168" s="777"/>
      <c r="AG168" s="777"/>
      <c r="AH168" s="170">
        <f>AG168-AF168</f>
        <v>0</v>
      </c>
      <c r="AI168" s="777"/>
      <c r="AJ168" s="128"/>
      <c r="AK168" s="128"/>
      <c r="AL168" s="128"/>
      <c r="AM168" s="777"/>
      <c r="AN168" s="777"/>
      <c r="AO168" s="777"/>
      <c r="AP168" s="777"/>
      <c r="AQ168" s="777"/>
      <c r="AR168" s="777"/>
      <c r="AS168" s="777"/>
      <c r="AT168" s="128"/>
      <c r="AU168" s="128"/>
      <c r="AV168" s="128"/>
      <c r="AW168" s="777"/>
      <c r="AX168" s="777"/>
      <c r="AY168" s="777"/>
      <c r="AZ168" s="777"/>
      <c r="BA168" s="777"/>
      <c r="BB168" s="777"/>
      <c r="BC168" s="777"/>
      <c r="BD168" s="540"/>
      <c r="BE168" s="540"/>
      <c r="BF168" s="540"/>
      <c r="BG168" s="540"/>
      <c r="BH168" s="540"/>
      <c r="BI168" s="540"/>
      <c r="BJ168" s="540"/>
      <c r="BK168" s="540"/>
      <c r="BL168" s="540"/>
      <c r="BM168" s="540"/>
      <c r="BN168" s="774"/>
      <c r="BO168" s="774"/>
      <c r="BP168" s="774"/>
      <c r="BS168" s="692" t="s">
        <v>1932</v>
      </c>
      <c r="BT168" s="701"/>
      <c r="BU168" s="701"/>
      <c r="BV168" s="702"/>
      <c r="BW168" s="702"/>
    </row>
    <row r="169" spans="1:75" ht="64.900000000000006" hidden="1" customHeight="1">
      <c r="B169" s="15"/>
      <c r="C169" s="25"/>
      <c r="D169" s="25" cm="1">
        <f t="array" ref="D169">D168</f>
        <v>14</v>
      </c>
      <c r="E169" s="449">
        <v>66.599999999999994</v>
      </c>
      <c r="F169" s="3" cm="1">
        <f t="array" aca="1" ref="F169" ca="1">OFFSET(E169,-1,1)</f>
        <v>0</v>
      </c>
      <c r="G169" s="25"/>
      <c r="H169" s="25"/>
      <c r="I169" s="25"/>
      <c r="J169" s="25"/>
      <c r="K169" s="25"/>
      <c r="L169" s="25"/>
      <c r="M169" s="25"/>
      <c r="N169" s="25"/>
      <c r="O169" s="25"/>
      <c r="P169" s="25"/>
      <c r="Q169" s="25"/>
      <c r="R169" s="25"/>
      <c r="S169" s="25"/>
      <c r="T169" s="351" t="b" cm="1">
        <f t="array" aca="1" ref="T169" ca="1">T168</f>
        <v>0</v>
      </c>
      <c r="U169" s="25"/>
      <c r="V169" s="25"/>
      <c r="W169" s="25"/>
      <c r="X169" s="1024"/>
      <c r="Z169" s="1008"/>
      <c r="AB169" s="7" t="str">
        <f>D169&amp;".2"</f>
        <v>14.2</v>
      </c>
      <c r="AC169" s="127" t="s">
        <v>1934</v>
      </c>
      <c r="AD169" s="7" t="s">
        <v>859</v>
      </c>
      <c r="AE169" s="777"/>
      <c r="AF169" s="777"/>
      <c r="AG169" s="777"/>
      <c r="AH169" s="170">
        <f>AG169-AF169</f>
        <v>0</v>
      </c>
      <c r="AI169" s="777"/>
      <c r="AJ169" s="128"/>
      <c r="AK169" s="128"/>
      <c r="AL169" s="128"/>
      <c r="AM169" s="777"/>
      <c r="AN169" s="777"/>
      <c r="AO169" s="777"/>
      <c r="AP169" s="777"/>
      <c r="AQ169" s="777"/>
      <c r="AR169" s="777"/>
      <c r="AS169" s="777"/>
      <c r="AT169" s="128"/>
      <c r="AU169" s="128"/>
      <c r="AV169" s="128"/>
      <c r="AW169" s="777"/>
      <c r="AX169" s="777"/>
      <c r="AY169" s="777"/>
      <c r="AZ169" s="777"/>
      <c r="BA169" s="777"/>
      <c r="BB169" s="777"/>
      <c r="BC169" s="777"/>
      <c r="BD169" s="540"/>
      <c r="BE169" s="540"/>
      <c r="BF169" s="540"/>
      <c r="BG169" s="540"/>
      <c r="BH169" s="540"/>
      <c r="BI169" s="540"/>
      <c r="BJ169" s="540"/>
      <c r="BK169" s="540"/>
      <c r="BL169" s="540"/>
      <c r="BM169" s="540"/>
      <c r="BN169" s="774"/>
      <c r="BO169" s="774"/>
      <c r="BP169" s="774"/>
      <c r="BS169" s="692" t="s">
        <v>1935</v>
      </c>
      <c r="BT169" s="701"/>
      <c r="BU169" s="701"/>
      <c r="BV169" s="702"/>
      <c r="BW169" s="702"/>
    </row>
    <row r="170" spans="1:75" ht="44.45" hidden="1" customHeight="1">
      <c r="A170" s="374"/>
      <c r="B170" s="535"/>
      <c r="C170" s="25"/>
      <c r="D170" s="25" cm="1">
        <f t="array" ref="D170">D169</f>
        <v>14</v>
      </c>
      <c r="E170" s="449">
        <v>45.6</v>
      </c>
      <c r="F170" s="3" cm="1">
        <f t="array" aca="1" ref="F170" ca="1">OFFSET(E170,-1,1)</f>
        <v>0</v>
      </c>
      <c r="G170" s="25"/>
      <c r="H170" s="25"/>
      <c r="I170" s="25"/>
      <c r="J170" s="25"/>
      <c r="K170" s="25"/>
      <c r="L170" s="25"/>
      <c r="M170" s="25"/>
      <c r="N170" s="25"/>
      <c r="O170" s="25"/>
      <c r="P170" s="25"/>
      <c r="Q170" s="25"/>
      <c r="R170" s="25"/>
      <c r="S170" s="25"/>
      <c r="T170" s="351" t="b" cm="1">
        <f t="array" aca="1" ref="T170" ca="1">T169</f>
        <v>0</v>
      </c>
      <c r="U170" s="25"/>
      <c r="V170" s="25"/>
      <c r="W170" s="25"/>
      <c r="X170" s="1024"/>
      <c r="Y170" s="374"/>
      <c r="Z170" s="1008"/>
      <c r="AA170" s="374"/>
      <c r="AB170" s="7" t="str">
        <f>D170&amp;".3"</f>
        <v>14.3</v>
      </c>
      <c r="AC170" s="127" t="s">
        <v>2218</v>
      </c>
      <c r="AD170" s="7" t="s">
        <v>859</v>
      </c>
      <c r="AE170" s="540"/>
      <c r="AF170" s="777"/>
      <c r="AG170" s="777"/>
      <c r="AH170" s="170">
        <f>AG170-AF170</f>
        <v>0</v>
      </c>
      <c r="AI170" s="540"/>
      <c r="AJ170" s="540"/>
      <c r="AK170" s="540"/>
      <c r="AL170" s="540"/>
      <c r="AM170" s="540"/>
      <c r="AN170" s="540"/>
      <c r="AO170" s="540"/>
      <c r="AP170" s="540"/>
      <c r="AQ170" s="540"/>
      <c r="AR170" s="540"/>
      <c r="AS170" s="540"/>
      <c r="AT170" s="540"/>
      <c r="AU170" s="540"/>
      <c r="AV170" s="540"/>
      <c r="AW170" s="540"/>
      <c r="AX170" s="540"/>
      <c r="AY170" s="540"/>
      <c r="AZ170" s="540"/>
      <c r="BA170" s="540"/>
      <c r="BB170" s="540"/>
      <c r="BC170" s="540"/>
      <c r="BD170" s="540"/>
      <c r="BE170" s="540"/>
      <c r="BF170" s="540"/>
      <c r="BG170" s="540"/>
      <c r="BH170" s="540"/>
      <c r="BI170" s="540"/>
      <c r="BJ170" s="540"/>
      <c r="BK170" s="540"/>
      <c r="BL170" s="540"/>
      <c r="BM170" s="540"/>
      <c r="BN170" s="774"/>
      <c r="BO170" s="774"/>
      <c r="BP170" s="774"/>
      <c r="BS170" s="701" t="s">
        <v>2219</v>
      </c>
      <c r="BT170" s="701"/>
      <c r="BU170" s="701"/>
      <c r="BV170" s="702"/>
      <c r="BW170" s="702"/>
    </row>
    <row r="171" spans="1:75" s="394" customFormat="1" ht="14.25" customHeight="1">
      <c r="A171" s="38"/>
      <c r="B171" s="43"/>
      <c r="C171" s="38"/>
      <c r="D171" s="38"/>
      <c r="E171" s="446">
        <v>15</v>
      </c>
      <c r="F171" s="17" t="str" cm="1">
        <f t="array" ref="F171">X171</f>
        <v>1</v>
      </c>
      <c r="G171" s="17" t="str" cm="1">
        <f t="array" ref="G171">INDEX('Общие сведения'!$AK$179:$AK$208,MATCH($X171,'Общие сведения'!$Z$179:$Z$208,0))</f>
        <v>одноставочный</v>
      </c>
      <c r="H171" s="38"/>
      <c r="I171" s="17"/>
      <c r="J171" s="38"/>
      <c r="K171" s="38"/>
      <c r="L171" s="22"/>
      <c r="M171" s="22"/>
      <c r="N171" s="38"/>
      <c r="O171" s="38"/>
      <c r="P171" s="38"/>
      <c r="Q171" s="38"/>
      <c r="R171" s="38"/>
      <c r="S171" s="38" t="str" cm="1">
        <f t="array" ref="S171">INDEX('Общие сведения'!$AE$179:$AE$208,MATCH($X171,'Общие сведения'!$Z$179:$Z$208,0))</f>
        <v>Водоснабжение</v>
      </c>
      <c r="T171" s="351" t="b">
        <f>X171&gt;0</f>
        <v>1</v>
      </c>
      <c r="U171" s="38"/>
      <c r="V171" s="38" t="str" cm="1">
        <f t="array" ref="V171">'Калькуляция (МИ)'!$AB$171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171" s="38"/>
      <c r="X171" s="1024" t="s">
        <v>277</v>
      </c>
      <c r="Y171" s="38"/>
      <c r="Z171" s="1008"/>
      <c r="AA171" s="38"/>
      <c r="AB171" s="279" t="str" cm="1">
        <f t="array" ref="AB171">'Калькуляция (МИ)'!$AB$171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c r="BM171" s="164"/>
      <c r="BN171" s="164"/>
      <c r="BO171" s="164"/>
      <c r="BP171" s="164"/>
      <c r="BQ171" s="38"/>
      <c r="BR171" s="38"/>
      <c r="BS171" s="654"/>
      <c r="BT171" s="654"/>
      <c r="BU171" s="654"/>
      <c r="BV171" s="446"/>
      <c r="BW171" s="446"/>
    </row>
    <row r="172" spans="1:75" s="902" customFormat="1" ht="20.25" customHeight="1">
      <c r="A172" s="75"/>
      <c r="B172" s="330"/>
      <c r="C172" s="75"/>
      <c r="D172" s="75"/>
      <c r="E172" s="507">
        <v>21</v>
      </c>
      <c r="F172" s="3" t="str" cm="1">
        <f t="array" aca="1" ref="F172" ca="1">OFFSET(E172,-1,1)</f>
        <v>1</v>
      </c>
      <c r="G172" s="75"/>
      <c r="H172" s="275"/>
      <c r="I172" s="275" t="s">
        <v>321</v>
      </c>
      <c r="J172" s="75"/>
      <c r="K172" s="275" t="s">
        <v>321</v>
      </c>
      <c r="L172" s="573"/>
      <c r="M172" s="573"/>
      <c r="N172" s="75"/>
      <c r="O172" s="75"/>
      <c r="P172" s="75"/>
      <c r="Q172" s="75"/>
      <c r="R172" s="75" t="s">
        <v>2275</v>
      </c>
      <c r="S172" s="75"/>
      <c r="T172" s="351" t="b" cm="1">
        <f t="array" ref="T172">T171</f>
        <v>1</v>
      </c>
      <c r="U172" s="75"/>
      <c r="V172" s="75"/>
      <c r="W172" s="75"/>
      <c r="X172" s="1024"/>
      <c r="Y172" s="75"/>
      <c r="Z172" s="1008"/>
      <c r="AA172" s="75"/>
      <c r="AB172" s="160" t="s">
        <v>277</v>
      </c>
      <c r="AC172" s="125" t="s">
        <v>1943</v>
      </c>
      <c r="AD172" s="147" t="s">
        <v>859</v>
      </c>
      <c r="AE172" s="126">
        <f ca="1">SUM(AE174,AE191,AE197,AE217,AE218,AE219)</f>
        <v>0</v>
      </c>
      <c r="AF172" s="126">
        <f ca="1">SUM(AF174,AF191,AF197,AF217,AF218,AF219)</f>
        <v>0</v>
      </c>
      <c r="AG172" s="126">
        <f ca="1">SUM(AG174,AG191,AG197,AG217,AG218,AG219)</f>
        <v>0</v>
      </c>
      <c r="AH172" s="126">
        <f t="shared" ref="AH172:AH203" ca="1" si="45">AG172-AF172</f>
        <v>0</v>
      </c>
      <c r="AI172" s="138">
        <f ca="1">AE172*AI173</f>
        <v>0</v>
      </c>
      <c r="AJ172" s="138">
        <f t="shared" ref="AJ172:AS172" ca="1" si="46">AI172*AJ173</f>
        <v>0</v>
      </c>
      <c r="AK172" s="138">
        <f t="shared" ca="1" si="46"/>
        <v>0</v>
      </c>
      <c r="AL172" s="138">
        <f t="shared" ca="1" si="46"/>
        <v>0</v>
      </c>
      <c r="AM172" s="138">
        <f t="shared" ca="1" si="46"/>
        <v>0</v>
      </c>
      <c r="AN172" s="138">
        <f t="shared" ca="1" si="46"/>
        <v>0</v>
      </c>
      <c r="AO172" s="138">
        <f t="shared" ca="1" si="46"/>
        <v>0</v>
      </c>
      <c r="AP172" s="138">
        <f t="shared" ca="1" si="46"/>
        <v>0</v>
      </c>
      <c r="AQ172" s="138">
        <f t="shared" ca="1" si="46"/>
        <v>0</v>
      </c>
      <c r="AR172" s="138">
        <f t="shared" ca="1" si="46"/>
        <v>0</v>
      </c>
      <c r="AS172" s="138">
        <f t="shared" ca="1" si="46"/>
        <v>0</v>
      </c>
      <c r="AT172" s="138">
        <f ca="1">AI172*AT173</f>
        <v>0</v>
      </c>
      <c r="AU172" s="138">
        <f t="shared" ref="AU172:BC172" ca="1" si="47">AT172*AU173</f>
        <v>0</v>
      </c>
      <c r="AV172" s="138">
        <f t="shared" ca="1" si="47"/>
        <v>0</v>
      </c>
      <c r="AW172" s="138">
        <f t="shared" ca="1" si="47"/>
        <v>0</v>
      </c>
      <c r="AX172" s="138">
        <f t="shared" ca="1" si="47"/>
        <v>0</v>
      </c>
      <c r="AY172" s="138">
        <f t="shared" ca="1" si="47"/>
        <v>0</v>
      </c>
      <c r="AZ172" s="138">
        <f t="shared" ca="1" si="47"/>
        <v>0</v>
      </c>
      <c r="BA172" s="138">
        <f t="shared" ca="1" si="47"/>
        <v>0</v>
      </c>
      <c r="BB172" s="138">
        <f t="shared" ca="1" si="47"/>
        <v>0</v>
      </c>
      <c r="BC172" s="138">
        <f t="shared" ca="1" si="47"/>
        <v>0</v>
      </c>
      <c r="BD172" s="126">
        <f ca="1">IF(AI172=0,0,(AT172-AI172)/AI172*100)</f>
        <v>0</v>
      </c>
      <c r="BE172" s="126">
        <f t="shared" ref="BE172:BM172" ca="1" si="48">IF(AT172=0,0,(AU172-AT172)/AT172*100)</f>
        <v>0</v>
      </c>
      <c r="BF172" s="126">
        <f t="shared" ca="1" si="48"/>
        <v>0</v>
      </c>
      <c r="BG172" s="126">
        <f t="shared" ca="1" si="48"/>
        <v>0</v>
      </c>
      <c r="BH172" s="126">
        <f t="shared" ca="1" si="48"/>
        <v>0</v>
      </c>
      <c r="BI172" s="126">
        <f t="shared" ca="1" si="48"/>
        <v>0</v>
      </c>
      <c r="BJ172" s="126">
        <f t="shared" ca="1" si="48"/>
        <v>0</v>
      </c>
      <c r="BK172" s="126">
        <f t="shared" ca="1" si="48"/>
        <v>0</v>
      </c>
      <c r="BL172" s="126">
        <f t="shared" ca="1" si="48"/>
        <v>0</v>
      </c>
      <c r="BM172" s="126">
        <f t="shared" ca="1" si="48"/>
        <v>0</v>
      </c>
      <c r="BN172" s="195"/>
      <c r="BO172" s="195"/>
      <c r="BP172" s="195"/>
      <c r="BQ172" s="74"/>
      <c r="BR172" s="75"/>
      <c r="BS172" s="698" t="s">
        <v>577</v>
      </c>
      <c r="BT172" s="698"/>
      <c r="BU172" s="698"/>
      <c r="BV172" s="507"/>
      <c r="BW172" s="507"/>
    </row>
    <row r="173" spans="1:75" ht="14.25" customHeight="1">
      <c r="E173" s="505">
        <v>15</v>
      </c>
      <c r="F173" s="3" t="str" cm="1">
        <f t="array" aca="1" ref="F173" ca="1">OFFSET(E173,-1,1)</f>
        <v>1</v>
      </c>
      <c r="H173" s="276"/>
      <c r="I173" s="276" t="s">
        <v>507</v>
      </c>
      <c r="K173" s="276" t="s">
        <v>507</v>
      </c>
      <c r="L173" s="25"/>
      <c r="M173" s="25"/>
      <c r="R173" s="75" t="s">
        <v>2275</v>
      </c>
      <c r="T173" s="351" t="b" cm="1">
        <f t="array" ref="T173">T172</f>
        <v>1</v>
      </c>
      <c r="X173" s="1024"/>
      <c r="Z173" s="1008"/>
      <c r="AB173" s="133" t="s">
        <v>936</v>
      </c>
      <c r="AC173" s="127" t="s">
        <v>1944</v>
      </c>
      <c r="AD173" s="7"/>
      <c r="AE173" s="442"/>
      <c r="AF173" s="442"/>
      <c r="AG173" s="442"/>
      <c r="AH173" s="556">
        <f t="shared" si="45"/>
        <v>0</v>
      </c>
      <c r="AI173" s="442">
        <f ca="1">SUMIFS(INDEX(Сценарии!$AE$25:$BF$82,,MATCH(AI$8,Сценарии!$AE$8:$BF$8,0)),Сценарии!$F$25:$F$82,$F173,Сценарии!$G$25:$G$82,"ИОР")</f>
        <v>1.0580000000000001</v>
      </c>
      <c r="AJ173" s="442">
        <f ca="1">SUMIFS(INDEX(Сценарии!$AE$25:$BF$82,,MATCH(AJ$8,Сценарии!$AE$8:$BF$8,0)),Сценарии!$F$25:$F$82,$F173,Сценарии!$G$25:$G$82,"ИОР")</f>
        <v>1.0509999999999999</v>
      </c>
      <c r="AK173" s="442">
        <f ca="1">SUMIFS(INDEX(Сценарии!$AE$25:$BF$82,,MATCH(AK$8,Сценарии!$AE$8:$BF$8,0)),Сценарии!$F$25:$F$82,$F173,Сценарии!$G$25:$G$82,"ИОР")</f>
        <v>1.04</v>
      </c>
      <c r="AL173" s="442">
        <f ca="1">SUMIFS(INDEX(Сценарии!$AE$25:$BF$82,,MATCH(AL$8,Сценарии!$AE$8:$BF$8,0)),Сценарии!$F$25:$F$82,$F173,Сценарии!$G$25:$G$82,"ИОР")</f>
        <v>1.04</v>
      </c>
      <c r="AM173" s="442">
        <f ca="1">SUMIFS(INDEX(Сценарии!$AE$25:$BF$82,,MATCH(AM$8,Сценарии!$AE$8:$BF$8,0)),Сценарии!$F$25:$F$82,$F173,Сценарии!$G$25:$G$82,"ИОР")</f>
        <v>1</v>
      </c>
      <c r="AN173" s="442">
        <f ca="1">SUMIFS(INDEX(Сценарии!$AE$25:$BF$82,,MATCH(AN$8,Сценарии!$AE$8:$BF$8,0)),Сценарии!$F$25:$F$82,$F173,Сценарии!$G$25:$G$82,"ИОР")</f>
        <v>1</v>
      </c>
      <c r="AO173" s="442">
        <f ca="1">SUMIFS(INDEX(Сценарии!$AE$25:$BF$82,,MATCH(AO$8,Сценарии!$AE$8:$BF$8,0)),Сценарии!$F$25:$F$82,$F173,Сценарии!$G$25:$G$82,"ИОР")</f>
        <v>1</v>
      </c>
      <c r="AP173" s="442">
        <f ca="1">SUMIFS(INDEX(Сценарии!$AE$25:$BF$82,,MATCH(AP$8,Сценарии!$AE$8:$BF$8,0)),Сценарии!$F$25:$F$82,$F173,Сценарии!$G$25:$G$82,"ИОР")</f>
        <v>1</v>
      </c>
      <c r="AQ173" s="442">
        <f ca="1">SUMIFS(INDEX(Сценарии!$AE$25:$BF$82,,MATCH(AQ$8,Сценарии!$AE$8:$BF$8,0)),Сценарии!$F$25:$F$82,$F173,Сценарии!$G$25:$G$82,"ИОР")</f>
        <v>1</v>
      </c>
      <c r="AR173" s="442">
        <f ca="1">SUMIFS(INDEX(Сценарии!$AE$25:$BF$82,,MATCH(AR$8,Сценарии!$AE$8:$BF$8,0)),Сценарии!$F$25:$F$82,$F173,Сценарии!$G$25:$G$82,"ИОР")</f>
        <v>1</v>
      </c>
      <c r="AS173" s="442">
        <f ca="1">SUMIFS(INDEX(Сценарии!$AE$25:$BF$82,,MATCH(AS$8,Сценарии!$AE$8:$BF$8,0)),Сценарии!$F$25:$F$82,$F173,Сценарии!$G$25:$G$82,"ИОР")</f>
        <v>1</v>
      </c>
      <c r="AT173" s="442">
        <f ca="1">SUMIFS(INDEX(Сценарии!$AE$25:$BF$82,,MATCH(AT$8,Сценарии!$AE$8:$BF$8,0)),Сценарии!$F$25:$F$82,$F173,Сценарии!$G$25:$G$82,"ИОР")</f>
        <v>1.0509999999999999</v>
      </c>
      <c r="AU173" s="442">
        <f ca="1">SUMIFS(INDEX(Сценарии!$AE$25:$BF$82,,MATCH(AU$8,Сценарии!$AE$8:$BF$8,0)),Сценарии!$F$25:$F$82,$F173,Сценарии!$G$25:$G$82,"ИОР")</f>
        <v>1.0296000000000001</v>
      </c>
      <c r="AV173" s="442">
        <f ca="1">SUMIFS(INDEX(Сценарии!$AE$25:$BF$82,,MATCH(AV$8,Сценарии!$AE$8:$BF$8,0)),Сценарии!$F$25:$F$82,$F173,Сценарии!$G$25:$G$82,"ИОР")</f>
        <v>1.0296000000000001</v>
      </c>
      <c r="AW173" s="442">
        <f ca="1">SUMIFS(INDEX(Сценарии!$AE$25:$BF$82,,MATCH(AW$8,Сценарии!$AE$8:$BF$8,0)),Сценарии!$F$25:$F$82,$F173,Сценарии!$G$25:$G$82,"ИОР")</f>
        <v>1</v>
      </c>
      <c r="AX173" s="442">
        <f ca="1">SUMIFS(INDEX(Сценарии!$AE$25:$BF$82,,MATCH(AX$8,Сценарии!$AE$8:$BF$8,0)),Сценарии!$F$25:$F$82,$F173,Сценарии!$G$25:$G$82,"ИОР")</f>
        <v>1</v>
      </c>
      <c r="AY173" s="442">
        <f ca="1">SUMIFS(INDEX(Сценарии!$AE$25:$BF$82,,MATCH(AY$8,Сценарии!$AE$8:$BF$8,0)),Сценарии!$F$25:$F$82,$F173,Сценарии!$G$25:$G$82,"ИОР")</f>
        <v>1</v>
      </c>
      <c r="AZ173" s="442">
        <f ca="1">SUMIFS(INDEX(Сценарии!$AE$25:$BF$82,,MATCH(AZ$8,Сценарии!$AE$8:$BF$8,0)),Сценарии!$F$25:$F$82,$F173,Сценарии!$G$25:$G$82,"ИОР")</f>
        <v>1</v>
      </c>
      <c r="BA173" s="442">
        <f ca="1">SUMIFS(INDEX(Сценарии!$AE$25:$BF$82,,MATCH(BA$8,Сценарии!$AE$8:$BF$8,0)),Сценарии!$F$25:$F$82,$F173,Сценарии!$G$25:$G$82,"ИОР")</f>
        <v>1</v>
      </c>
      <c r="BB173" s="442">
        <f ca="1">SUMIFS(INDEX(Сценарии!$AE$25:$BF$82,,MATCH(BB$8,Сценарии!$AE$8:$BF$8,0)),Сценарии!$F$25:$F$82,$F173,Сценарии!$G$25:$G$82,"ИОР")</f>
        <v>1</v>
      </c>
      <c r="BC173" s="442">
        <f ca="1">SUMIFS(INDEX(Сценарии!$AE$25:$BF$82,,MATCH(BC$8,Сценарии!$AE$8:$BF$8,0)),Сценарии!$F$25:$F$82,$F173,Сценарии!$G$25:$G$82,"ИОР")</f>
        <v>1</v>
      </c>
      <c r="BD173" s="540"/>
      <c r="BE173" s="540"/>
      <c r="BF173" s="540"/>
      <c r="BG173" s="540"/>
      <c r="BH173" s="540"/>
      <c r="BI173" s="540"/>
      <c r="BJ173" s="540"/>
      <c r="BK173" s="540"/>
      <c r="BL173" s="540"/>
      <c r="BM173" s="540"/>
      <c r="BN173" s="195"/>
      <c r="BO173" s="195"/>
      <c r="BP173" s="195"/>
      <c r="BS173" s="694" t="s">
        <v>1945</v>
      </c>
    </row>
    <row r="174" spans="1:75" s="330" customFormat="1" ht="20.25" customHeight="1">
      <c r="A174" s="74"/>
      <c r="C174" s="74"/>
      <c r="D174" s="74"/>
      <c r="E174" s="508">
        <v>21</v>
      </c>
      <c r="F174" s="3" t="str" cm="1">
        <f t="array" aca="1" ref="F174" ca="1">OFFSET(E174,-1,1)</f>
        <v>1</v>
      </c>
      <c r="G174" s="74"/>
      <c r="H174" s="275"/>
      <c r="I174" s="275" t="s">
        <v>511</v>
      </c>
      <c r="J174" s="74"/>
      <c r="K174" s="275" t="s">
        <v>511</v>
      </c>
      <c r="L174" s="576" t="s">
        <v>321</v>
      </c>
      <c r="M174" s="576"/>
      <c r="N174" s="74"/>
      <c r="O174" s="74"/>
      <c r="P174" s="74"/>
      <c r="Q174" s="72" t="s">
        <v>2275</v>
      </c>
      <c r="R174" s="75" t="s">
        <v>2275</v>
      </c>
      <c r="S174" s="74"/>
      <c r="T174" s="351" t="b" cm="1">
        <f t="array" ref="T174">T173</f>
        <v>1</v>
      </c>
      <c r="U174" s="74"/>
      <c r="V174" s="74"/>
      <c r="W174" s="74"/>
      <c r="X174" s="1024"/>
      <c r="Y174" s="74"/>
      <c r="Z174" s="1008"/>
      <c r="AA174" s="74"/>
      <c r="AB174" s="160" t="s">
        <v>939</v>
      </c>
      <c r="AC174" s="262" t="s">
        <v>1739</v>
      </c>
      <c r="AD174" s="147" t="s">
        <v>859</v>
      </c>
      <c r="AE174" s="126">
        <f ca="1">SUM(AE175,AE178,AE179,AE182,AE183)</f>
        <v>0</v>
      </c>
      <c r="AF174" s="126">
        <f ca="1">SUM(AF175,AF178,AF179,AF182,AF183)</f>
        <v>0</v>
      </c>
      <c r="AG174" s="126">
        <f ca="1">SUM(AG175,AG178,AG179,AG182,AG183)</f>
        <v>0</v>
      </c>
      <c r="AH174" s="126">
        <f t="shared" ca="1" si="45"/>
        <v>0</v>
      </c>
      <c r="AI174" s="905">
        <f ca="1">SUM(AI175,AI178,AI179,AI182,AI183)</f>
        <v>0</v>
      </c>
      <c r="AJ174" s="442"/>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554"/>
      <c r="BO174" s="554"/>
      <c r="BP174" s="554"/>
      <c r="BQ174" s="74"/>
      <c r="BR174" s="74"/>
      <c r="BS174" s="692" t="s">
        <v>562</v>
      </c>
      <c r="BT174" s="699"/>
      <c r="BU174" s="699"/>
      <c r="BV174" s="508"/>
      <c r="BW174" s="508"/>
    </row>
    <row r="175" spans="1:75" ht="14.25" customHeight="1">
      <c r="E175" s="505">
        <v>15</v>
      </c>
      <c r="F175" s="3" t="str" cm="1">
        <f t="array" aca="1" ref="F175" ca="1">OFFSET(E175,-1,1)</f>
        <v>1</v>
      </c>
      <c r="H175" s="276"/>
      <c r="I175" s="276" t="s">
        <v>1378</v>
      </c>
      <c r="K175" s="276" t="s">
        <v>1378</v>
      </c>
      <c r="L175" s="25" t="s">
        <v>507</v>
      </c>
      <c r="M175" s="25"/>
      <c r="Q175" s="72" t="s">
        <v>2275</v>
      </c>
      <c r="R175" s="75" t="s">
        <v>2275</v>
      </c>
      <c r="T175" s="351" t="b" cm="1">
        <f t="array" ref="T175">T174</f>
        <v>1</v>
      </c>
      <c r="X175" s="1024"/>
      <c r="Z175" s="1008"/>
      <c r="AB175" s="133" t="s">
        <v>1379</v>
      </c>
      <c r="AC175" s="134" t="s">
        <v>1946</v>
      </c>
      <c r="AD175" s="9" t="s">
        <v>859</v>
      </c>
      <c r="AE175" s="170">
        <f>SUM(AE176,AE177)</f>
        <v>0</v>
      </c>
      <c r="AF175" s="170">
        <f>SUM(AF176,AF177)</f>
        <v>0</v>
      </c>
      <c r="AG175" s="170">
        <f>SUM(AG176,AG177)</f>
        <v>0</v>
      </c>
      <c r="AH175" s="170">
        <f t="shared" si="45"/>
        <v>0</v>
      </c>
      <c r="AI175" s="906">
        <f>SUM(AI176,AI177)</f>
        <v>0</v>
      </c>
      <c r="AJ175" s="442"/>
      <c r="AK175" s="540"/>
      <c r="AL175" s="540"/>
      <c r="AM175" s="540"/>
      <c r="AN175" s="540"/>
      <c r="AO175" s="540"/>
      <c r="AP175" s="540"/>
      <c r="AQ175" s="540"/>
      <c r="AR175" s="540"/>
      <c r="AS175" s="540"/>
      <c r="AT175" s="540"/>
      <c r="AU175" s="540"/>
      <c r="AV175" s="540"/>
      <c r="AW175" s="540"/>
      <c r="AX175" s="540"/>
      <c r="AY175" s="540"/>
      <c r="AZ175" s="540"/>
      <c r="BA175" s="540"/>
      <c r="BB175" s="540"/>
      <c r="BC175" s="540"/>
      <c r="BD175" s="540"/>
      <c r="BE175" s="540"/>
      <c r="BF175" s="540"/>
      <c r="BG175" s="540"/>
      <c r="BH175" s="540"/>
      <c r="BI175" s="540"/>
      <c r="BJ175" s="540"/>
      <c r="BK175" s="540"/>
      <c r="BL175" s="540"/>
      <c r="BM175" s="540"/>
      <c r="BN175" s="195"/>
      <c r="BO175" s="195"/>
      <c r="BP175" s="195"/>
      <c r="BQ175" s="28"/>
      <c r="BS175" s="693" t="s">
        <v>1741</v>
      </c>
    </row>
    <row r="176" spans="1:75" ht="14.25" customHeight="1">
      <c r="E176" s="505">
        <v>15</v>
      </c>
      <c r="F176" s="3" t="str" cm="1">
        <f t="array" aca="1" ref="F176" ca="1">OFFSET(E176,-1,1)</f>
        <v>1</v>
      </c>
      <c r="H176" s="276"/>
      <c r="I176" s="276" t="s">
        <v>1947</v>
      </c>
      <c r="K176" s="276" t="s">
        <v>1947</v>
      </c>
      <c r="L176" s="25" t="s">
        <v>1044</v>
      </c>
      <c r="M176" s="25"/>
      <c r="Q176" s="72" t="s">
        <v>2275</v>
      </c>
      <c r="R176" s="75" t="s">
        <v>2275</v>
      </c>
      <c r="T176" s="351" t="b" cm="1">
        <f t="array" ref="T176">T175</f>
        <v>1</v>
      </c>
      <c r="X176" s="1024"/>
      <c r="Z176" s="1008"/>
      <c r="AB176" s="133" t="s">
        <v>1948</v>
      </c>
      <c r="AC176" s="541" t="s">
        <v>1744</v>
      </c>
      <c r="AD176" s="9" t="s">
        <v>859</v>
      </c>
      <c r="AE176" s="128"/>
      <c r="AF176" s="128"/>
      <c r="AG176" s="128"/>
      <c r="AH176" s="170">
        <f t="shared" si="45"/>
        <v>0</v>
      </c>
      <c r="AI176" s="906"/>
      <c r="AJ176" s="442"/>
      <c r="AK176" s="540"/>
      <c r="AL176" s="540"/>
      <c r="AM176" s="540"/>
      <c r="AN176" s="540"/>
      <c r="AO176" s="540"/>
      <c r="AP176" s="540"/>
      <c r="AQ176" s="540"/>
      <c r="AR176" s="540"/>
      <c r="AS176" s="540"/>
      <c r="AT176" s="540"/>
      <c r="AU176" s="540"/>
      <c r="AV176" s="540"/>
      <c r="AW176" s="540"/>
      <c r="AX176" s="540"/>
      <c r="AY176" s="540"/>
      <c r="AZ176" s="540"/>
      <c r="BA176" s="540"/>
      <c r="BB176" s="540"/>
      <c r="BC176" s="540"/>
      <c r="BD176" s="540"/>
      <c r="BE176" s="540"/>
      <c r="BF176" s="540"/>
      <c r="BG176" s="540"/>
      <c r="BH176" s="540"/>
      <c r="BI176" s="540"/>
      <c r="BJ176" s="540"/>
      <c r="BK176" s="540"/>
      <c r="BL176" s="540"/>
      <c r="BM176" s="540"/>
      <c r="BN176" s="195"/>
      <c r="BO176" s="195"/>
      <c r="BP176" s="195"/>
      <c r="BS176" s="692" t="s">
        <v>1745</v>
      </c>
    </row>
    <row r="177" spans="1:75" ht="14.25" customHeight="1">
      <c r="E177" s="505">
        <v>15</v>
      </c>
      <c r="F177" s="3" t="str" cm="1">
        <f t="array" aca="1" ref="F177" ca="1">OFFSET(E177,-1,1)</f>
        <v>1</v>
      </c>
      <c r="H177" s="276"/>
      <c r="I177" s="276" t="s">
        <v>1949</v>
      </c>
      <c r="K177" s="276" t="s">
        <v>1949</v>
      </c>
      <c r="L177" s="25" t="s">
        <v>1353</v>
      </c>
      <c r="M177" s="25"/>
      <c r="Q177" s="72" t="s">
        <v>2275</v>
      </c>
      <c r="R177" s="75" t="s">
        <v>2275</v>
      </c>
      <c r="T177" s="351" t="b" cm="1">
        <f t="array" ref="T177">T176</f>
        <v>1</v>
      </c>
      <c r="X177" s="1024"/>
      <c r="Z177" s="1008"/>
      <c r="AB177" s="133" t="s">
        <v>1950</v>
      </c>
      <c r="AC177" s="541" t="s">
        <v>1746</v>
      </c>
      <c r="AD177" s="9" t="s">
        <v>859</v>
      </c>
      <c r="AE177" s="128"/>
      <c r="AF177" s="128"/>
      <c r="AG177" s="128"/>
      <c r="AH177" s="170">
        <f t="shared" si="45"/>
        <v>0</v>
      </c>
      <c r="AI177" s="906"/>
      <c r="AJ177" s="442"/>
      <c r="AK177" s="540"/>
      <c r="AL177" s="540"/>
      <c r="AM177" s="540"/>
      <c r="AN177" s="540"/>
      <c r="AO177" s="540"/>
      <c r="AP177" s="540"/>
      <c r="AQ177" s="540"/>
      <c r="AR177" s="540"/>
      <c r="AS177" s="540"/>
      <c r="AT177" s="540"/>
      <c r="AU177" s="540"/>
      <c r="AV177" s="540"/>
      <c r="AW177" s="540"/>
      <c r="AX177" s="540"/>
      <c r="AY177" s="540"/>
      <c r="AZ177" s="540"/>
      <c r="BA177" s="540"/>
      <c r="BB177" s="540"/>
      <c r="BC177" s="540"/>
      <c r="BD177" s="540"/>
      <c r="BE177" s="540"/>
      <c r="BF177" s="540"/>
      <c r="BG177" s="540"/>
      <c r="BH177" s="540"/>
      <c r="BI177" s="540"/>
      <c r="BJ177" s="540"/>
      <c r="BK177" s="540"/>
      <c r="BL177" s="540"/>
      <c r="BM177" s="540"/>
      <c r="BN177" s="195"/>
      <c r="BO177" s="195"/>
      <c r="BP177" s="195"/>
      <c r="BS177" s="692" t="s">
        <v>1747</v>
      </c>
    </row>
    <row r="178" spans="1:75" ht="21.75" customHeight="1">
      <c r="E178" s="505">
        <v>22.5</v>
      </c>
      <c r="F178" s="3" t="str" cm="1">
        <f t="array" aca="1" ref="F178" ca="1">OFFSET(E178,-1,1)</f>
        <v>1</v>
      </c>
      <c r="H178" s="276"/>
      <c r="I178" s="276" t="s">
        <v>1381</v>
      </c>
      <c r="K178" s="276" t="s">
        <v>1381</v>
      </c>
      <c r="L178" s="25" t="s">
        <v>514</v>
      </c>
      <c r="M178" s="25"/>
      <c r="Q178" s="72" t="s">
        <v>2275</v>
      </c>
      <c r="R178" s="75" t="s">
        <v>2275</v>
      </c>
      <c r="T178" s="351" t="b" cm="1">
        <f t="array" ref="T178">T177</f>
        <v>1</v>
      </c>
      <c r="X178" s="1024"/>
      <c r="Z178" s="1008"/>
      <c r="AB178" s="133" t="s">
        <v>1382</v>
      </c>
      <c r="AC178" s="134" t="s">
        <v>1951</v>
      </c>
      <c r="AD178" s="9" t="s">
        <v>859</v>
      </c>
      <c r="AE178" s="128"/>
      <c r="AF178" s="128"/>
      <c r="AG178" s="128"/>
      <c r="AH178" s="170">
        <f t="shared" si="45"/>
        <v>0</v>
      </c>
      <c r="AI178" s="906"/>
      <c r="AJ178" s="442"/>
      <c r="AK178" s="540"/>
      <c r="AL178" s="540"/>
      <c r="AM178" s="540"/>
      <c r="AN178" s="540"/>
      <c r="AO178" s="540"/>
      <c r="AP178" s="540"/>
      <c r="AQ178" s="540"/>
      <c r="AR178" s="540"/>
      <c r="AS178" s="540"/>
      <c r="AT178" s="540"/>
      <c r="AU178" s="540"/>
      <c r="AV178" s="540"/>
      <c r="AW178" s="540"/>
      <c r="AX178" s="540"/>
      <c r="AY178" s="540"/>
      <c r="AZ178" s="540"/>
      <c r="BA178" s="540"/>
      <c r="BB178" s="540"/>
      <c r="BC178" s="540"/>
      <c r="BD178" s="540"/>
      <c r="BE178" s="540"/>
      <c r="BF178" s="540"/>
      <c r="BG178" s="540"/>
      <c r="BH178" s="540"/>
      <c r="BI178" s="540"/>
      <c r="BJ178" s="540"/>
      <c r="BK178" s="540"/>
      <c r="BL178" s="540"/>
      <c r="BM178" s="540"/>
      <c r="BN178" s="195"/>
      <c r="BO178" s="195"/>
      <c r="BP178" s="195"/>
      <c r="BS178" s="693" t="s">
        <v>1772</v>
      </c>
    </row>
    <row r="179" spans="1:75" ht="21.75" customHeight="1">
      <c r="E179" s="505">
        <v>22.5</v>
      </c>
      <c r="F179" s="3" t="str" cm="1">
        <f t="array" aca="1" ref="F179" ca="1">OFFSET(E179,-1,1)</f>
        <v>1</v>
      </c>
      <c r="H179" s="276"/>
      <c r="I179" s="276" t="s">
        <v>1385</v>
      </c>
      <c r="K179" s="276" t="s">
        <v>1385</v>
      </c>
      <c r="L179" s="25" t="s">
        <v>518</v>
      </c>
      <c r="M179" s="25"/>
      <c r="Q179" s="72" t="s">
        <v>2275</v>
      </c>
      <c r="R179" s="75" t="s">
        <v>2275</v>
      </c>
      <c r="T179" s="351" t="b" cm="1">
        <f t="array" ref="T179">T178</f>
        <v>1</v>
      </c>
      <c r="X179" s="1024"/>
      <c r="Z179" s="1008"/>
      <c r="AB179" s="133" t="s">
        <v>1386</v>
      </c>
      <c r="AC179" s="134" t="s">
        <v>1952</v>
      </c>
      <c r="AD179" s="9" t="s">
        <v>859</v>
      </c>
      <c r="AE179" s="170">
        <f ca="1">AE180+AE181</f>
        <v>0</v>
      </c>
      <c r="AF179" s="170">
        <f ca="1">AF180+AF181</f>
        <v>0</v>
      </c>
      <c r="AG179" s="170">
        <f ca="1">AG180+AG181</f>
        <v>0</v>
      </c>
      <c r="AH179" s="170">
        <f t="shared" ca="1" si="45"/>
        <v>0</v>
      </c>
      <c r="AI179" s="906">
        <f ca="1">AI180+AI181</f>
        <v>0</v>
      </c>
      <c r="AJ179" s="442"/>
      <c r="AK179" s="540"/>
      <c r="AL179" s="540"/>
      <c r="AM179" s="540"/>
      <c r="AN179" s="540"/>
      <c r="AO179" s="540"/>
      <c r="AP179" s="540"/>
      <c r="AQ179" s="540"/>
      <c r="AR179" s="540"/>
      <c r="AS179" s="540"/>
      <c r="AT179" s="540"/>
      <c r="AU179" s="540"/>
      <c r="AV179" s="540"/>
      <c r="AW179" s="540"/>
      <c r="AX179" s="540"/>
      <c r="AY179" s="540"/>
      <c r="AZ179" s="540"/>
      <c r="BA179" s="540"/>
      <c r="BB179" s="540"/>
      <c r="BC179" s="540"/>
      <c r="BD179" s="540"/>
      <c r="BE179" s="540"/>
      <c r="BF179" s="540"/>
      <c r="BG179" s="540"/>
      <c r="BH179" s="540"/>
      <c r="BI179" s="540"/>
      <c r="BJ179" s="540"/>
      <c r="BK179" s="540"/>
      <c r="BL179" s="540"/>
      <c r="BM179" s="540"/>
      <c r="BN179" s="195"/>
      <c r="BO179" s="195"/>
      <c r="BP179" s="195"/>
      <c r="BS179" s="693" t="s">
        <v>1953</v>
      </c>
    </row>
    <row r="180" spans="1:75" ht="14.25" customHeight="1">
      <c r="E180" s="505">
        <v>15</v>
      </c>
      <c r="F180" s="3" t="str" cm="1">
        <f t="array" aca="1" ref="F180" ca="1">OFFSET(E180,-1,1)</f>
        <v>1</v>
      </c>
      <c r="G180" s="252" t="s">
        <v>1135</v>
      </c>
      <c r="H180" s="276"/>
      <c r="I180" s="276" t="s">
        <v>1529</v>
      </c>
      <c r="K180" s="276" t="s">
        <v>1529</v>
      </c>
      <c r="L180" s="25" t="s">
        <v>1405</v>
      </c>
      <c r="M180" s="25"/>
      <c r="Q180" s="72" t="s">
        <v>2275</v>
      </c>
      <c r="R180" s="75" t="s">
        <v>2275</v>
      </c>
      <c r="T180" s="351" t="b" cm="1">
        <f t="array" ref="T180">T179</f>
        <v>1</v>
      </c>
      <c r="X180" s="1024"/>
      <c r="Z180" s="1008"/>
      <c r="AB180" s="133" t="s">
        <v>1954</v>
      </c>
      <c r="AC180" s="541" t="s">
        <v>1775</v>
      </c>
      <c r="AD180" s="9" t="s">
        <v>859</v>
      </c>
      <c r="AE180" s="128"/>
      <c r="AF180" s="128"/>
      <c r="AG180" s="128"/>
      <c r="AH180" s="170">
        <f t="shared" si="45"/>
        <v>0</v>
      </c>
      <c r="AI180" s="906"/>
      <c r="AJ180" s="442"/>
      <c r="AK180" s="540"/>
      <c r="AL180" s="540"/>
      <c r="AM180" s="540"/>
      <c r="AN180" s="540"/>
      <c r="AO180" s="540"/>
      <c r="AP180" s="540"/>
      <c r="AQ180" s="540"/>
      <c r="AR180" s="540"/>
      <c r="AS180" s="540"/>
      <c r="AT180" s="540"/>
      <c r="AU180" s="540"/>
      <c r="AV180" s="540"/>
      <c r="AW180" s="540"/>
      <c r="AX180" s="540"/>
      <c r="AY180" s="540"/>
      <c r="AZ180" s="540"/>
      <c r="BA180" s="540"/>
      <c r="BB180" s="540"/>
      <c r="BC180" s="540"/>
      <c r="BD180" s="540"/>
      <c r="BE180" s="540"/>
      <c r="BF180" s="540"/>
      <c r="BG180" s="540"/>
      <c r="BH180" s="540"/>
      <c r="BI180" s="540"/>
      <c r="BJ180" s="540"/>
      <c r="BK180" s="540"/>
      <c r="BL180" s="540"/>
      <c r="BM180" s="540"/>
      <c r="BN180" s="195"/>
      <c r="BO180" s="599" t="str">
        <f ca="1">IF(IFERROR(INDEX(ФОТ!$K$26:$L$89,MATCH($F180&amp;"1komm",ФОТ!$K$26:$K$89,0),2),"")=0,"",IFERROR(INDEX(ФОТ!$K$26:$L$89,MATCH($F180&amp;"1komm",ФОТ!$K$26:$K$89,0),2),""))</f>
        <v>П. 17 Методических указаний ФСТ России № 1746-э.</v>
      </c>
      <c r="BP180" s="195"/>
      <c r="BS180" s="692" t="s">
        <v>1776</v>
      </c>
    </row>
    <row r="181" spans="1:75" ht="21.75" customHeight="1">
      <c r="E181" s="505">
        <v>22.5</v>
      </c>
      <c r="F181" s="3" t="str" cm="1">
        <f t="array" aca="1" ref="F181" ca="1">OFFSET(E181,-1,1)</f>
        <v>1</v>
      </c>
      <c r="G181" s="252" t="s">
        <v>1147</v>
      </c>
      <c r="H181" s="276"/>
      <c r="I181" s="276" t="s">
        <v>1533</v>
      </c>
      <c r="K181" s="276" t="s">
        <v>1533</v>
      </c>
      <c r="L181" s="25" t="s">
        <v>1406</v>
      </c>
      <c r="M181" s="25"/>
      <c r="Q181" s="72" t="s">
        <v>2275</v>
      </c>
      <c r="R181" s="75" t="s">
        <v>2275</v>
      </c>
      <c r="T181" s="351" t="b" cm="1">
        <f t="array" ref="T181">T180</f>
        <v>1</v>
      </c>
      <c r="X181" s="1024"/>
      <c r="Z181" s="1008"/>
      <c r="AB181" s="133" t="s">
        <v>1955</v>
      </c>
      <c r="AC181" s="541" t="s">
        <v>1956</v>
      </c>
      <c r="AD181" s="9" t="s">
        <v>859</v>
      </c>
      <c r="AE181" s="128">
        <f ca="1">AE180*SUMIFS(INDEX(Сценарии!$AE$25:$BF$82,,MATCH(AE$8,Сценарии!$AE$8:$BF$8,0)),Сценарии!$F$25:$F$82,$F181,Сценарии!$G$25:$G$82,"СВФОТ")/100</f>
        <v>0</v>
      </c>
      <c r="AF181" s="128">
        <f ca="1">AF180*SUMIFS(INDEX(Сценарии!$AE$25:$BF$82,,MATCH(AF$8,Сценарии!$AE$8:$BF$8,0)),Сценарии!$F$25:$F$82,$F181,Сценарии!$G$25:$G$82,"СВФОТ")/100</f>
        <v>0</v>
      </c>
      <c r="AG181" s="128">
        <f ca="1">AG180*SUMIFS(INDEX(Сценарии!$AE$25:$BF$82,,MATCH(AG$8,Сценарии!$AE$8:$BF$8,0)),Сценарии!$F$25:$F$82,$F181,Сценарии!$G$25:$G$82,"СВФОТ")/100</f>
        <v>0</v>
      </c>
      <c r="AH181" s="170">
        <f t="shared" ca="1" si="45"/>
        <v>0</v>
      </c>
      <c r="AI181" s="906">
        <f ca="1">AI180*SUMIFS(INDEX(Сценарии!$AE$25:$BF$82,,MATCH(AG$8,Сценарии!$AE$8:$BF$8,0)),Сценарии!$F$25:$F$82,$F181,Сценарии!$G$25:$G$82,"СВФОТ")/100</f>
        <v>0</v>
      </c>
      <c r="AJ181" s="442"/>
      <c r="AK181" s="540"/>
      <c r="AL181" s="540"/>
      <c r="AM181" s="540"/>
      <c r="AN181" s="540"/>
      <c r="AO181" s="540"/>
      <c r="AP181" s="540"/>
      <c r="AQ181" s="540"/>
      <c r="AR181" s="540"/>
      <c r="AS181" s="540"/>
      <c r="AT181" s="540"/>
      <c r="AU181" s="540"/>
      <c r="AV181" s="540"/>
      <c r="AW181" s="540"/>
      <c r="AX181" s="540"/>
      <c r="AY181" s="540"/>
      <c r="AZ181" s="540"/>
      <c r="BA181" s="540"/>
      <c r="BB181" s="540"/>
      <c r="BC181" s="540"/>
      <c r="BD181" s="540"/>
      <c r="BE181" s="540"/>
      <c r="BF181" s="540"/>
      <c r="BG181" s="540"/>
      <c r="BH181" s="540"/>
      <c r="BI181" s="540"/>
      <c r="BJ181" s="540"/>
      <c r="BK181" s="540"/>
      <c r="BL181" s="540"/>
      <c r="BM181" s="540"/>
      <c r="BN181" s="195"/>
      <c r="BO181" s="599" t="str">
        <f ca="1">IF(IFERROR(INDEX(ФОТ!$K$26:$L$89,MATCH($F181&amp;"2komm",ФОТ!$K$26:$K$89,0),2),"")=0,"",IFERROR(INDEX(ФОТ!$K$26:$L$89,MATCH($F181&amp;"2komm",ФОТ!$K$26:$K$89,0),2),""))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BP181" s="195"/>
      <c r="BS181" s="692" t="s">
        <v>1778</v>
      </c>
    </row>
    <row r="182" spans="1:75" ht="14.25" customHeight="1">
      <c r="E182" s="505">
        <v>15</v>
      </c>
      <c r="F182" s="3" t="str" cm="1">
        <f t="array" aca="1" ref="F182" ca="1">OFFSET(E182,-1,1)</f>
        <v>1</v>
      </c>
      <c r="H182" s="276"/>
      <c r="I182" s="276" t="s">
        <v>1544</v>
      </c>
      <c r="K182" s="276" t="s">
        <v>1544</v>
      </c>
      <c r="L182" s="25" t="s">
        <v>1780</v>
      </c>
      <c r="M182" s="25"/>
      <c r="Q182" s="72" t="s">
        <v>2275</v>
      </c>
      <c r="R182" s="75" t="s">
        <v>2275</v>
      </c>
      <c r="T182" s="351" t="b" cm="1">
        <f t="array" ref="T182">T181</f>
        <v>1</v>
      </c>
      <c r="X182" s="1024"/>
      <c r="Z182" s="1008"/>
      <c r="AB182" s="133" t="s">
        <v>1754</v>
      </c>
      <c r="AC182" s="134" t="s">
        <v>1957</v>
      </c>
      <c r="AD182" s="9" t="s">
        <v>859</v>
      </c>
      <c r="AE182" s="128"/>
      <c r="AF182" s="128"/>
      <c r="AG182" s="128"/>
      <c r="AH182" s="170">
        <f t="shared" si="45"/>
        <v>0</v>
      </c>
      <c r="AI182" s="906"/>
      <c r="AJ182" s="442"/>
      <c r="AK182" s="540"/>
      <c r="AL182" s="540"/>
      <c r="AM182" s="540"/>
      <c r="AN182" s="540"/>
      <c r="AO182" s="540"/>
      <c r="AP182" s="540"/>
      <c r="AQ182" s="540"/>
      <c r="AR182" s="540"/>
      <c r="AS182" s="540"/>
      <c r="AT182" s="540"/>
      <c r="AU182" s="540"/>
      <c r="AV182" s="540"/>
      <c r="AW182" s="540"/>
      <c r="AX182" s="540"/>
      <c r="AY182" s="540"/>
      <c r="AZ182" s="540"/>
      <c r="BA182" s="540"/>
      <c r="BB182" s="540"/>
      <c r="BC182" s="540"/>
      <c r="BD182" s="540"/>
      <c r="BE182" s="540"/>
      <c r="BF182" s="540"/>
      <c r="BG182" s="540"/>
      <c r="BH182" s="540"/>
      <c r="BI182" s="540"/>
      <c r="BJ182" s="540"/>
      <c r="BK182" s="540"/>
      <c r="BL182" s="540"/>
      <c r="BM182" s="540"/>
      <c r="BN182" s="195"/>
      <c r="BO182" s="195"/>
      <c r="BP182" s="195"/>
      <c r="BS182" s="693" t="s">
        <v>1783</v>
      </c>
    </row>
    <row r="183" spans="1:75" ht="14.25" customHeight="1">
      <c r="E183" s="505">
        <v>15</v>
      </c>
      <c r="F183" s="3" t="str" cm="1">
        <f t="array" aca="1" ref="F183" ca="1">OFFSET(E183,-1,1)</f>
        <v>1</v>
      </c>
      <c r="H183" s="276"/>
      <c r="I183" s="276" t="s">
        <v>1548</v>
      </c>
      <c r="K183" s="276" t="s">
        <v>1548</v>
      </c>
      <c r="L183" s="25" t="s">
        <v>1784</v>
      </c>
      <c r="Q183" s="72" t="s">
        <v>2275</v>
      </c>
      <c r="R183" s="75" t="s">
        <v>2275</v>
      </c>
      <c r="T183" s="351" t="b" cm="1">
        <f t="array" ref="T183">T182</f>
        <v>1</v>
      </c>
      <c r="X183" s="1024"/>
      <c r="Z183" s="1008"/>
      <c r="AB183" s="133" t="s">
        <v>1756</v>
      </c>
      <c r="AC183" s="134" t="s">
        <v>1958</v>
      </c>
      <c r="AD183" s="7" t="s">
        <v>859</v>
      </c>
      <c r="AE183" s="170">
        <f>SUM(AE184:AE190)</f>
        <v>0</v>
      </c>
      <c r="AF183" s="170">
        <f>SUM(AF184:AF190)</f>
        <v>0</v>
      </c>
      <c r="AG183" s="170">
        <f>SUM(AG184:AG190)</f>
        <v>0</v>
      </c>
      <c r="AH183" s="170">
        <f t="shared" si="45"/>
        <v>0</v>
      </c>
      <c r="AI183" s="906">
        <f>SUM(AI184:AI190)</f>
        <v>0</v>
      </c>
      <c r="AJ183" s="442"/>
      <c r="AK183" s="540"/>
      <c r="AL183" s="540"/>
      <c r="AM183" s="540"/>
      <c r="AN183" s="540"/>
      <c r="AO183" s="540"/>
      <c r="AP183" s="540"/>
      <c r="AQ183" s="540"/>
      <c r="AR183" s="540"/>
      <c r="AS183" s="540"/>
      <c r="AT183" s="540"/>
      <c r="AU183" s="540"/>
      <c r="AV183" s="540"/>
      <c r="AW183" s="540"/>
      <c r="AX183" s="540"/>
      <c r="AY183" s="540"/>
      <c r="AZ183" s="540"/>
      <c r="BA183" s="540"/>
      <c r="BB183" s="540"/>
      <c r="BC183" s="540"/>
      <c r="BD183" s="540"/>
      <c r="BE183" s="540"/>
      <c r="BF183" s="540"/>
      <c r="BG183" s="540"/>
      <c r="BH183" s="540"/>
      <c r="BI183" s="540"/>
      <c r="BJ183" s="540"/>
      <c r="BK183" s="540"/>
      <c r="BL183" s="540"/>
      <c r="BM183" s="540"/>
      <c r="BN183" s="195"/>
      <c r="BO183" s="195"/>
      <c r="BP183" s="195"/>
      <c r="BS183" s="693" t="s">
        <v>1959</v>
      </c>
    </row>
    <row r="184" spans="1:75" ht="14.25" customHeight="1">
      <c r="E184" s="505">
        <v>15</v>
      </c>
      <c r="F184" s="3" t="str" cm="1">
        <f t="array" aca="1" ref="F184" ca="1">OFFSET(E184,-1,1)</f>
        <v>1</v>
      </c>
      <c r="H184" s="276"/>
      <c r="I184" s="276" t="s">
        <v>1960</v>
      </c>
      <c r="K184" s="276" t="s">
        <v>1960</v>
      </c>
      <c r="L184" s="25" t="s">
        <v>1784</v>
      </c>
      <c r="M184" s="25" t="s">
        <v>1792</v>
      </c>
      <c r="Q184" s="72" t="s">
        <v>2275</v>
      </c>
      <c r="R184" s="75" t="s">
        <v>2275</v>
      </c>
      <c r="T184" s="351" t="b" cm="1">
        <f t="array" ref="T184">T183</f>
        <v>1</v>
      </c>
      <c r="X184" s="1024"/>
      <c r="Z184" s="1008"/>
      <c r="AB184" s="133" t="s">
        <v>1961</v>
      </c>
      <c r="AC184" s="541" t="s">
        <v>1962</v>
      </c>
      <c r="AD184" s="7" t="s">
        <v>859</v>
      </c>
      <c r="AE184" s="128"/>
      <c r="AF184" s="128"/>
      <c r="AG184" s="128"/>
      <c r="AH184" s="170">
        <f t="shared" si="45"/>
        <v>0</v>
      </c>
      <c r="AI184" s="906"/>
      <c r="AJ184" s="442"/>
      <c r="AK184" s="540"/>
      <c r="AL184" s="540"/>
      <c r="AM184" s="540"/>
      <c r="AN184" s="540"/>
      <c r="AO184" s="540"/>
      <c r="AP184" s="540"/>
      <c r="AQ184" s="540"/>
      <c r="AR184" s="540"/>
      <c r="AS184" s="540"/>
      <c r="AT184" s="540"/>
      <c r="AU184" s="540"/>
      <c r="AV184" s="540"/>
      <c r="AW184" s="540"/>
      <c r="AX184" s="540"/>
      <c r="AY184" s="540"/>
      <c r="AZ184" s="540"/>
      <c r="BA184" s="540"/>
      <c r="BB184" s="540"/>
      <c r="BC184" s="540"/>
      <c r="BD184" s="540"/>
      <c r="BE184" s="540"/>
      <c r="BF184" s="540"/>
      <c r="BG184" s="540"/>
      <c r="BH184" s="540"/>
      <c r="BI184" s="540"/>
      <c r="BJ184" s="540"/>
      <c r="BK184" s="540"/>
      <c r="BL184" s="540"/>
      <c r="BM184" s="540"/>
      <c r="BN184" s="195"/>
      <c r="BO184" s="195"/>
      <c r="BP184" s="195"/>
      <c r="BS184" s="692" t="s">
        <v>1795</v>
      </c>
    </row>
    <row r="185" spans="1:75" ht="21.75" customHeight="1">
      <c r="E185" s="505">
        <v>22.5</v>
      </c>
      <c r="F185" s="3" t="str" cm="1">
        <f t="array" aca="1" ref="F185" ca="1">OFFSET(E185,-1,1)</f>
        <v>1</v>
      </c>
      <c r="H185" s="276"/>
      <c r="I185" s="276" t="s">
        <v>1963</v>
      </c>
      <c r="K185" s="276" t="s">
        <v>1963</v>
      </c>
      <c r="L185" s="25" t="s">
        <v>1784</v>
      </c>
      <c r="M185" s="25" t="s">
        <v>1788</v>
      </c>
      <c r="Q185" s="72" t="s">
        <v>2275</v>
      </c>
      <c r="R185" s="75" t="s">
        <v>2275</v>
      </c>
      <c r="T185" s="351" t="b" cm="1">
        <f t="array" ref="T185">T184</f>
        <v>1</v>
      </c>
      <c r="X185" s="1024"/>
      <c r="Z185" s="1008"/>
      <c r="AB185" s="133" t="s">
        <v>1964</v>
      </c>
      <c r="AC185" s="541" t="s">
        <v>1965</v>
      </c>
      <c r="AD185" s="7" t="s">
        <v>859</v>
      </c>
      <c r="AE185" s="128"/>
      <c r="AF185" s="128"/>
      <c r="AG185" s="128"/>
      <c r="AH185" s="170">
        <f t="shared" si="45"/>
        <v>0</v>
      </c>
      <c r="AI185" s="906"/>
      <c r="AJ185" s="442"/>
      <c r="AK185" s="540"/>
      <c r="AL185" s="540"/>
      <c r="AM185" s="540"/>
      <c r="AN185" s="540"/>
      <c r="AO185" s="540"/>
      <c r="AP185" s="540"/>
      <c r="AQ185" s="540"/>
      <c r="AR185" s="540"/>
      <c r="AS185" s="540"/>
      <c r="AT185" s="540"/>
      <c r="AU185" s="540"/>
      <c r="AV185" s="540"/>
      <c r="AW185" s="540"/>
      <c r="AX185" s="540"/>
      <c r="AY185" s="540"/>
      <c r="AZ185" s="540"/>
      <c r="BA185" s="540"/>
      <c r="BB185" s="540"/>
      <c r="BC185" s="540"/>
      <c r="BD185" s="540"/>
      <c r="BE185" s="540"/>
      <c r="BF185" s="540"/>
      <c r="BG185" s="540"/>
      <c r="BH185" s="540"/>
      <c r="BI185" s="540"/>
      <c r="BJ185" s="540"/>
      <c r="BK185" s="540"/>
      <c r="BL185" s="540"/>
      <c r="BM185" s="540"/>
      <c r="BN185" s="195"/>
      <c r="BO185" s="195"/>
      <c r="BP185" s="195"/>
      <c r="BS185" s="694" t="s">
        <v>1966</v>
      </c>
    </row>
    <row r="186" spans="1:75" ht="21.75" customHeight="1">
      <c r="E186" s="505">
        <v>22.5</v>
      </c>
      <c r="F186" s="3" t="str" cm="1">
        <f t="array" aca="1" ref="F186" ca="1">OFFSET(E186,-1,1)</f>
        <v>1</v>
      </c>
      <c r="H186" s="276"/>
      <c r="I186" s="276" t="s">
        <v>1967</v>
      </c>
      <c r="K186" s="276" t="s">
        <v>1967</v>
      </c>
      <c r="Q186" s="72" t="s">
        <v>2275</v>
      </c>
      <c r="R186" s="75" t="s">
        <v>2275</v>
      </c>
      <c r="T186" s="351" t="b" cm="1">
        <f t="array" ref="T186">T185</f>
        <v>1</v>
      </c>
      <c r="X186" s="1024"/>
      <c r="Z186" s="1008"/>
      <c r="AB186" s="133" t="s">
        <v>1968</v>
      </c>
      <c r="AC186" s="542" t="s">
        <v>1969</v>
      </c>
      <c r="AD186" s="7" t="s">
        <v>859</v>
      </c>
      <c r="AE186" s="128"/>
      <c r="AF186" s="128"/>
      <c r="AG186" s="128"/>
      <c r="AH186" s="170">
        <f t="shared" si="45"/>
        <v>0</v>
      </c>
      <c r="AI186" s="906"/>
      <c r="AJ186" s="442"/>
      <c r="AK186" s="540"/>
      <c r="AL186" s="540"/>
      <c r="AM186" s="540"/>
      <c r="AN186" s="540"/>
      <c r="AO186" s="540"/>
      <c r="AP186" s="540"/>
      <c r="AQ186" s="540"/>
      <c r="AR186" s="540"/>
      <c r="AS186" s="540"/>
      <c r="AT186" s="540"/>
      <c r="AU186" s="540"/>
      <c r="AV186" s="540"/>
      <c r="AW186" s="540"/>
      <c r="AX186" s="540"/>
      <c r="AY186" s="540"/>
      <c r="AZ186" s="540"/>
      <c r="BA186" s="540"/>
      <c r="BB186" s="540"/>
      <c r="BC186" s="540"/>
      <c r="BD186" s="540"/>
      <c r="BE186" s="540"/>
      <c r="BF186" s="540"/>
      <c r="BG186" s="540"/>
      <c r="BH186" s="540"/>
      <c r="BI186" s="540"/>
      <c r="BJ186" s="540"/>
      <c r="BK186" s="540"/>
      <c r="BL186" s="540"/>
      <c r="BM186" s="540"/>
      <c r="BN186" s="195"/>
      <c r="BO186" s="195"/>
      <c r="BP186" s="195"/>
      <c r="BS186" s="694" t="s">
        <v>1970</v>
      </c>
    </row>
    <row r="187" spans="1:75" ht="21.75" customHeight="1">
      <c r="E187" s="505">
        <v>22.5</v>
      </c>
      <c r="F187" s="3" t="str" cm="1">
        <f t="array" aca="1" ref="F187" ca="1">OFFSET(E187,-1,1)</f>
        <v>1</v>
      </c>
      <c r="H187" s="276"/>
      <c r="I187" s="276" t="s">
        <v>1971</v>
      </c>
      <c r="K187" s="276" t="s">
        <v>1971</v>
      </c>
      <c r="L187" s="25"/>
      <c r="Q187" s="72" t="s">
        <v>2275</v>
      </c>
      <c r="R187" s="75" t="s">
        <v>2275</v>
      </c>
      <c r="T187" s="351" t="b" cm="1">
        <f t="array" ref="T187">T186</f>
        <v>1</v>
      </c>
      <c r="X187" s="1024"/>
      <c r="Z187" s="1008"/>
      <c r="AB187" s="133" t="s">
        <v>1972</v>
      </c>
      <c r="AC187" s="542" t="s">
        <v>1973</v>
      </c>
      <c r="AD187" s="7" t="s">
        <v>859</v>
      </c>
      <c r="AE187" s="128"/>
      <c r="AF187" s="128"/>
      <c r="AG187" s="128"/>
      <c r="AH187" s="170">
        <f t="shared" si="45"/>
        <v>0</v>
      </c>
      <c r="AI187" s="906"/>
      <c r="AJ187" s="442"/>
      <c r="AK187" s="540"/>
      <c r="AL187" s="540"/>
      <c r="AM187" s="540"/>
      <c r="AN187" s="540"/>
      <c r="AO187" s="540"/>
      <c r="AP187" s="540"/>
      <c r="AQ187" s="540"/>
      <c r="AR187" s="540"/>
      <c r="AS187" s="540"/>
      <c r="AT187" s="540"/>
      <c r="AU187" s="540"/>
      <c r="AV187" s="540"/>
      <c r="AW187" s="540"/>
      <c r="AX187" s="540"/>
      <c r="AY187" s="540"/>
      <c r="AZ187" s="540"/>
      <c r="BA187" s="540"/>
      <c r="BB187" s="540"/>
      <c r="BC187" s="540"/>
      <c r="BD187" s="540"/>
      <c r="BE187" s="540"/>
      <c r="BF187" s="540"/>
      <c r="BG187" s="540"/>
      <c r="BH187" s="540"/>
      <c r="BI187" s="540"/>
      <c r="BJ187" s="540"/>
      <c r="BK187" s="540"/>
      <c r="BL187" s="540"/>
      <c r="BM187" s="540"/>
      <c r="BN187" s="195"/>
      <c r="BO187" s="195"/>
      <c r="BP187" s="195"/>
      <c r="BS187" s="694" t="s">
        <v>1974</v>
      </c>
    </row>
    <row r="188" spans="1:75" ht="43.5" customHeight="1">
      <c r="E188" s="505">
        <v>45</v>
      </c>
      <c r="F188" s="3" t="str" cm="1">
        <f t="array" aca="1" ref="F188" ca="1">OFFSET(E188,-1,1)</f>
        <v>1</v>
      </c>
      <c r="H188" s="276"/>
      <c r="I188" s="276" t="s">
        <v>1975</v>
      </c>
      <c r="K188" s="276" t="s">
        <v>1975</v>
      </c>
      <c r="L188" s="25" t="s">
        <v>1784</v>
      </c>
      <c r="M188" s="25" t="s">
        <v>1796</v>
      </c>
      <c r="Q188" s="72" t="s">
        <v>2275</v>
      </c>
      <c r="R188" s="75" t="s">
        <v>2275</v>
      </c>
      <c r="T188" s="351" t="b" cm="1">
        <f t="array" ref="T188">T187</f>
        <v>1</v>
      </c>
      <c r="X188" s="1024"/>
      <c r="Z188" s="1008"/>
      <c r="AB188" s="133" t="s">
        <v>1976</v>
      </c>
      <c r="AC188" s="541" t="s">
        <v>1977</v>
      </c>
      <c r="AD188" s="7" t="s">
        <v>859</v>
      </c>
      <c r="AE188" s="128"/>
      <c r="AF188" s="128"/>
      <c r="AG188" s="128"/>
      <c r="AH188" s="170">
        <f t="shared" si="45"/>
        <v>0</v>
      </c>
      <c r="AI188" s="906"/>
      <c r="AJ188" s="442"/>
      <c r="AK188" s="540"/>
      <c r="AL188" s="540"/>
      <c r="AM188" s="540"/>
      <c r="AN188" s="540"/>
      <c r="AO188" s="540"/>
      <c r="AP188" s="540"/>
      <c r="AQ188" s="540"/>
      <c r="AR188" s="540"/>
      <c r="AS188" s="540"/>
      <c r="AT188" s="540"/>
      <c r="AU188" s="540"/>
      <c r="AV188" s="540"/>
      <c r="AW188" s="540"/>
      <c r="AX188" s="540"/>
      <c r="AY188" s="540"/>
      <c r="AZ188" s="540"/>
      <c r="BA188" s="540"/>
      <c r="BB188" s="540"/>
      <c r="BC188" s="540"/>
      <c r="BD188" s="540"/>
      <c r="BE188" s="540"/>
      <c r="BF188" s="540"/>
      <c r="BG188" s="540"/>
      <c r="BH188" s="540"/>
      <c r="BI188" s="540"/>
      <c r="BJ188" s="540"/>
      <c r="BK188" s="540"/>
      <c r="BL188" s="540"/>
      <c r="BM188" s="540"/>
      <c r="BN188" s="195"/>
      <c r="BO188" s="195"/>
      <c r="BP188" s="195"/>
      <c r="BS188" s="694" t="s">
        <v>1799</v>
      </c>
    </row>
    <row r="189" spans="1:75" ht="14.25" customHeight="1">
      <c r="E189" s="505">
        <v>15</v>
      </c>
      <c r="F189" s="3" t="str" cm="1">
        <f t="array" aca="1" ref="F189" ca="1">OFFSET(E189,-1,1)</f>
        <v>1</v>
      </c>
      <c r="H189" s="276"/>
      <c r="I189" s="276" t="s">
        <v>1978</v>
      </c>
      <c r="K189" s="276" t="s">
        <v>1978</v>
      </c>
      <c r="L189" s="25" t="s">
        <v>1784</v>
      </c>
      <c r="M189" s="25" t="s">
        <v>1800</v>
      </c>
      <c r="Q189" s="72" t="s">
        <v>2275</v>
      </c>
      <c r="R189" s="75" t="s">
        <v>2275</v>
      </c>
      <c r="T189" s="351" t="b" cm="1">
        <f t="array" ref="T189">T188</f>
        <v>1</v>
      </c>
      <c r="X189" s="1024"/>
      <c r="Z189" s="1008"/>
      <c r="AB189" s="133" t="s">
        <v>1979</v>
      </c>
      <c r="AC189" s="541" t="s">
        <v>1802</v>
      </c>
      <c r="AD189" s="7" t="s">
        <v>859</v>
      </c>
      <c r="AE189" s="128"/>
      <c r="AF189" s="128"/>
      <c r="AG189" s="128"/>
      <c r="AH189" s="170">
        <f t="shared" si="45"/>
        <v>0</v>
      </c>
      <c r="AI189" s="906"/>
      <c r="AJ189" s="442"/>
      <c r="AK189" s="540"/>
      <c r="AL189" s="540"/>
      <c r="AM189" s="540"/>
      <c r="AN189" s="540"/>
      <c r="AO189" s="540"/>
      <c r="AP189" s="540"/>
      <c r="AQ189" s="540"/>
      <c r="AR189" s="540"/>
      <c r="AS189" s="540"/>
      <c r="AT189" s="540"/>
      <c r="AU189" s="540"/>
      <c r="AV189" s="540"/>
      <c r="AW189" s="540"/>
      <c r="AX189" s="540"/>
      <c r="AY189" s="540"/>
      <c r="AZ189" s="540"/>
      <c r="BA189" s="540"/>
      <c r="BB189" s="540"/>
      <c r="BC189" s="540"/>
      <c r="BD189" s="540"/>
      <c r="BE189" s="540"/>
      <c r="BF189" s="540"/>
      <c r="BG189" s="540"/>
      <c r="BH189" s="540"/>
      <c r="BI189" s="540"/>
      <c r="BJ189" s="540"/>
      <c r="BK189" s="540"/>
      <c r="BL189" s="540"/>
      <c r="BM189" s="540"/>
      <c r="BN189" s="195"/>
      <c r="BO189" s="195"/>
      <c r="BP189" s="195"/>
      <c r="BS189" s="694" t="s">
        <v>1803</v>
      </c>
    </row>
    <row r="190" spans="1:75" ht="14.25" customHeight="1">
      <c r="E190" s="505">
        <v>15</v>
      </c>
      <c r="F190" s="3" t="str" cm="1">
        <f t="array" aca="1" ref="F190" ca="1">OFFSET(E190,-1,1)</f>
        <v>1</v>
      </c>
      <c r="H190" s="276"/>
      <c r="I190" s="276" t="s">
        <v>1980</v>
      </c>
      <c r="K190" s="276" t="s">
        <v>1980</v>
      </c>
      <c r="L190" s="25"/>
      <c r="M190" s="25"/>
      <c r="Q190" s="72" t="s">
        <v>2275</v>
      </c>
      <c r="R190" s="75" t="s">
        <v>2275</v>
      </c>
      <c r="T190" s="351" t="b" cm="1">
        <f t="array" ref="T190">T189</f>
        <v>1</v>
      </c>
      <c r="X190" s="1024"/>
      <c r="Z190" s="1008"/>
      <c r="AB190" s="133" t="s">
        <v>1981</v>
      </c>
      <c r="AC190" s="541" t="s">
        <v>1982</v>
      </c>
      <c r="AD190" s="7" t="s">
        <v>859</v>
      </c>
      <c r="AE190" s="128"/>
      <c r="AF190" s="128"/>
      <c r="AG190" s="128"/>
      <c r="AH190" s="170">
        <f t="shared" si="45"/>
        <v>0</v>
      </c>
      <c r="AI190" s="906"/>
      <c r="AJ190" s="442"/>
      <c r="AK190" s="540"/>
      <c r="AL190" s="540"/>
      <c r="AM190" s="540"/>
      <c r="AN190" s="540"/>
      <c r="AO190" s="540"/>
      <c r="AP190" s="540"/>
      <c r="AQ190" s="540"/>
      <c r="AR190" s="540"/>
      <c r="AS190" s="540"/>
      <c r="AT190" s="540"/>
      <c r="AU190" s="540"/>
      <c r="AV190" s="540"/>
      <c r="AW190" s="540"/>
      <c r="AX190" s="540"/>
      <c r="AY190" s="540"/>
      <c r="AZ190" s="540"/>
      <c r="BA190" s="540"/>
      <c r="BB190" s="540"/>
      <c r="BC190" s="540"/>
      <c r="BD190" s="540"/>
      <c r="BE190" s="540"/>
      <c r="BF190" s="540"/>
      <c r="BG190" s="540"/>
      <c r="BH190" s="540"/>
      <c r="BI190" s="540"/>
      <c r="BJ190" s="540"/>
      <c r="BK190" s="540"/>
      <c r="BL190" s="540"/>
      <c r="BM190" s="540"/>
      <c r="BN190" s="195"/>
      <c r="BO190" s="195"/>
      <c r="BP190" s="195"/>
      <c r="BS190" s="694" t="s">
        <v>1787</v>
      </c>
    </row>
    <row r="191" spans="1:75" s="903" customFormat="1" ht="20.25" customHeight="1">
      <c r="A191" s="76"/>
      <c r="B191" s="331"/>
      <c r="C191" s="76"/>
      <c r="D191" s="76"/>
      <c r="E191" s="509">
        <v>21</v>
      </c>
      <c r="F191" s="3" t="str" cm="1">
        <f t="array" aca="1" ref="F191" ca="1">OFFSET(E191,-1,1)</f>
        <v>1</v>
      </c>
      <c r="G191" s="76"/>
      <c r="H191" s="276"/>
      <c r="I191" s="276" t="s">
        <v>514</v>
      </c>
      <c r="J191" s="76"/>
      <c r="K191" s="276" t="s">
        <v>514</v>
      </c>
      <c r="L191" s="27"/>
      <c r="M191" s="27"/>
      <c r="N191" s="76"/>
      <c r="O191" s="76"/>
      <c r="P191" s="76"/>
      <c r="Q191" s="72" t="s">
        <v>2275</v>
      </c>
      <c r="R191" s="75" t="s">
        <v>2275</v>
      </c>
      <c r="S191" s="76"/>
      <c r="T191" s="351" t="b" cm="1">
        <f t="array" ref="T191">T190</f>
        <v>1</v>
      </c>
      <c r="U191" s="76"/>
      <c r="V191" s="76"/>
      <c r="W191" s="76"/>
      <c r="X191" s="1024"/>
      <c r="Y191" s="76"/>
      <c r="Z191" s="1008"/>
      <c r="AA191" s="76"/>
      <c r="AB191" s="131" t="s">
        <v>942</v>
      </c>
      <c r="AC191" s="262" t="s">
        <v>1807</v>
      </c>
      <c r="AD191" s="124" t="s">
        <v>859</v>
      </c>
      <c r="AE191" s="126">
        <f>AE192+AE193+AE194</f>
        <v>0</v>
      </c>
      <c r="AF191" s="126">
        <f>AF192+AF193+AF194</f>
        <v>0</v>
      </c>
      <c r="AG191" s="126">
        <f>AG192+AG193+AG194</f>
        <v>0</v>
      </c>
      <c r="AH191" s="126">
        <f t="shared" si="45"/>
        <v>0</v>
      </c>
      <c r="AI191" s="905">
        <f>AI192+AI193+AI194</f>
        <v>0</v>
      </c>
      <c r="AJ191" s="442"/>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554"/>
      <c r="BO191" s="554"/>
      <c r="BP191" s="554"/>
      <c r="BQ191" s="76"/>
      <c r="BR191" s="76"/>
      <c r="BS191" s="693" t="s">
        <v>1808</v>
      </c>
      <c r="BT191" s="700"/>
      <c r="BU191" s="700"/>
      <c r="BV191" s="509"/>
      <c r="BW191" s="509"/>
    </row>
    <row r="192" spans="1:75" ht="21.75" customHeight="1">
      <c r="E192" s="505">
        <v>22.5</v>
      </c>
      <c r="F192" s="3" t="str" cm="1">
        <f t="array" aca="1" ref="F192" ca="1">OFFSET(E192,-1,1)</f>
        <v>1</v>
      </c>
      <c r="H192" s="276"/>
      <c r="I192" s="276" t="s">
        <v>1391</v>
      </c>
      <c r="K192" s="276" t="s">
        <v>1391</v>
      </c>
      <c r="L192" s="25"/>
      <c r="M192" s="25"/>
      <c r="Q192" s="72" t="s">
        <v>2275</v>
      </c>
      <c r="R192" s="75" t="s">
        <v>2275</v>
      </c>
      <c r="T192" s="351" t="b" cm="1">
        <f t="array" ref="T192">T191</f>
        <v>1</v>
      </c>
      <c r="X192" s="1024"/>
      <c r="Z192" s="1008"/>
      <c r="AB192" s="133" t="s">
        <v>1392</v>
      </c>
      <c r="AC192" s="134" t="s">
        <v>1983</v>
      </c>
      <c r="AD192" s="7" t="s">
        <v>859</v>
      </c>
      <c r="AE192" s="128"/>
      <c r="AF192" s="128"/>
      <c r="AG192" s="128"/>
      <c r="AH192" s="170">
        <f t="shared" si="45"/>
        <v>0</v>
      </c>
      <c r="AI192" s="906"/>
      <c r="AJ192" s="442"/>
      <c r="AK192" s="540"/>
      <c r="AL192" s="540"/>
      <c r="AM192" s="540"/>
      <c r="AN192" s="540"/>
      <c r="AO192" s="540"/>
      <c r="AP192" s="540"/>
      <c r="AQ192" s="540"/>
      <c r="AR192" s="540"/>
      <c r="AS192" s="540"/>
      <c r="AT192" s="540"/>
      <c r="AU192" s="540"/>
      <c r="AV192" s="540"/>
      <c r="AW192" s="540"/>
      <c r="AX192" s="540"/>
      <c r="AY192" s="540"/>
      <c r="AZ192" s="540"/>
      <c r="BA192" s="540"/>
      <c r="BB192" s="540"/>
      <c r="BC192" s="540"/>
      <c r="BD192" s="540"/>
      <c r="BE192" s="540"/>
      <c r="BF192" s="540"/>
      <c r="BG192" s="540"/>
      <c r="BH192" s="540"/>
      <c r="BI192" s="540"/>
      <c r="BJ192" s="540"/>
      <c r="BK192" s="540"/>
      <c r="BL192" s="540"/>
      <c r="BM192" s="540"/>
      <c r="BN192" s="195"/>
      <c r="BO192" s="195"/>
      <c r="BP192" s="195"/>
      <c r="BS192" s="692" t="s">
        <v>1810</v>
      </c>
    </row>
    <row r="193" spans="1:75" ht="21.75" customHeight="1">
      <c r="E193" s="505">
        <v>22.5</v>
      </c>
      <c r="F193" s="3" t="str" cm="1">
        <f t="array" aca="1" ref="F193" ca="1">OFFSET(E193,-1,1)</f>
        <v>1</v>
      </c>
      <c r="H193" s="276"/>
      <c r="I193" s="276" t="s">
        <v>1395</v>
      </c>
      <c r="K193" s="276" t="s">
        <v>1395</v>
      </c>
      <c r="L193" s="25"/>
      <c r="M193" s="25"/>
      <c r="Q193" s="72" t="s">
        <v>2275</v>
      </c>
      <c r="R193" s="75" t="s">
        <v>2275</v>
      </c>
      <c r="T193" s="351" t="b" cm="1">
        <f t="array" ref="T193">T192</f>
        <v>1</v>
      </c>
      <c r="X193" s="1024"/>
      <c r="Z193" s="1008"/>
      <c r="AB193" s="133" t="s">
        <v>1396</v>
      </c>
      <c r="AC193" s="134" t="s">
        <v>1984</v>
      </c>
      <c r="AD193" s="7" t="s">
        <v>859</v>
      </c>
      <c r="AE193" s="128"/>
      <c r="AF193" s="128"/>
      <c r="AG193" s="128"/>
      <c r="AH193" s="170">
        <f t="shared" si="45"/>
        <v>0</v>
      </c>
      <c r="AI193" s="906"/>
      <c r="AJ193" s="442"/>
      <c r="AK193" s="540"/>
      <c r="AL193" s="540"/>
      <c r="AM193" s="540"/>
      <c r="AN193" s="540"/>
      <c r="AO193" s="540"/>
      <c r="AP193" s="540"/>
      <c r="AQ193" s="540"/>
      <c r="AR193" s="540"/>
      <c r="AS193" s="540"/>
      <c r="AT193" s="540"/>
      <c r="AU193" s="540"/>
      <c r="AV193" s="540"/>
      <c r="AW193" s="540"/>
      <c r="AX193" s="540"/>
      <c r="AY193" s="540"/>
      <c r="AZ193" s="540"/>
      <c r="BA193" s="540"/>
      <c r="BB193" s="540"/>
      <c r="BC193" s="540"/>
      <c r="BD193" s="540"/>
      <c r="BE193" s="540"/>
      <c r="BF193" s="540"/>
      <c r="BG193" s="540"/>
      <c r="BH193" s="540"/>
      <c r="BI193" s="540"/>
      <c r="BJ193" s="540"/>
      <c r="BK193" s="540"/>
      <c r="BL193" s="540"/>
      <c r="BM193" s="540"/>
      <c r="BN193" s="195"/>
      <c r="BO193" s="195"/>
      <c r="BP193" s="195"/>
      <c r="BS193" s="694" t="s">
        <v>1985</v>
      </c>
    </row>
    <row r="194" spans="1:75" ht="21.75" customHeight="1">
      <c r="E194" s="505">
        <v>22.5</v>
      </c>
      <c r="F194" s="3" t="str" cm="1">
        <f t="array" aca="1" ref="F194" ca="1">OFFSET(E194,-1,1)</f>
        <v>1</v>
      </c>
      <c r="H194" s="276"/>
      <c r="I194" s="276" t="s">
        <v>1399</v>
      </c>
      <c r="K194" s="276" t="s">
        <v>1399</v>
      </c>
      <c r="L194" s="25" t="s">
        <v>528</v>
      </c>
      <c r="M194" s="25"/>
      <c r="Q194" s="72" t="s">
        <v>2275</v>
      </c>
      <c r="R194" s="75" t="s">
        <v>2275</v>
      </c>
      <c r="T194" s="351" t="b" cm="1">
        <f t="array" ref="T194">T193</f>
        <v>1</v>
      </c>
      <c r="X194" s="1024"/>
      <c r="Z194" s="1008"/>
      <c r="AB194" s="133" t="s">
        <v>1400</v>
      </c>
      <c r="AC194" s="134" t="s">
        <v>1986</v>
      </c>
      <c r="AD194" s="7" t="s">
        <v>859</v>
      </c>
      <c r="AE194" s="128"/>
      <c r="AF194" s="128"/>
      <c r="AG194" s="128"/>
      <c r="AH194" s="170">
        <f t="shared" si="45"/>
        <v>0</v>
      </c>
      <c r="AI194" s="906"/>
      <c r="AJ194" s="442"/>
      <c r="AK194" s="540"/>
      <c r="AL194" s="540"/>
      <c r="AM194" s="540"/>
      <c r="AN194" s="540"/>
      <c r="AO194" s="540"/>
      <c r="AP194" s="540"/>
      <c r="AQ194" s="540"/>
      <c r="AR194" s="540"/>
      <c r="AS194" s="540"/>
      <c r="AT194" s="540"/>
      <c r="AU194" s="540"/>
      <c r="AV194" s="540"/>
      <c r="AW194" s="540"/>
      <c r="AX194" s="540"/>
      <c r="AY194" s="540"/>
      <c r="AZ194" s="540"/>
      <c r="BA194" s="540"/>
      <c r="BB194" s="540"/>
      <c r="BC194" s="540"/>
      <c r="BD194" s="540"/>
      <c r="BE194" s="540"/>
      <c r="BF194" s="540"/>
      <c r="BG194" s="540"/>
      <c r="BH194" s="540"/>
      <c r="BI194" s="540"/>
      <c r="BJ194" s="540"/>
      <c r="BK194" s="540"/>
      <c r="BL194" s="540"/>
      <c r="BM194" s="540"/>
      <c r="BN194" s="195"/>
      <c r="BO194" s="195"/>
      <c r="BP194" s="195"/>
      <c r="BS194" s="692" t="s">
        <v>1812</v>
      </c>
    </row>
    <row r="195" spans="1:75" ht="14.25" customHeight="1">
      <c r="E195" s="505">
        <v>15</v>
      </c>
      <c r="F195" s="3" t="str" cm="1">
        <f t="array" aca="1" ref="F195" ca="1">OFFSET(E195,-1,1)</f>
        <v>1</v>
      </c>
      <c r="G195" s="2" t="s">
        <v>1150</v>
      </c>
      <c r="H195" s="276"/>
      <c r="I195" s="276" t="s">
        <v>1987</v>
      </c>
      <c r="K195" s="276" t="s">
        <v>1987</v>
      </c>
      <c r="L195" s="25" t="s">
        <v>1813</v>
      </c>
      <c r="M195" s="25"/>
      <c r="Q195" s="72" t="s">
        <v>2275</v>
      </c>
      <c r="R195" s="75" t="s">
        <v>2275</v>
      </c>
      <c r="T195" s="351" t="b" cm="1">
        <f t="array" ref="T195">T194</f>
        <v>1</v>
      </c>
      <c r="X195" s="1024"/>
      <c r="Z195" s="1008"/>
      <c r="AB195" s="133" t="s">
        <v>1988</v>
      </c>
      <c r="AC195" s="541" t="s">
        <v>1814</v>
      </c>
      <c r="AD195" s="7" t="s">
        <v>859</v>
      </c>
      <c r="AE195" s="128"/>
      <c r="AF195" s="128"/>
      <c r="AG195" s="128"/>
      <c r="AH195" s="170">
        <f t="shared" si="45"/>
        <v>0</v>
      </c>
      <c r="AI195" s="906"/>
      <c r="AJ195" s="442"/>
      <c r="AK195" s="540"/>
      <c r="AL195" s="540"/>
      <c r="AM195" s="540"/>
      <c r="AN195" s="540"/>
      <c r="AO195" s="540"/>
      <c r="AP195" s="540"/>
      <c r="AQ195" s="540"/>
      <c r="AR195" s="540"/>
      <c r="AS195" s="540"/>
      <c r="AT195" s="540"/>
      <c r="AU195" s="540"/>
      <c r="AV195" s="540"/>
      <c r="AW195" s="540"/>
      <c r="AX195" s="540"/>
      <c r="AY195" s="540"/>
      <c r="AZ195" s="540"/>
      <c r="BA195" s="540"/>
      <c r="BB195" s="540"/>
      <c r="BC195" s="540"/>
      <c r="BD195" s="540"/>
      <c r="BE195" s="540"/>
      <c r="BF195" s="540"/>
      <c r="BG195" s="540"/>
      <c r="BH195" s="540"/>
      <c r="BI195" s="540"/>
      <c r="BJ195" s="540"/>
      <c r="BK195" s="540"/>
      <c r="BL195" s="540"/>
      <c r="BM195" s="540"/>
      <c r="BN195" s="195"/>
      <c r="BO195" s="599" t="str">
        <f ca="1">IF(IFERROR(INDEX(ФОТ!$K$26:$L$89,MATCH($F195&amp;"3komm",ФОТ!$K$26:$K$89,0),2),"")=0,"",IFERROR(INDEX(ФОТ!$K$26:$L$89,MATCH($F195&amp;"3komm",ФОТ!$K$26:$K$89,0),2),""))</f>
        <v/>
      </c>
      <c r="BP195" s="195"/>
      <c r="BS195" s="692" t="s">
        <v>1815</v>
      </c>
    </row>
    <row r="196" spans="1:75" ht="21.75" customHeight="1">
      <c r="E196" s="505">
        <v>22.5</v>
      </c>
      <c r="F196" s="3" t="str" cm="1">
        <f t="array" aca="1" ref="F196" ca="1">OFFSET(E196,-1,1)</f>
        <v>1</v>
      </c>
      <c r="G196" s="2" t="s">
        <v>1155</v>
      </c>
      <c r="H196" s="276"/>
      <c r="I196" s="276" t="s">
        <v>1989</v>
      </c>
      <c r="K196" s="276" t="s">
        <v>1989</v>
      </c>
      <c r="L196" s="25" t="s">
        <v>1816</v>
      </c>
      <c r="M196" s="25"/>
      <c r="Q196" s="72" t="s">
        <v>2275</v>
      </c>
      <c r="R196" s="75" t="s">
        <v>2275</v>
      </c>
      <c r="T196" s="351" t="b" cm="1">
        <f t="array" ref="T196">T195</f>
        <v>1</v>
      </c>
      <c r="X196" s="1024"/>
      <c r="Z196" s="1008"/>
      <c r="AB196" s="133" t="s">
        <v>1990</v>
      </c>
      <c r="AC196" s="541" t="s">
        <v>1991</v>
      </c>
      <c r="AD196" s="7" t="s">
        <v>859</v>
      </c>
      <c r="AE196" s="128">
        <f ca="1">AE195*SUMIFS(INDEX(Сценарии!$AE$25:$BF$82,,MATCH(AE$8,Сценарии!$AE$8:$BF$8,0)),Сценарии!$F$25:$F$82,$F196,Сценарии!$G$25:$G$82,"СВФОТ")/100</f>
        <v>0</v>
      </c>
      <c r="AF196" s="128">
        <f ca="1">AF195*SUMIFS(INDEX(Сценарии!$AE$25:$BF$82,,MATCH(AF$8,Сценарии!$AE$8:$BF$8,0)),Сценарии!$F$25:$F$82,$F196,Сценарии!$G$25:$G$82,"СВФОТ")/100</f>
        <v>0</v>
      </c>
      <c r="AG196" s="128">
        <f ca="1">AG195*SUMIFS(INDEX(Сценарии!$AE$25:$BF$82,,MATCH(AG$8,Сценарии!$AE$8:$BF$8,0)),Сценарии!$F$25:$F$82,$F196,Сценарии!$G$25:$G$82,"СВФОТ")/100</f>
        <v>0</v>
      </c>
      <c r="AH196" s="170">
        <f t="shared" ca="1" si="45"/>
        <v>0</v>
      </c>
      <c r="AI196" s="906">
        <f ca="1">AI195*SUMIFS(INDEX(Сценарии!$AE$25:$BF$82,,MATCH(AG$8,Сценарии!$AE$8:$BF$8,0)),Сценарии!$F$25:$F$82,$F196,Сценарии!$G$25:$G$82,"СВФОТ")/100</f>
        <v>0</v>
      </c>
      <c r="AJ196" s="442"/>
      <c r="AK196" s="540"/>
      <c r="AL196" s="540"/>
      <c r="AM196" s="540"/>
      <c r="AN196" s="540"/>
      <c r="AO196" s="540"/>
      <c r="AP196" s="540"/>
      <c r="AQ196" s="540"/>
      <c r="AR196" s="540"/>
      <c r="AS196" s="540"/>
      <c r="AT196" s="540"/>
      <c r="AU196" s="540"/>
      <c r="AV196" s="540"/>
      <c r="AW196" s="540"/>
      <c r="AX196" s="540"/>
      <c r="AY196" s="540"/>
      <c r="AZ196" s="540"/>
      <c r="BA196" s="540"/>
      <c r="BB196" s="540"/>
      <c r="BC196" s="540"/>
      <c r="BD196" s="540"/>
      <c r="BE196" s="540"/>
      <c r="BF196" s="540"/>
      <c r="BG196" s="540"/>
      <c r="BH196" s="540"/>
      <c r="BI196" s="540"/>
      <c r="BJ196" s="540"/>
      <c r="BK196" s="540"/>
      <c r="BL196" s="540"/>
      <c r="BM196" s="540"/>
      <c r="BN196" s="195"/>
      <c r="BO196" s="599" t="str">
        <f ca="1">IF(IFERROR(INDEX(ФОТ!$K$26:$L$89,MATCH($F196&amp;"4komm",ФОТ!$K$26:$K$89,0),2),"")=0,"",IFERROR(INDEX(ФОТ!$K$26:$L$89,MATCH($F196&amp;"4komm",ФОТ!$K$26:$K$89,0),2),""))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BP196" s="195"/>
      <c r="BS196" s="692" t="s">
        <v>1818</v>
      </c>
    </row>
    <row r="197" spans="1:75" s="903" customFormat="1" ht="20.25" customHeight="1">
      <c r="A197" s="76"/>
      <c r="B197" s="331"/>
      <c r="C197" s="76"/>
      <c r="D197" s="76"/>
      <c r="E197" s="509">
        <v>21</v>
      </c>
      <c r="F197" s="3" t="str" cm="1">
        <f t="array" aca="1" ref="F197" ca="1">OFFSET(E197,-1,1)</f>
        <v>1</v>
      </c>
      <c r="G197" s="76"/>
      <c r="H197" s="276"/>
      <c r="I197" s="276" t="s">
        <v>518</v>
      </c>
      <c r="J197" s="76"/>
      <c r="K197" s="276" t="s">
        <v>518</v>
      </c>
      <c r="L197" s="27" t="s">
        <v>323</v>
      </c>
      <c r="M197" s="27"/>
      <c r="N197" s="76"/>
      <c r="O197" s="76"/>
      <c r="P197" s="76"/>
      <c r="Q197" s="72" t="s">
        <v>2275</v>
      </c>
      <c r="R197" s="75" t="s">
        <v>2275</v>
      </c>
      <c r="S197" s="76"/>
      <c r="T197" s="351" t="b" cm="1">
        <f t="array" ref="T197">T196</f>
        <v>1</v>
      </c>
      <c r="U197" s="76"/>
      <c r="V197" s="76"/>
      <c r="W197" s="76"/>
      <c r="X197" s="1024"/>
      <c r="Y197" s="76"/>
      <c r="Z197" s="1008"/>
      <c r="AA197" s="76"/>
      <c r="AB197" s="131" t="s">
        <v>945</v>
      </c>
      <c r="AC197" s="262" t="s">
        <v>1992</v>
      </c>
      <c r="AD197" s="124" t="s">
        <v>859</v>
      </c>
      <c r="AE197" s="126">
        <f ca="1">AE198+AE206+AE209+AE210+AE211+AE212+AE213</f>
        <v>0</v>
      </c>
      <c r="AF197" s="126">
        <f ca="1">AF198+AF206+AF209+AF210+AF211+AF212+AF213</f>
        <v>0</v>
      </c>
      <c r="AG197" s="126">
        <f ca="1">AG198+AG206+AG209+AG210+AG211+AG212+AG213</f>
        <v>0</v>
      </c>
      <c r="AH197" s="126">
        <f t="shared" ca="1" si="45"/>
        <v>0</v>
      </c>
      <c r="AI197" s="905">
        <f ca="1">AI198+AI206+AI209+AI210+AI211+AI212+AI213</f>
        <v>0</v>
      </c>
      <c r="AJ197" s="442"/>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554"/>
      <c r="BO197" s="554"/>
      <c r="BP197" s="554"/>
      <c r="BQ197" s="76"/>
      <c r="BR197" s="76"/>
      <c r="BS197" s="693" t="s">
        <v>1820</v>
      </c>
      <c r="BT197" s="700"/>
      <c r="BU197" s="700"/>
      <c r="BV197" s="509"/>
      <c r="BW197" s="509"/>
    </row>
    <row r="198" spans="1:75" ht="21.75" customHeight="1">
      <c r="E198" s="505">
        <v>22.5</v>
      </c>
      <c r="F198" s="3" t="str" cm="1">
        <f t="array" aca="1" ref="F198" ca="1">OFFSET(E198,-1,1)</f>
        <v>1</v>
      </c>
      <c r="G198" s="72" t="s">
        <v>1198</v>
      </c>
      <c r="H198" s="276"/>
      <c r="I198" s="276" t="s">
        <v>1405</v>
      </c>
      <c r="K198" s="276" t="s">
        <v>1405</v>
      </c>
      <c r="L198" s="25" t="s">
        <v>966</v>
      </c>
      <c r="M198" s="25"/>
      <c r="Q198" s="72" t="s">
        <v>2275</v>
      </c>
      <c r="R198" s="75" t="s">
        <v>2275</v>
      </c>
      <c r="T198" s="351" t="b" cm="1">
        <f t="array" ref="T198">T197</f>
        <v>1</v>
      </c>
      <c r="X198" s="1024"/>
      <c r="Z198" s="1008"/>
      <c r="AB198" s="133" t="s">
        <v>1057</v>
      </c>
      <c r="AC198" s="134" t="s">
        <v>1993</v>
      </c>
      <c r="AD198" s="7" t="s">
        <v>859</v>
      </c>
      <c r="AE198" s="170">
        <f>SUM(AE199:AE205)</f>
        <v>0</v>
      </c>
      <c r="AF198" s="170">
        <f>SUM(AF199:AF205)</f>
        <v>0</v>
      </c>
      <c r="AG198" s="170">
        <f>SUM(AG199:AG205)</f>
        <v>0</v>
      </c>
      <c r="AH198" s="170">
        <f t="shared" si="45"/>
        <v>0</v>
      </c>
      <c r="AI198" s="906">
        <f>SUM(AI199:AI205)</f>
        <v>0</v>
      </c>
      <c r="AJ198" s="442"/>
      <c r="AK198" s="540"/>
      <c r="AL198" s="540"/>
      <c r="AM198" s="540"/>
      <c r="AN198" s="540"/>
      <c r="AO198" s="540"/>
      <c r="AP198" s="540"/>
      <c r="AQ198" s="540"/>
      <c r="AR198" s="540"/>
      <c r="AS198" s="540"/>
      <c r="AT198" s="540"/>
      <c r="AU198" s="540"/>
      <c r="AV198" s="540"/>
      <c r="AW198" s="540"/>
      <c r="AX198" s="540"/>
      <c r="AY198" s="540"/>
      <c r="AZ198" s="540"/>
      <c r="BA198" s="540"/>
      <c r="BB198" s="540"/>
      <c r="BC198" s="540"/>
      <c r="BD198" s="540"/>
      <c r="BE198" s="540"/>
      <c r="BF198" s="540"/>
      <c r="BG198" s="540"/>
      <c r="BH198" s="540"/>
      <c r="BI198" s="540"/>
      <c r="BJ198" s="540"/>
      <c r="BK198" s="540"/>
      <c r="BL198" s="540"/>
      <c r="BM198" s="540"/>
      <c r="BN198" s="195"/>
      <c r="BO198" s="599" t="str">
        <f ca="1">IF(IFERROR(INDEX(Административные!$K$26:$L$65,MATCH($F198&amp;"17komm",Административные!$K$26:$K$65,0),2),"")=0,"",IFERROR(INDEX(Административные!$K$26:$L$65,MATCH($F198&amp;"17komm",Административные!$K$26:$K$65,0),2),""))</f>
        <v>П 25 (1) Методических указаний № 1746-э.</v>
      </c>
      <c r="BP198" s="195"/>
      <c r="BS198" s="692" t="s">
        <v>1200</v>
      </c>
    </row>
    <row r="199" spans="1:75" ht="14.25" customHeight="1">
      <c r="E199" s="505">
        <v>15</v>
      </c>
      <c r="F199" s="3" t="str" cm="1">
        <f t="array" aca="1" ref="F199" ca="1">OFFSET(E199,-1,1)</f>
        <v>1</v>
      </c>
      <c r="G199" s="72" t="s">
        <v>1201</v>
      </c>
      <c r="H199" s="276"/>
      <c r="I199" s="276" t="s">
        <v>1994</v>
      </c>
      <c r="K199" s="276" t="s">
        <v>1994</v>
      </c>
      <c r="L199" s="25"/>
      <c r="M199" s="25"/>
      <c r="Q199" s="72" t="s">
        <v>2275</v>
      </c>
      <c r="R199" s="75" t="s">
        <v>2275</v>
      </c>
      <c r="T199" s="351" t="b" cm="1">
        <f t="array" ref="T199">T198</f>
        <v>1</v>
      </c>
      <c r="X199" s="1024"/>
      <c r="Z199" s="1008"/>
      <c r="AB199" s="133" t="s">
        <v>1995</v>
      </c>
      <c r="AC199" s="541" t="s">
        <v>1202</v>
      </c>
      <c r="AD199" s="7" t="s">
        <v>859</v>
      </c>
      <c r="AE199" s="128"/>
      <c r="AF199" s="128"/>
      <c r="AG199" s="128"/>
      <c r="AH199" s="170">
        <f t="shared" si="45"/>
        <v>0</v>
      </c>
      <c r="AI199" s="906"/>
      <c r="AJ199" s="442"/>
      <c r="AK199" s="540"/>
      <c r="AL199" s="540"/>
      <c r="AM199" s="540"/>
      <c r="AN199" s="540"/>
      <c r="AO199" s="540"/>
      <c r="AP199" s="540"/>
      <c r="AQ199" s="540"/>
      <c r="AR199" s="540"/>
      <c r="AS199" s="540"/>
      <c r="AT199" s="540"/>
      <c r="AU199" s="540"/>
      <c r="AV199" s="540"/>
      <c r="AW199" s="540"/>
      <c r="AX199" s="540"/>
      <c r="AY199" s="540"/>
      <c r="AZ199" s="540"/>
      <c r="BA199" s="540"/>
      <c r="BB199" s="540"/>
      <c r="BC199" s="540"/>
      <c r="BD199" s="540"/>
      <c r="BE199" s="540"/>
      <c r="BF199" s="540"/>
      <c r="BG199" s="540"/>
      <c r="BH199" s="540"/>
      <c r="BI199" s="540"/>
      <c r="BJ199" s="540"/>
      <c r="BK199" s="540"/>
      <c r="BL199" s="540"/>
      <c r="BM199" s="540"/>
      <c r="BN199" s="195"/>
      <c r="BO199" s="599" t="str">
        <f ca="1">IF(IFERROR(INDEX(Административные!$K$26:$L$65,MATCH($F199&amp;"18komm",Административные!$K$26:$K$65,0),2),"")=0,"",IFERROR(INDEX(Административные!$K$26:$L$65,MATCH($F199&amp;"18komm",Административные!$K$26:$K$65,0),2),""))</f>
        <v/>
      </c>
      <c r="BP199" s="195"/>
      <c r="BS199" s="694" t="s">
        <v>1203</v>
      </c>
    </row>
    <row r="200" spans="1:75" ht="14.25" customHeight="1">
      <c r="E200" s="505">
        <v>15</v>
      </c>
      <c r="F200" s="3" t="str" cm="1">
        <f t="array" aca="1" ref="F200" ca="1">OFFSET(E200,-1,1)</f>
        <v>1</v>
      </c>
      <c r="G200" s="72" t="s">
        <v>1204</v>
      </c>
      <c r="H200" s="276"/>
      <c r="I200" s="276" t="s">
        <v>1996</v>
      </c>
      <c r="K200" s="276" t="s">
        <v>1996</v>
      </c>
      <c r="L200" s="25"/>
      <c r="M200" s="25"/>
      <c r="Q200" s="72" t="s">
        <v>2275</v>
      </c>
      <c r="R200" s="75" t="s">
        <v>2275</v>
      </c>
      <c r="T200" s="351" t="b" cm="1">
        <f t="array" ref="T200">T199</f>
        <v>1</v>
      </c>
      <c r="X200" s="1024"/>
      <c r="Z200" s="1008"/>
      <c r="AB200" s="133" t="s">
        <v>1997</v>
      </c>
      <c r="AC200" s="541" t="s">
        <v>1205</v>
      </c>
      <c r="AD200" s="7" t="s">
        <v>859</v>
      </c>
      <c r="AE200" s="128"/>
      <c r="AF200" s="128"/>
      <c r="AG200" s="128"/>
      <c r="AH200" s="170">
        <f t="shared" si="45"/>
        <v>0</v>
      </c>
      <c r="AI200" s="906"/>
      <c r="AJ200" s="442"/>
      <c r="AK200" s="540"/>
      <c r="AL200" s="540"/>
      <c r="AM200" s="540"/>
      <c r="AN200" s="540"/>
      <c r="AO200" s="540"/>
      <c r="AP200" s="540"/>
      <c r="AQ200" s="540"/>
      <c r="AR200" s="540"/>
      <c r="AS200" s="540"/>
      <c r="AT200" s="540"/>
      <c r="AU200" s="540"/>
      <c r="AV200" s="540"/>
      <c r="AW200" s="540"/>
      <c r="AX200" s="540"/>
      <c r="AY200" s="540"/>
      <c r="AZ200" s="540"/>
      <c r="BA200" s="540"/>
      <c r="BB200" s="540"/>
      <c r="BC200" s="540"/>
      <c r="BD200" s="540"/>
      <c r="BE200" s="540"/>
      <c r="BF200" s="540"/>
      <c r="BG200" s="540"/>
      <c r="BH200" s="540"/>
      <c r="BI200" s="540"/>
      <c r="BJ200" s="540"/>
      <c r="BK200" s="540"/>
      <c r="BL200" s="540"/>
      <c r="BM200" s="540"/>
      <c r="BN200" s="195"/>
      <c r="BO200" s="599" t="str">
        <f ca="1">IF(IFERROR(INDEX(Административные!$K$26:$L$65,MATCH($F200&amp;"11komm",Административные!$K$26:$K$65,0),2),"")=0,"",IFERROR(INDEX(Административные!$K$26:$L$65,MATCH($F200&amp;"11komm",Административные!$K$26:$K$65,0),2),""))</f>
        <v/>
      </c>
      <c r="BP200" s="195"/>
      <c r="BS200" s="694" t="s">
        <v>1206</v>
      </c>
    </row>
    <row r="201" spans="1:75" ht="14.25" customHeight="1">
      <c r="E201" s="505">
        <v>15</v>
      </c>
      <c r="F201" s="3" t="str" cm="1">
        <f t="array" aca="1" ref="F201" ca="1">OFFSET(E201,-1,1)</f>
        <v>1</v>
      </c>
      <c r="G201" s="72" t="s">
        <v>1207</v>
      </c>
      <c r="H201" s="276"/>
      <c r="I201" s="276" t="s">
        <v>1998</v>
      </c>
      <c r="K201" s="276" t="s">
        <v>1998</v>
      </c>
      <c r="L201" s="25"/>
      <c r="M201" s="25"/>
      <c r="Q201" s="72" t="s">
        <v>2275</v>
      </c>
      <c r="R201" s="75" t="s">
        <v>2275</v>
      </c>
      <c r="T201" s="351" t="b" cm="1">
        <f t="array" ref="T201">T200</f>
        <v>1</v>
      </c>
      <c r="X201" s="1024"/>
      <c r="Z201" s="1008"/>
      <c r="AB201" s="133" t="s">
        <v>1999</v>
      </c>
      <c r="AC201" s="541" t="s">
        <v>1208</v>
      </c>
      <c r="AD201" s="7" t="s">
        <v>859</v>
      </c>
      <c r="AE201" s="128"/>
      <c r="AF201" s="128"/>
      <c r="AG201" s="128"/>
      <c r="AH201" s="170">
        <f t="shared" si="45"/>
        <v>0</v>
      </c>
      <c r="AI201" s="906"/>
      <c r="AJ201" s="442"/>
      <c r="AK201" s="540"/>
      <c r="AL201" s="540"/>
      <c r="AM201" s="540"/>
      <c r="AN201" s="540"/>
      <c r="AO201" s="540"/>
      <c r="AP201" s="540"/>
      <c r="AQ201" s="540"/>
      <c r="AR201" s="540"/>
      <c r="AS201" s="540"/>
      <c r="AT201" s="540"/>
      <c r="AU201" s="540"/>
      <c r="AV201" s="540"/>
      <c r="AW201" s="540"/>
      <c r="AX201" s="540"/>
      <c r="AY201" s="540"/>
      <c r="AZ201" s="540"/>
      <c r="BA201" s="540"/>
      <c r="BB201" s="540"/>
      <c r="BC201" s="540"/>
      <c r="BD201" s="540"/>
      <c r="BE201" s="540"/>
      <c r="BF201" s="540"/>
      <c r="BG201" s="540"/>
      <c r="BH201" s="540"/>
      <c r="BI201" s="540"/>
      <c r="BJ201" s="540"/>
      <c r="BK201" s="540"/>
      <c r="BL201" s="540"/>
      <c r="BM201" s="540"/>
      <c r="BN201" s="195"/>
      <c r="BO201" s="599" t="str">
        <f ca="1">IF(IFERROR(INDEX(Административные!$K$26:$L$65,MATCH($F201&amp;"12komm",Административные!$K$26:$K$65,0),2),"")=0,"",IFERROR(INDEX(Административные!$K$26:$L$65,MATCH($F201&amp;"12komm",Административные!$K$26:$K$65,0),2),""))</f>
        <v/>
      </c>
      <c r="BP201" s="195"/>
      <c r="BS201" s="694" t="s">
        <v>1209</v>
      </c>
    </row>
    <row r="202" spans="1:75" ht="14.25" customHeight="1">
      <c r="E202" s="505">
        <v>15</v>
      </c>
      <c r="F202" s="3" t="str" cm="1">
        <f t="array" aca="1" ref="F202" ca="1">OFFSET(E202,-1,1)</f>
        <v>1</v>
      </c>
      <c r="G202" s="72" t="s">
        <v>1210</v>
      </c>
      <c r="H202" s="276"/>
      <c r="I202" s="276" t="s">
        <v>2000</v>
      </c>
      <c r="K202" s="276" t="s">
        <v>2000</v>
      </c>
      <c r="L202" s="25"/>
      <c r="M202" s="25"/>
      <c r="Q202" s="72" t="s">
        <v>2275</v>
      </c>
      <c r="R202" s="75" t="s">
        <v>2275</v>
      </c>
      <c r="T202" s="351" t="b" cm="1">
        <f t="array" ref="T202">T201</f>
        <v>1</v>
      </c>
      <c r="X202" s="1024"/>
      <c r="Z202" s="1008"/>
      <c r="AB202" s="133" t="s">
        <v>2001</v>
      </c>
      <c r="AC202" s="541" t="s">
        <v>1211</v>
      </c>
      <c r="AD202" s="7" t="s">
        <v>859</v>
      </c>
      <c r="AE202" s="128"/>
      <c r="AF202" s="128"/>
      <c r="AG202" s="128"/>
      <c r="AH202" s="170">
        <f t="shared" si="45"/>
        <v>0</v>
      </c>
      <c r="AI202" s="906"/>
      <c r="AJ202" s="442"/>
      <c r="AK202" s="540"/>
      <c r="AL202" s="540"/>
      <c r="AM202" s="540"/>
      <c r="AN202" s="540"/>
      <c r="AO202" s="540"/>
      <c r="AP202" s="540"/>
      <c r="AQ202" s="540"/>
      <c r="AR202" s="540"/>
      <c r="AS202" s="540"/>
      <c r="AT202" s="540"/>
      <c r="AU202" s="540"/>
      <c r="AV202" s="540"/>
      <c r="AW202" s="540"/>
      <c r="AX202" s="540"/>
      <c r="AY202" s="540"/>
      <c r="AZ202" s="540"/>
      <c r="BA202" s="540"/>
      <c r="BB202" s="540"/>
      <c r="BC202" s="540"/>
      <c r="BD202" s="540"/>
      <c r="BE202" s="540"/>
      <c r="BF202" s="540"/>
      <c r="BG202" s="540"/>
      <c r="BH202" s="540"/>
      <c r="BI202" s="540"/>
      <c r="BJ202" s="540"/>
      <c r="BK202" s="540"/>
      <c r="BL202" s="540"/>
      <c r="BM202" s="540"/>
      <c r="BN202" s="195"/>
      <c r="BO202" s="599" t="str">
        <f ca="1">IF(IFERROR(INDEX(Административные!$K$26:$L$65,MATCH($F202&amp;"13komm",Административные!$K$26:$K$65,0),2),"")=0,"",IFERROR(INDEX(Административные!$K$26:$L$65,MATCH($F202&amp;"13komm",Административные!$K$26:$K$65,0),2),""))</f>
        <v/>
      </c>
      <c r="BP202" s="195"/>
      <c r="BS202" s="694" t="s">
        <v>1212</v>
      </c>
    </row>
    <row r="203" spans="1:75" ht="14.25" customHeight="1">
      <c r="E203" s="505">
        <v>15</v>
      </c>
      <c r="F203" s="3" t="str" cm="1">
        <f t="array" aca="1" ref="F203" ca="1">OFFSET(E203,-1,1)</f>
        <v>1</v>
      </c>
      <c r="G203" s="72" t="s">
        <v>1213</v>
      </c>
      <c r="H203" s="276"/>
      <c r="I203" s="276" t="s">
        <v>2002</v>
      </c>
      <c r="K203" s="276" t="s">
        <v>2002</v>
      </c>
      <c r="L203" s="25"/>
      <c r="M203" s="25"/>
      <c r="Q203" s="72" t="s">
        <v>2275</v>
      </c>
      <c r="R203" s="75" t="s">
        <v>2275</v>
      </c>
      <c r="T203" s="351" t="b" cm="1">
        <f t="array" ref="T203">T202</f>
        <v>1</v>
      </c>
      <c r="X203" s="1024"/>
      <c r="Z203" s="1008"/>
      <c r="AB203" s="133" t="s">
        <v>2003</v>
      </c>
      <c r="AC203" s="541" t="s">
        <v>1214</v>
      </c>
      <c r="AD203" s="7" t="s">
        <v>859</v>
      </c>
      <c r="AE203" s="128"/>
      <c r="AF203" s="128"/>
      <c r="AG203" s="128"/>
      <c r="AH203" s="170">
        <f t="shared" si="45"/>
        <v>0</v>
      </c>
      <c r="AI203" s="906"/>
      <c r="AJ203" s="442"/>
      <c r="AK203" s="540"/>
      <c r="AL203" s="540"/>
      <c r="AM203" s="540"/>
      <c r="AN203" s="540"/>
      <c r="AO203" s="540"/>
      <c r="AP203" s="540"/>
      <c r="AQ203" s="540"/>
      <c r="AR203" s="540"/>
      <c r="AS203" s="540"/>
      <c r="AT203" s="540"/>
      <c r="AU203" s="540"/>
      <c r="AV203" s="540"/>
      <c r="AW203" s="540"/>
      <c r="AX203" s="540"/>
      <c r="AY203" s="540"/>
      <c r="AZ203" s="540"/>
      <c r="BA203" s="540"/>
      <c r="BB203" s="540"/>
      <c r="BC203" s="540"/>
      <c r="BD203" s="540"/>
      <c r="BE203" s="540"/>
      <c r="BF203" s="540"/>
      <c r="BG203" s="540"/>
      <c r="BH203" s="540"/>
      <c r="BI203" s="540"/>
      <c r="BJ203" s="540"/>
      <c r="BK203" s="540"/>
      <c r="BL203" s="540"/>
      <c r="BM203" s="540"/>
      <c r="BN203" s="195"/>
      <c r="BO203" s="599" t="str">
        <f ca="1">IF(IFERROR(INDEX(Административные!$K$26:$L$65,MATCH($F203&amp;"14komm",Административные!$K$26:$K$65,0),2),"")=0,"",IFERROR(INDEX(Административные!$K$26:$L$65,MATCH($F203&amp;"14komm",Административные!$K$26:$K$65,0),2),""))</f>
        <v/>
      </c>
      <c r="BP203" s="195"/>
      <c r="BS203" s="694" t="s">
        <v>2004</v>
      </c>
    </row>
    <row r="204" spans="1:75" ht="14.25" customHeight="1">
      <c r="E204" s="505">
        <v>15</v>
      </c>
      <c r="F204" s="3" t="str" cm="1">
        <f t="array" aca="1" ref="F204" ca="1">OFFSET(E204,-1,1)</f>
        <v>1</v>
      </c>
      <c r="G204" s="72" t="s">
        <v>1216</v>
      </c>
      <c r="H204" s="276"/>
      <c r="I204" s="276" t="s">
        <v>2005</v>
      </c>
      <c r="K204" s="276" t="s">
        <v>2005</v>
      </c>
      <c r="L204" s="25"/>
      <c r="M204" s="25"/>
      <c r="Q204" s="72" t="s">
        <v>2275</v>
      </c>
      <c r="R204" s="75" t="s">
        <v>2275</v>
      </c>
      <c r="T204" s="351" t="b" cm="1">
        <f t="array" ref="T204">T203</f>
        <v>1</v>
      </c>
      <c r="X204" s="1024"/>
      <c r="Z204" s="1008"/>
      <c r="AB204" s="133" t="s">
        <v>2006</v>
      </c>
      <c r="AC204" s="541" t="s">
        <v>1219</v>
      </c>
      <c r="AD204" s="7" t="s">
        <v>859</v>
      </c>
      <c r="AE204" s="128"/>
      <c r="AF204" s="128"/>
      <c r="AG204" s="128"/>
      <c r="AH204" s="170">
        <f t="shared" ref="AH204:AH235" si="49">AG204-AF204</f>
        <v>0</v>
      </c>
      <c r="AI204" s="906"/>
      <c r="AJ204" s="442"/>
      <c r="AK204" s="540"/>
      <c r="AL204" s="540"/>
      <c r="AM204" s="540"/>
      <c r="AN204" s="540"/>
      <c r="AO204" s="540"/>
      <c r="AP204" s="540"/>
      <c r="AQ204" s="540"/>
      <c r="AR204" s="540"/>
      <c r="AS204" s="540"/>
      <c r="AT204" s="540"/>
      <c r="AU204" s="540"/>
      <c r="AV204" s="540"/>
      <c r="AW204" s="540"/>
      <c r="AX204" s="540"/>
      <c r="AY204" s="540"/>
      <c r="AZ204" s="540"/>
      <c r="BA204" s="540"/>
      <c r="BB204" s="540"/>
      <c r="BC204" s="540"/>
      <c r="BD204" s="540"/>
      <c r="BE204" s="540"/>
      <c r="BF204" s="540"/>
      <c r="BG204" s="540"/>
      <c r="BH204" s="540"/>
      <c r="BI204" s="540"/>
      <c r="BJ204" s="540"/>
      <c r="BK204" s="540"/>
      <c r="BL204" s="540"/>
      <c r="BM204" s="540"/>
      <c r="BN204" s="195"/>
      <c r="BO204" s="599" t="str">
        <f ca="1">IF(IFERROR(INDEX(Административные!$K$26:$L$65,MATCH($F204&amp;"15komm",Административные!$K$26:$K$65,0),2),"")=0,"",IFERROR(INDEX(Административные!$K$26:$L$65,MATCH($F204&amp;"15komm",Административные!$K$26:$K$65,0),2),""))</f>
        <v/>
      </c>
      <c r="BP204" s="195"/>
      <c r="BS204" s="694" t="s">
        <v>1220</v>
      </c>
    </row>
    <row r="205" spans="1:75" ht="14.25" customHeight="1">
      <c r="E205" s="505">
        <v>15</v>
      </c>
      <c r="F205" s="3" t="str" cm="1">
        <f t="array" aca="1" ref="F205" ca="1">OFFSET(E205,-1,1)</f>
        <v>1</v>
      </c>
      <c r="G205" s="72" t="s">
        <v>1221</v>
      </c>
      <c r="H205" s="276"/>
      <c r="I205" s="276" t="s">
        <v>2007</v>
      </c>
      <c r="K205" s="276" t="s">
        <v>2007</v>
      </c>
      <c r="L205" s="25"/>
      <c r="M205" s="25"/>
      <c r="Q205" s="72" t="s">
        <v>2275</v>
      </c>
      <c r="R205" s="75" t="s">
        <v>2275</v>
      </c>
      <c r="T205" s="351" t="b" cm="1">
        <f t="array" ref="T205">T204</f>
        <v>1</v>
      </c>
      <c r="X205" s="1024"/>
      <c r="Z205" s="1008"/>
      <c r="AB205" s="133" t="s">
        <v>2008</v>
      </c>
      <c r="AC205" s="541" t="s">
        <v>1224</v>
      </c>
      <c r="AD205" s="7" t="s">
        <v>859</v>
      </c>
      <c r="AE205" s="128"/>
      <c r="AF205" s="128"/>
      <c r="AG205" s="128"/>
      <c r="AH205" s="170">
        <f t="shared" si="49"/>
        <v>0</v>
      </c>
      <c r="AI205" s="906"/>
      <c r="AJ205" s="442"/>
      <c r="AK205" s="540"/>
      <c r="AL205" s="540"/>
      <c r="AM205" s="540"/>
      <c r="AN205" s="540"/>
      <c r="AO205" s="540"/>
      <c r="AP205" s="540"/>
      <c r="AQ205" s="540"/>
      <c r="AR205" s="540"/>
      <c r="AS205" s="540"/>
      <c r="AT205" s="540"/>
      <c r="AU205" s="540"/>
      <c r="AV205" s="540"/>
      <c r="AW205" s="540"/>
      <c r="AX205" s="540"/>
      <c r="AY205" s="540"/>
      <c r="AZ205" s="540"/>
      <c r="BA205" s="540"/>
      <c r="BB205" s="540"/>
      <c r="BC205" s="540"/>
      <c r="BD205" s="540"/>
      <c r="BE205" s="540"/>
      <c r="BF205" s="540"/>
      <c r="BG205" s="540"/>
      <c r="BH205" s="540"/>
      <c r="BI205" s="540"/>
      <c r="BJ205" s="540"/>
      <c r="BK205" s="540"/>
      <c r="BL205" s="540"/>
      <c r="BM205" s="540"/>
      <c r="BN205" s="195"/>
      <c r="BO205" s="599" t="str">
        <f ca="1">IF(IFERROR(INDEX(Административные!$K$26:$L$65,MATCH($F205&amp;"16komm",Административные!$K$26:$K$65,0),2),"")=0,"",IFERROR(INDEX(Административные!$K$26:$L$65,MATCH($F205&amp;"16komm",Административные!$K$26:$K$65,0),2),""))</f>
        <v>Учтены расходы на ПОКУПНУЮ ЭЛЕКТРОЭНЕРГИЮ ДЛЯ ОБЩЕХОЗЯЙСТВЕННЫХ НУЖД. П. 22, 23 "Основ ценообразования в сфере водоснабжения и водоотведения".</v>
      </c>
      <c r="BP205" s="195"/>
      <c r="BS205" s="694" t="s">
        <v>2009</v>
      </c>
    </row>
    <row r="206" spans="1:75" ht="21.75" customHeight="1">
      <c r="E206" s="505">
        <v>22.5</v>
      </c>
      <c r="F206" s="3" t="str" cm="1">
        <f t="array" aca="1" ref="F206" ca="1">OFFSET(E206,-1,1)</f>
        <v>1</v>
      </c>
      <c r="H206" s="276"/>
      <c r="I206" s="276" t="s">
        <v>1406</v>
      </c>
      <c r="K206" s="276" t="s">
        <v>1406</v>
      </c>
      <c r="L206" s="25" t="s">
        <v>968</v>
      </c>
      <c r="M206" s="25"/>
      <c r="Q206" s="72" t="s">
        <v>2275</v>
      </c>
      <c r="R206" s="75" t="s">
        <v>2275</v>
      </c>
      <c r="T206" s="351" t="b" cm="1">
        <f t="array" ref="T206">T205</f>
        <v>1</v>
      </c>
      <c r="X206" s="1024"/>
      <c r="Z206" s="1008"/>
      <c r="AB206" s="133" t="s">
        <v>1060</v>
      </c>
      <c r="AC206" s="134" t="s">
        <v>2010</v>
      </c>
      <c r="AD206" s="7" t="s">
        <v>859</v>
      </c>
      <c r="AE206" s="170">
        <f ca="1">AE207+AE208</f>
        <v>0</v>
      </c>
      <c r="AF206" s="170">
        <f ca="1">AF207+AF208</f>
        <v>0</v>
      </c>
      <c r="AG206" s="170">
        <f ca="1">AG207+AG208</f>
        <v>0</v>
      </c>
      <c r="AH206" s="170">
        <f t="shared" ca="1" si="49"/>
        <v>0</v>
      </c>
      <c r="AI206" s="906">
        <f ca="1">AI207+AI208</f>
        <v>0</v>
      </c>
      <c r="AJ206" s="442"/>
      <c r="AK206" s="540"/>
      <c r="AL206" s="540"/>
      <c r="AM206" s="540"/>
      <c r="AN206" s="540"/>
      <c r="AO206" s="540"/>
      <c r="AP206" s="540"/>
      <c r="AQ206" s="540"/>
      <c r="AR206" s="540"/>
      <c r="AS206" s="540"/>
      <c r="AT206" s="540"/>
      <c r="AU206" s="540"/>
      <c r="AV206" s="540"/>
      <c r="AW206" s="540"/>
      <c r="AX206" s="540"/>
      <c r="AY206" s="540"/>
      <c r="AZ206" s="540"/>
      <c r="BA206" s="540"/>
      <c r="BB206" s="540"/>
      <c r="BC206" s="540"/>
      <c r="BD206" s="540"/>
      <c r="BE206" s="540"/>
      <c r="BF206" s="540"/>
      <c r="BG206" s="540"/>
      <c r="BH206" s="540"/>
      <c r="BI206" s="540"/>
      <c r="BJ206" s="540"/>
      <c r="BK206" s="540"/>
      <c r="BL206" s="540"/>
      <c r="BM206" s="540"/>
      <c r="BN206" s="195"/>
      <c r="BO206" s="195"/>
      <c r="BP206" s="195"/>
      <c r="BS206" s="692" t="s">
        <v>1823</v>
      </c>
    </row>
    <row r="207" spans="1:75" ht="14.25" customHeight="1">
      <c r="E207" s="505">
        <v>15</v>
      </c>
      <c r="F207" s="3" t="str" cm="1">
        <f t="array" aca="1" ref="F207" ca="1">OFFSET(E207,-1,1)</f>
        <v>1</v>
      </c>
      <c r="G207" s="72" t="s">
        <v>1158</v>
      </c>
      <c r="H207" s="276"/>
      <c r="I207" s="276" t="s">
        <v>2011</v>
      </c>
      <c r="K207" s="276" t="s">
        <v>2011</v>
      </c>
      <c r="L207" s="25" t="s">
        <v>543</v>
      </c>
      <c r="M207" s="25"/>
      <c r="Q207" s="72" t="s">
        <v>2275</v>
      </c>
      <c r="R207" s="75" t="s">
        <v>2275</v>
      </c>
      <c r="T207" s="351" t="b" cm="1">
        <f t="array" ref="T207">T206</f>
        <v>1</v>
      </c>
      <c r="X207" s="1024"/>
      <c r="Z207" s="1008"/>
      <c r="AB207" s="133" t="s">
        <v>2012</v>
      </c>
      <c r="AC207" s="541" t="s">
        <v>1824</v>
      </c>
      <c r="AD207" s="543" t="s">
        <v>859</v>
      </c>
      <c r="AE207" s="128"/>
      <c r="AF207" s="128"/>
      <c r="AG207" s="128"/>
      <c r="AH207" s="170">
        <f t="shared" si="49"/>
        <v>0</v>
      </c>
      <c r="AI207" s="906"/>
      <c r="AJ207" s="442"/>
      <c r="AK207" s="540"/>
      <c r="AL207" s="540"/>
      <c r="AM207" s="540"/>
      <c r="AN207" s="540"/>
      <c r="AO207" s="540"/>
      <c r="AP207" s="540"/>
      <c r="AQ207" s="540"/>
      <c r="AR207" s="540"/>
      <c r="AS207" s="540"/>
      <c r="AT207" s="540"/>
      <c r="AU207" s="540"/>
      <c r="AV207" s="540"/>
      <c r="AW207" s="540"/>
      <c r="AX207" s="540"/>
      <c r="AY207" s="540"/>
      <c r="AZ207" s="540"/>
      <c r="BA207" s="540"/>
      <c r="BB207" s="540"/>
      <c r="BC207" s="540"/>
      <c r="BD207" s="540"/>
      <c r="BE207" s="540"/>
      <c r="BF207" s="540"/>
      <c r="BG207" s="540"/>
      <c r="BH207" s="540"/>
      <c r="BI207" s="540"/>
      <c r="BJ207" s="540"/>
      <c r="BK207" s="540"/>
      <c r="BL207" s="540"/>
      <c r="BM207" s="540"/>
      <c r="BN207" s="195"/>
      <c r="BO207" s="599" t="str">
        <f ca="1">IF(IFERROR(INDEX(ФОТ!$K$26:$L$89,MATCH($F207&amp;"5komm",ФОТ!$K$26:$K$89,0),2),"")=0,"",IFERROR(INDEX(ФОТ!$K$26:$L$89,MATCH($F207&amp;"5komm",ФОТ!$K$26:$K$89,0),2),""))</f>
        <v>П. 25 (2) Методических указаний ФСТ России № 1746-э.</v>
      </c>
      <c r="BP207" s="195"/>
      <c r="BS207" s="692" t="s">
        <v>1197</v>
      </c>
    </row>
    <row r="208" spans="1:75" ht="21.75" customHeight="1">
      <c r="E208" s="505">
        <v>22.5</v>
      </c>
      <c r="F208" s="3" t="str" cm="1">
        <f t="array" aca="1" ref="F208" ca="1">OFFSET(E208,-1,1)</f>
        <v>1</v>
      </c>
      <c r="G208" s="72" t="s">
        <v>1163</v>
      </c>
      <c r="H208" s="276"/>
      <c r="I208" s="276" t="s">
        <v>2013</v>
      </c>
      <c r="K208" s="276" t="s">
        <v>2013</v>
      </c>
      <c r="L208" s="25" t="s">
        <v>548</v>
      </c>
      <c r="M208" s="25"/>
      <c r="Q208" s="72" t="s">
        <v>2275</v>
      </c>
      <c r="R208" s="75" t="s">
        <v>2275</v>
      </c>
      <c r="T208" s="351" t="b" cm="1">
        <f t="array" ref="T208">T207</f>
        <v>1</v>
      </c>
      <c r="X208" s="1024"/>
      <c r="Z208" s="1008"/>
      <c r="AB208" s="133" t="s">
        <v>2014</v>
      </c>
      <c r="AC208" s="541" t="s">
        <v>2015</v>
      </c>
      <c r="AD208" s="7" t="s">
        <v>859</v>
      </c>
      <c r="AE208" s="128">
        <f ca="1">AE207*SUMIFS(INDEX(Сценарии!$AE$25:$BF$82,,MATCH(AE$8,Сценарии!$AE$8:$BF$8,0)),Сценарии!$F$25:$F$82,$F208,Сценарии!$G$25:$G$82,"СВФОТ")/100</f>
        <v>0</v>
      </c>
      <c r="AF208" s="128">
        <f ca="1">AF207*SUMIFS(INDEX(Сценарии!$AE$25:$BF$82,,MATCH(AF$8,Сценарии!$AE$8:$BF$8,0)),Сценарии!$F$25:$F$82,$F208,Сценарии!$G$25:$G$82,"СВФОТ")/100</f>
        <v>0</v>
      </c>
      <c r="AG208" s="128">
        <f ca="1">AG207*SUMIFS(INDEX(Сценарии!$AE$25:$BF$82,,MATCH(AG$8,Сценарии!$AE$8:$BF$8,0)),Сценарии!$F$25:$F$82,$F208,Сценарии!$G$25:$G$82,"СВФОТ")/100</f>
        <v>0</v>
      </c>
      <c r="AH208" s="170">
        <f t="shared" ca="1" si="49"/>
        <v>0</v>
      </c>
      <c r="AI208" s="906">
        <f ca="1">AI207*SUMIFS(INDEX(Сценарии!$AE$25:$BF$82,,MATCH(AG$8,Сценарии!$AE$8:$BF$8,0)),Сценарии!$F$25:$F$82,$F208,Сценарии!$G$25:$G$82,"СВФОТ")/100</f>
        <v>0</v>
      </c>
      <c r="AJ208" s="442"/>
      <c r="AK208" s="540"/>
      <c r="AL208" s="540"/>
      <c r="AM208" s="540"/>
      <c r="AN208" s="540"/>
      <c r="AO208" s="540"/>
      <c r="AP208" s="540"/>
      <c r="AQ208" s="540"/>
      <c r="AR208" s="540"/>
      <c r="AS208" s="540"/>
      <c r="AT208" s="540"/>
      <c r="AU208" s="540"/>
      <c r="AV208" s="540"/>
      <c r="AW208" s="540"/>
      <c r="AX208" s="540"/>
      <c r="AY208" s="540"/>
      <c r="AZ208" s="540"/>
      <c r="BA208" s="540"/>
      <c r="BB208" s="540"/>
      <c r="BC208" s="540"/>
      <c r="BD208" s="540"/>
      <c r="BE208" s="540"/>
      <c r="BF208" s="540"/>
      <c r="BG208" s="540"/>
      <c r="BH208" s="540"/>
      <c r="BI208" s="540"/>
      <c r="BJ208" s="540"/>
      <c r="BK208" s="540"/>
      <c r="BL208" s="540"/>
      <c r="BM208" s="540"/>
      <c r="BN208" s="195"/>
      <c r="BO208" s="599" t="str">
        <f ca="1">IF(IFERROR(INDEX(ФОТ!$K$26:$L$89,MATCH($F208&amp;"6komm",ФОТ!$K$26:$K$89,0),2),"")=0,"",IFERROR(INDEX(ФОТ!$K$26:$L$89,MATCH($F208&amp;"6komm",ФОТ!$K$26:$K$89,0),2),""))</f>
        <v>1) Часть 3 (пункт 1) Статьи 425 Главы 34 "СТРАХОВЫЕ ВЗНОСЫ"  "Налогового кодекса Российской Федерации (часть вторая)" от 05.08.2000 N 117-ФЗ (в редакции от от 30.09.2024 № 337-ФЗ); 2) Федеральные законы: от 24.07.1998 N 125-ФЗ (ред. от 28.11.2025) "Об обязательном социальном страховании от несчастных случаев на производстве и профессиональных заболеваний"; от 22.12.2005 N 179-ФЗ (с изм. от 28.11.2025) "О страховых тарифах на обязательное социальное страхование от несчастных случаев на производстве и профессиональных заболеваний на 2006 год".</v>
      </c>
      <c r="BP208" s="195"/>
      <c r="BS208" s="692" t="s">
        <v>1826</v>
      </c>
    </row>
    <row r="209" spans="1:75" ht="32.25" customHeight="1">
      <c r="E209" s="505">
        <v>33.75</v>
      </c>
      <c r="F209" s="3" t="str" cm="1">
        <f t="array" aca="1" ref="F209" ca="1">OFFSET(E209,-1,1)</f>
        <v>1</v>
      </c>
      <c r="G209" s="2" t="s">
        <v>1226</v>
      </c>
      <c r="H209" s="276"/>
      <c r="I209" s="276" t="s">
        <v>1409</v>
      </c>
      <c r="K209" s="276" t="s">
        <v>1409</v>
      </c>
      <c r="L209" s="25" t="s">
        <v>970</v>
      </c>
      <c r="M209" s="25"/>
      <c r="Q209" s="72" t="s">
        <v>2275</v>
      </c>
      <c r="R209" s="75" t="s">
        <v>2275</v>
      </c>
      <c r="T209" s="351" t="b" cm="1">
        <f t="array" ref="T209">T208</f>
        <v>1</v>
      </c>
      <c r="X209" s="1024"/>
      <c r="Z209" s="1008"/>
      <c r="AB209" s="133" t="s">
        <v>1410</v>
      </c>
      <c r="AC209" s="134" t="s">
        <v>2016</v>
      </c>
      <c r="AD209" s="7" t="s">
        <v>859</v>
      </c>
      <c r="AE209" s="128"/>
      <c r="AF209" s="128"/>
      <c r="AG209" s="128"/>
      <c r="AH209" s="170">
        <f t="shared" si="49"/>
        <v>0</v>
      </c>
      <c r="AI209" s="906"/>
      <c r="AJ209" s="442"/>
      <c r="AK209" s="540"/>
      <c r="AL209" s="540"/>
      <c r="AM209" s="540"/>
      <c r="AN209" s="540"/>
      <c r="AO209" s="540"/>
      <c r="AP209" s="540"/>
      <c r="AQ209" s="540"/>
      <c r="AR209" s="540"/>
      <c r="AS209" s="540"/>
      <c r="AT209" s="540"/>
      <c r="AU209" s="540"/>
      <c r="AV209" s="540"/>
      <c r="AW209" s="540"/>
      <c r="AX209" s="540"/>
      <c r="AY209" s="540"/>
      <c r="AZ209" s="540"/>
      <c r="BA209" s="540"/>
      <c r="BB209" s="540"/>
      <c r="BC209" s="540"/>
      <c r="BD209" s="540"/>
      <c r="BE209" s="540"/>
      <c r="BF209" s="540"/>
      <c r="BG209" s="540"/>
      <c r="BH209" s="540"/>
      <c r="BI209" s="540"/>
      <c r="BJ209" s="540"/>
      <c r="BK209" s="540"/>
      <c r="BL209" s="540"/>
      <c r="BM209" s="540"/>
      <c r="BN209" s="195"/>
      <c r="BO209" s="599" t="str">
        <f ca="1">IF(IFERROR(INDEX(Административные!$K$26:$L$65,MATCH($F209&amp;"2komm",Административные!$K$26:$K$65,0),2),"")=0,"",IFERROR(INDEX(Административные!$K$26:$L$65,MATCH($F209&amp;"2komm",Административные!$K$26:$K$65,0),2),""))</f>
        <v>1) П 25 (3), п. 28, п. 29 Методических указаний № 1746-э. 2) "Классификация основных средств, включаемых в амортизационные группы"  (утверждена постановлением Правительства Российской Федерации от 1 января 2002 г. N 1).</v>
      </c>
      <c r="BP209" s="195"/>
      <c r="BS209" s="692" t="s">
        <v>1228</v>
      </c>
    </row>
    <row r="210" spans="1:75" ht="14.25" customHeight="1">
      <c r="E210" s="505">
        <v>15</v>
      </c>
      <c r="F210" s="3" t="str" cm="1">
        <f t="array" aca="1" ref="F210" ca="1">OFFSET(E210,-1,1)</f>
        <v>1</v>
      </c>
      <c r="G210" s="2" t="s">
        <v>1229</v>
      </c>
      <c r="H210" s="276"/>
      <c r="I210" s="276" t="s">
        <v>1413</v>
      </c>
      <c r="K210" s="276" t="s">
        <v>1413</v>
      </c>
      <c r="L210" s="25" t="s">
        <v>972</v>
      </c>
      <c r="M210" s="25"/>
      <c r="Q210" s="72" t="s">
        <v>2275</v>
      </c>
      <c r="R210" s="75" t="s">
        <v>2275</v>
      </c>
      <c r="T210" s="351" t="b" cm="1">
        <f t="array" ref="T210">T209</f>
        <v>1</v>
      </c>
      <c r="X210" s="1024"/>
      <c r="Z210" s="1008"/>
      <c r="AB210" s="133" t="s">
        <v>1414</v>
      </c>
      <c r="AC210" s="134" t="s">
        <v>2017</v>
      </c>
      <c r="AD210" s="7" t="s">
        <v>859</v>
      </c>
      <c r="AE210" s="128"/>
      <c r="AF210" s="128"/>
      <c r="AG210" s="128"/>
      <c r="AH210" s="170">
        <f t="shared" si="49"/>
        <v>0</v>
      </c>
      <c r="AI210" s="906"/>
      <c r="AJ210" s="442"/>
      <c r="AK210" s="540"/>
      <c r="AL210" s="540"/>
      <c r="AM210" s="540"/>
      <c r="AN210" s="540"/>
      <c r="AO210" s="540"/>
      <c r="AP210" s="540"/>
      <c r="AQ210" s="540"/>
      <c r="AR210" s="540"/>
      <c r="AS210" s="540"/>
      <c r="AT210" s="540"/>
      <c r="AU210" s="540"/>
      <c r="AV210" s="540"/>
      <c r="AW210" s="540"/>
      <c r="AX210" s="540"/>
      <c r="AY210" s="540"/>
      <c r="AZ210" s="540"/>
      <c r="BA210" s="540"/>
      <c r="BB210" s="540"/>
      <c r="BC210" s="540"/>
      <c r="BD210" s="540"/>
      <c r="BE210" s="540"/>
      <c r="BF210" s="540"/>
      <c r="BG210" s="540"/>
      <c r="BH210" s="540"/>
      <c r="BI210" s="540"/>
      <c r="BJ210" s="540"/>
      <c r="BK210" s="540"/>
      <c r="BL210" s="540"/>
      <c r="BM210" s="540"/>
      <c r="BN210" s="195"/>
      <c r="BO210" s="599" t="str">
        <f ca="1">IF(IFERROR(INDEX(Административные!$K$26:$L$65,MATCH($F210&amp;"3komm",Административные!$K$26:$K$65,0),2),"")=0,"",IFERROR(INDEX(Административные!$K$26:$L$65,MATCH($F210&amp;"3komm",Административные!$K$26:$K$65,0),2),""))</f>
        <v/>
      </c>
      <c r="BP210" s="195"/>
      <c r="BS210" s="692" t="s">
        <v>1231</v>
      </c>
    </row>
    <row r="211" spans="1:75" ht="14.25" customHeight="1">
      <c r="E211" s="505">
        <v>15</v>
      </c>
      <c r="F211" s="3" t="str" cm="1">
        <f t="array" aca="1" ref="F211" ca="1">OFFSET(E211,-1,1)</f>
        <v>1</v>
      </c>
      <c r="G211" s="2" t="s">
        <v>1232</v>
      </c>
      <c r="H211" s="276"/>
      <c r="I211" s="276" t="s">
        <v>2018</v>
      </c>
      <c r="K211" s="276" t="s">
        <v>2018</v>
      </c>
      <c r="L211" s="25" t="s">
        <v>975</v>
      </c>
      <c r="M211" s="25"/>
      <c r="Q211" s="72" t="s">
        <v>2275</v>
      </c>
      <c r="R211" s="75" t="s">
        <v>2275</v>
      </c>
      <c r="T211" s="351" t="b" cm="1">
        <f t="array" ref="T211">T210</f>
        <v>1</v>
      </c>
      <c r="X211" s="1024"/>
      <c r="Z211" s="1008"/>
      <c r="AB211" s="133" t="s">
        <v>2019</v>
      </c>
      <c r="AC211" s="134" t="s">
        <v>2020</v>
      </c>
      <c r="AD211" s="7" t="s">
        <v>859</v>
      </c>
      <c r="AE211" s="128"/>
      <c r="AF211" s="128"/>
      <c r="AG211" s="128"/>
      <c r="AH211" s="170">
        <f t="shared" si="49"/>
        <v>0</v>
      </c>
      <c r="AI211" s="906"/>
      <c r="AJ211" s="442"/>
      <c r="AK211" s="540"/>
      <c r="AL211" s="540"/>
      <c r="AM211" s="540"/>
      <c r="AN211" s="540"/>
      <c r="AO211" s="540"/>
      <c r="AP211" s="540"/>
      <c r="AQ211" s="540"/>
      <c r="AR211" s="540"/>
      <c r="AS211" s="540"/>
      <c r="AT211" s="540"/>
      <c r="AU211" s="540"/>
      <c r="AV211" s="540"/>
      <c r="AW211" s="540"/>
      <c r="AX211" s="540"/>
      <c r="AY211" s="540"/>
      <c r="AZ211" s="540"/>
      <c r="BA211" s="540"/>
      <c r="BB211" s="540"/>
      <c r="BC211" s="540"/>
      <c r="BD211" s="540"/>
      <c r="BE211" s="540"/>
      <c r="BF211" s="540"/>
      <c r="BG211" s="540"/>
      <c r="BH211" s="540"/>
      <c r="BI211" s="540"/>
      <c r="BJ211" s="540"/>
      <c r="BK211" s="540"/>
      <c r="BL211" s="540"/>
      <c r="BM211" s="540"/>
      <c r="BN211" s="195"/>
      <c r="BO211" s="599" t="str">
        <f ca="1">IF(IFERROR(INDEX(Административные!$K$26:$L$65,MATCH($F211&amp;"4komm",Административные!$K$26:$K$65,0),2),"")=0,"",IFERROR(INDEX(Административные!$K$26:$L$65,MATCH($F211&amp;"4komm",Административные!$K$26:$K$65,0),2),""))</f>
        <v/>
      </c>
      <c r="BP211" s="195"/>
      <c r="BS211" s="692" t="s">
        <v>1234</v>
      </c>
    </row>
    <row r="212" spans="1:75" ht="14.25" customHeight="1">
      <c r="E212" s="505">
        <v>15</v>
      </c>
      <c r="F212" s="3" t="str" cm="1">
        <f t="array" aca="1" ref="F212" ca="1">OFFSET(E212,-1,1)</f>
        <v>1</v>
      </c>
      <c r="G212" s="2" t="s">
        <v>1235</v>
      </c>
      <c r="H212" s="276"/>
      <c r="I212" s="276" t="s">
        <v>2021</v>
      </c>
      <c r="K212" s="276" t="s">
        <v>2021</v>
      </c>
      <c r="L212" s="25" t="s">
        <v>1217</v>
      </c>
      <c r="M212" s="25"/>
      <c r="Q212" s="72" t="s">
        <v>2275</v>
      </c>
      <c r="R212" s="75" t="s">
        <v>2275</v>
      </c>
      <c r="T212" s="351" t="b" cm="1">
        <f t="array" ref="T212">T211</f>
        <v>1</v>
      </c>
      <c r="X212" s="1024"/>
      <c r="Z212" s="1008"/>
      <c r="AB212" s="133" t="s">
        <v>2022</v>
      </c>
      <c r="AC212" s="134" t="s">
        <v>2023</v>
      </c>
      <c r="AD212" s="7" t="s">
        <v>859</v>
      </c>
      <c r="AE212" s="128"/>
      <c r="AF212" s="128"/>
      <c r="AG212" s="128"/>
      <c r="AH212" s="170">
        <f t="shared" si="49"/>
        <v>0</v>
      </c>
      <c r="AI212" s="906"/>
      <c r="AJ212" s="442"/>
      <c r="AK212" s="540"/>
      <c r="AL212" s="540"/>
      <c r="AM212" s="540"/>
      <c r="AN212" s="540"/>
      <c r="AO212" s="540"/>
      <c r="AP212" s="540"/>
      <c r="AQ212" s="540"/>
      <c r="AR212" s="540"/>
      <c r="AS212" s="540"/>
      <c r="AT212" s="540"/>
      <c r="AU212" s="540"/>
      <c r="AV212" s="540"/>
      <c r="AW212" s="540"/>
      <c r="AX212" s="540"/>
      <c r="AY212" s="540"/>
      <c r="AZ212" s="540"/>
      <c r="BA212" s="540"/>
      <c r="BB212" s="540"/>
      <c r="BC212" s="540"/>
      <c r="BD212" s="540"/>
      <c r="BE212" s="540"/>
      <c r="BF212" s="540"/>
      <c r="BG212" s="540"/>
      <c r="BH212" s="540"/>
      <c r="BI212" s="540"/>
      <c r="BJ212" s="540"/>
      <c r="BK212" s="540"/>
      <c r="BL212" s="540"/>
      <c r="BM212" s="540"/>
      <c r="BN212" s="195"/>
      <c r="BO212" s="599" t="str">
        <f ca="1">IF(IFERROR(INDEX(Административные!$K$26:$L$65,MATCH($F212&amp;"5komm",Административные!$K$26:$K$65,0),2),"")=0,"",IFERROR(INDEX(Административные!$K$26:$L$65,MATCH($F212&amp;"5komm",Административные!$K$26:$K$65,0),2),""))</f>
        <v/>
      </c>
      <c r="BP212" s="195"/>
      <c r="BS212" s="692" t="s">
        <v>1828</v>
      </c>
    </row>
    <row r="213" spans="1:75" ht="14.25" customHeight="1">
      <c r="E213" s="505">
        <v>15</v>
      </c>
      <c r="F213" s="3" t="str" cm="1">
        <f t="array" aca="1" ref="F213" ca="1">OFFSET(E213,-1,1)</f>
        <v>1</v>
      </c>
      <c r="G213" s="2" t="s">
        <v>1238</v>
      </c>
      <c r="H213" s="276"/>
      <c r="I213" s="276" t="s">
        <v>2024</v>
      </c>
      <c r="K213" s="276" t="s">
        <v>2024</v>
      </c>
      <c r="L213" s="25" t="s">
        <v>1222</v>
      </c>
      <c r="M213" s="25"/>
      <c r="Q213" s="72" t="s">
        <v>2275</v>
      </c>
      <c r="R213" s="75" t="s">
        <v>2275</v>
      </c>
      <c r="T213" s="351" t="b" cm="1">
        <f t="array" ref="T213">T212</f>
        <v>1</v>
      </c>
      <c r="X213" s="1024"/>
      <c r="Z213" s="1008"/>
      <c r="AB213" s="133" t="s">
        <v>2025</v>
      </c>
      <c r="AC213" s="134" t="s">
        <v>2026</v>
      </c>
      <c r="AD213" s="7" t="s">
        <v>859</v>
      </c>
      <c r="AE213" s="170">
        <f>SUM(AE214:AE216)</f>
        <v>0</v>
      </c>
      <c r="AF213" s="170">
        <f>SUM(AF214:AF216)</f>
        <v>0</v>
      </c>
      <c r="AG213" s="170">
        <f>SUM(AG214:AG216)</f>
        <v>0</v>
      </c>
      <c r="AH213" s="170">
        <f t="shared" si="49"/>
        <v>0</v>
      </c>
      <c r="AI213" s="906">
        <f>SUM(AI214:AI216)</f>
        <v>0</v>
      </c>
      <c r="AJ213" s="442"/>
      <c r="AK213" s="540"/>
      <c r="AL213" s="540"/>
      <c r="AM213" s="540"/>
      <c r="AN213" s="540"/>
      <c r="AO213" s="540"/>
      <c r="AP213" s="540"/>
      <c r="AQ213" s="540"/>
      <c r="AR213" s="540"/>
      <c r="AS213" s="540"/>
      <c r="AT213" s="540"/>
      <c r="AU213" s="540"/>
      <c r="AV213" s="540"/>
      <c r="AW213" s="540"/>
      <c r="AX213" s="540"/>
      <c r="AY213" s="540"/>
      <c r="AZ213" s="540"/>
      <c r="BA213" s="540"/>
      <c r="BB213" s="540"/>
      <c r="BC213" s="540"/>
      <c r="BD213" s="540"/>
      <c r="BE213" s="540"/>
      <c r="BF213" s="540"/>
      <c r="BG213" s="540"/>
      <c r="BH213" s="540"/>
      <c r="BI213" s="540"/>
      <c r="BJ213" s="540"/>
      <c r="BK213" s="540"/>
      <c r="BL213" s="540"/>
      <c r="BM213" s="540"/>
      <c r="BN213" s="195"/>
      <c r="BO213" s="599" t="str">
        <f ca="1">IF(IFERROR(INDEX(Административные!$K$26:$L$65,MATCH($F213&amp;"6komm",Административные!$K$26:$K$65,0),2),"")=0,"",IFERROR(INDEX(Административные!$K$26:$L$65,MATCH($F213&amp;"6komm",Административные!$K$26:$K$65,0),2),""))</f>
        <v/>
      </c>
      <c r="BP213" s="195"/>
      <c r="BS213" s="692" t="s">
        <v>1830</v>
      </c>
    </row>
    <row r="214" spans="1:75" ht="14.25" customHeight="1">
      <c r="E214" s="505">
        <v>15</v>
      </c>
      <c r="F214" s="3" t="str" cm="1">
        <f t="array" aca="1" ref="F214" ca="1">OFFSET(E214,-1,1)</f>
        <v>1</v>
      </c>
      <c r="G214" s="2" t="s">
        <v>1240</v>
      </c>
      <c r="H214" s="276"/>
      <c r="I214" s="276" t="s">
        <v>2027</v>
      </c>
      <c r="K214" s="276" t="s">
        <v>2027</v>
      </c>
      <c r="L214" s="25" t="s">
        <v>1831</v>
      </c>
      <c r="M214" s="25"/>
      <c r="Q214" s="72" t="s">
        <v>2275</v>
      </c>
      <c r="R214" s="75" t="s">
        <v>2275</v>
      </c>
      <c r="T214" s="351" t="b" cm="1">
        <f t="array" ref="T214">T213</f>
        <v>1</v>
      </c>
      <c r="X214" s="1024"/>
      <c r="Z214" s="1008"/>
      <c r="AB214" s="133" t="s">
        <v>2028</v>
      </c>
      <c r="AC214" s="541" t="s">
        <v>1833</v>
      </c>
      <c r="AD214" s="7" t="s">
        <v>859</v>
      </c>
      <c r="AE214" s="128"/>
      <c r="AF214" s="128"/>
      <c r="AG214" s="128"/>
      <c r="AH214" s="170">
        <f t="shared" si="49"/>
        <v>0</v>
      </c>
      <c r="AI214" s="906"/>
      <c r="AJ214" s="442"/>
      <c r="AK214" s="540"/>
      <c r="AL214" s="540"/>
      <c r="AM214" s="540"/>
      <c r="AN214" s="540"/>
      <c r="AO214" s="540"/>
      <c r="AP214" s="540"/>
      <c r="AQ214" s="540"/>
      <c r="AR214" s="540"/>
      <c r="AS214" s="540"/>
      <c r="AT214" s="540"/>
      <c r="AU214" s="540"/>
      <c r="AV214" s="540"/>
      <c r="AW214" s="540"/>
      <c r="AX214" s="540"/>
      <c r="AY214" s="540"/>
      <c r="AZ214" s="540"/>
      <c r="BA214" s="540"/>
      <c r="BB214" s="540"/>
      <c r="BC214" s="540"/>
      <c r="BD214" s="540"/>
      <c r="BE214" s="540"/>
      <c r="BF214" s="540"/>
      <c r="BG214" s="540"/>
      <c r="BH214" s="540"/>
      <c r="BI214" s="540"/>
      <c r="BJ214" s="540"/>
      <c r="BK214" s="540"/>
      <c r="BL214" s="540"/>
      <c r="BM214" s="540"/>
      <c r="BN214" s="195"/>
      <c r="BO214" s="599" t="str">
        <f ca="1">IF(IFERROR(INDEX(Административные!$K$26:$L$65,MATCH($F214&amp;"7komm",Административные!$K$26:$K$65,0),2),"")=0,"",IFERROR(INDEX(Административные!$K$26:$L$65,MATCH($F214&amp;"7komm",Административные!$K$26:$K$65,0),2),""))</f>
        <v/>
      </c>
      <c r="BP214" s="195"/>
      <c r="BS214" s="692" t="s">
        <v>1834</v>
      </c>
    </row>
    <row r="215" spans="1:75" ht="14.25" customHeight="1">
      <c r="E215" s="505">
        <v>15</v>
      </c>
      <c r="F215" s="3" t="str" cm="1">
        <f t="array" aca="1" ref="F215" ca="1">OFFSET(E215,-1,1)</f>
        <v>1</v>
      </c>
      <c r="G215" s="2" t="s">
        <v>1243</v>
      </c>
      <c r="H215" s="276"/>
      <c r="I215" s="276" t="s">
        <v>2029</v>
      </c>
      <c r="K215" s="276" t="s">
        <v>2029</v>
      </c>
      <c r="L215" s="25" t="s">
        <v>1835</v>
      </c>
      <c r="M215" s="25"/>
      <c r="Q215" s="72" t="s">
        <v>2275</v>
      </c>
      <c r="R215" s="75" t="s">
        <v>2275</v>
      </c>
      <c r="T215" s="351" t="b" cm="1">
        <f t="array" ref="T215">T214</f>
        <v>1</v>
      </c>
      <c r="X215" s="1024"/>
      <c r="Z215" s="1008"/>
      <c r="AB215" s="133" t="s">
        <v>2030</v>
      </c>
      <c r="AC215" s="541" t="s">
        <v>1244</v>
      </c>
      <c r="AD215" s="7" t="s">
        <v>859</v>
      </c>
      <c r="AE215" s="128"/>
      <c r="AF215" s="128"/>
      <c r="AG215" s="128"/>
      <c r="AH215" s="170">
        <f t="shared" si="49"/>
        <v>0</v>
      </c>
      <c r="AI215" s="906"/>
      <c r="AJ215" s="442"/>
      <c r="AK215" s="540"/>
      <c r="AL215" s="540"/>
      <c r="AM215" s="540"/>
      <c r="AN215" s="540"/>
      <c r="AO215" s="540"/>
      <c r="AP215" s="540"/>
      <c r="AQ215" s="540"/>
      <c r="AR215" s="540"/>
      <c r="AS215" s="540"/>
      <c r="AT215" s="540"/>
      <c r="AU215" s="540"/>
      <c r="AV215" s="540"/>
      <c r="AW215" s="540"/>
      <c r="AX215" s="540"/>
      <c r="AY215" s="540"/>
      <c r="AZ215" s="540"/>
      <c r="BA215" s="540"/>
      <c r="BB215" s="540"/>
      <c r="BC215" s="540"/>
      <c r="BD215" s="540"/>
      <c r="BE215" s="540"/>
      <c r="BF215" s="540"/>
      <c r="BG215" s="540"/>
      <c r="BH215" s="540"/>
      <c r="BI215" s="540"/>
      <c r="BJ215" s="540"/>
      <c r="BK215" s="540"/>
      <c r="BL215" s="540"/>
      <c r="BM215" s="540"/>
      <c r="BN215" s="195"/>
      <c r="BO215" s="599" t="str">
        <f ca="1">IF(IFERROR(INDEX(Административные!$K$26:$L$65,MATCH($F215&amp;"8komm",Административные!$K$26:$K$65,0),2),"")=0,"",IFERROR(INDEX(Административные!$K$26:$L$65,MATCH($F215&amp;"8komm",Административные!$K$26:$K$65,0),2),""))</f>
        <v/>
      </c>
      <c r="BP215" s="195"/>
      <c r="BS215" s="692" t="s">
        <v>1837</v>
      </c>
    </row>
    <row r="216" spans="1:75" ht="14.25" customHeight="1">
      <c r="E216" s="505">
        <v>15</v>
      </c>
      <c r="F216" s="3" t="str" cm="1">
        <f t="array" aca="1" ref="F216" ca="1">OFFSET(E216,-1,1)</f>
        <v>1</v>
      </c>
      <c r="G216" s="72" t="s">
        <v>1246</v>
      </c>
      <c r="H216" s="276"/>
      <c r="I216" s="276" t="s">
        <v>2031</v>
      </c>
      <c r="K216" s="276" t="s">
        <v>2031</v>
      </c>
      <c r="L216" s="25" t="s">
        <v>1838</v>
      </c>
      <c r="M216" s="25"/>
      <c r="Q216" s="72" t="s">
        <v>2275</v>
      </c>
      <c r="R216" s="75" t="s">
        <v>2275</v>
      </c>
      <c r="T216" s="351" t="b" cm="1">
        <f t="array" ref="T216">T215</f>
        <v>1</v>
      </c>
      <c r="X216" s="1024"/>
      <c r="Z216" s="1008"/>
      <c r="AB216" s="133" t="s">
        <v>2032</v>
      </c>
      <c r="AC216" s="541" t="s">
        <v>1247</v>
      </c>
      <c r="AD216" s="7" t="s">
        <v>859</v>
      </c>
      <c r="AE216" s="128"/>
      <c r="AF216" s="128"/>
      <c r="AG216" s="128"/>
      <c r="AH216" s="170">
        <f t="shared" si="49"/>
        <v>0</v>
      </c>
      <c r="AI216" s="906"/>
      <c r="AJ216" s="442"/>
      <c r="AK216" s="540"/>
      <c r="AL216" s="540"/>
      <c r="AM216" s="540"/>
      <c r="AN216" s="540"/>
      <c r="AO216" s="540"/>
      <c r="AP216" s="540"/>
      <c r="AQ216" s="540"/>
      <c r="AR216" s="540"/>
      <c r="AS216" s="540"/>
      <c r="AT216" s="540"/>
      <c r="AU216" s="540"/>
      <c r="AV216" s="540"/>
      <c r="AW216" s="540"/>
      <c r="AX216" s="540"/>
      <c r="AY216" s="540"/>
      <c r="AZ216" s="540"/>
      <c r="BA216" s="540"/>
      <c r="BB216" s="540"/>
      <c r="BC216" s="540"/>
      <c r="BD216" s="540"/>
      <c r="BE216" s="540"/>
      <c r="BF216" s="540"/>
      <c r="BG216" s="540"/>
      <c r="BH216" s="540"/>
      <c r="BI216" s="540"/>
      <c r="BJ216" s="540"/>
      <c r="BK216" s="540"/>
      <c r="BL216" s="540"/>
      <c r="BM216" s="540"/>
      <c r="BN216" s="195"/>
      <c r="BO216" s="599" t="str">
        <f ca="1">IF(IFERROR(INDEX(Административные!$K$26:$L$65,MATCH($F216&amp;"9komm",Административные!$K$26:$K$65,0),2),"")=0,"",IFERROR(INDEX(Административные!$K$26:$L$65,MATCH($F216&amp;"9komm",Административные!$K$26:$K$65,0),2),""))</f>
        <v>П. 25 (1) , п. 25 (4) - 25 (7) Методических указаний  № 1746-э.</v>
      </c>
      <c r="BP216" s="195"/>
      <c r="BS216" s="692" t="s">
        <v>1840</v>
      </c>
    </row>
    <row r="217" spans="1:75" ht="21.75" customHeight="1">
      <c r="B217" s="328" t="b">
        <f>STATUS_GO="да"</f>
        <v>1</v>
      </c>
      <c r="E217" s="505">
        <v>22.5</v>
      </c>
      <c r="F217" s="3" t="str" cm="1">
        <f t="array" aca="1" ref="F217" ca="1">OFFSET(E217,-1,1)</f>
        <v>1</v>
      </c>
      <c r="H217" s="276"/>
      <c r="I217" s="276" t="s">
        <v>948</v>
      </c>
      <c r="K217" s="276" t="s">
        <v>948</v>
      </c>
      <c r="L217" s="25" t="s">
        <v>325</v>
      </c>
      <c r="M217" s="25"/>
      <c r="Q217" s="72" t="s">
        <v>2275</v>
      </c>
      <c r="R217" s="75" t="s">
        <v>2275</v>
      </c>
      <c r="T217" s="351" t="b" cm="1">
        <f t="array" ref="T217">T216</f>
        <v>1</v>
      </c>
      <c r="X217" s="1024"/>
      <c r="Z217" s="1008"/>
      <c r="AB217" s="133" t="s">
        <v>949</v>
      </c>
      <c r="AC217" s="127" t="s">
        <v>2033</v>
      </c>
      <c r="AD217" s="7" t="s">
        <v>859</v>
      </c>
      <c r="AE217" s="128"/>
      <c r="AF217" s="128"/>
      <c r="AG217" s="128"/>
      <c r="AH217" s="170">
        <f t="shared" si="49"/>
        <v>0</v>
      </c>
      <c r="AI217" s="906"/>
      <c r="AJ217" s="442"/>
      <c r="AK217" s="540"/>
      <c r="AL217" s="540"/>
      <c r="AM217" s="540"/>
      <c r="AN217" s="540"/>
      <c r="AO217" s="540"/>
      <c r="AP217" s="540"/>
      <c r="AQ217" s="540"/>
      <c r="AR217" s="540"/>
      <c r="AS217" s="540"/>
      <c r="AT217" s="540"/>
      <c r="AU217" s="540"/>
      <c r="AV217" s="540"/>
      <c r="AW217" s="540"/>
      <c r="AX217" s="540"/>
      <c r="AY217" s="540"/>
      <c r="AZ217" s="540"/>
      <c r="BA217" s="540"/>
      <c r="BB217" s="540"/>
      <c r="BC217" s="540"/>
      <c r="BD217" s="540"/>
      <c r="BE217" s="540"/>
      <c r="BF217" s="540"/>
      <c r="BG217" s="540"/>
      <c r="BH217" s="540"/>
      <c r="BI217" s="540"/>
      <c r="BJ217" s="540"/>
      <c r="BK217" s="540"/>
      <c r="BL217" s="540"/>
      <c r="BM217" s="540"/>
      <c r="BN217" s="195"/>
      <c r="BO217" s="195"/>
      <c r="BP217" s="195"/>
      <c r="BS217" s="693" t="s">
        <v>1842</v>
      </c>
    </row>
    <row r="218" spans="1:75" ht="14.25" customHeight="1">
      <c r="E218" s="505">
        <v>15</v>
      </c>
      <c r="F218" s="3" t="str" cm="1">
        <f t="array" aca="1" ref="F218" ca="1">OFFSET(E218,-1,1)</f>
        <v>1</v>
      </c>
      <c r="H218" s="276"/>
      <c r="I218" s="276" t="s">
        <v>1780</v>
      </c>
      <c r="K218" s="276" t="s">
        <v>1780</v>
      </c>
      <c r="L218" s="25"/>
      <c r="M218" s="25"/>
      <c r="Q218" s="72" t="s">
        <v>2275</v>
      </c>
      <c r="R218" s="75" t="s">
        <v>2275</v>
      </c>
      <c r="T218" s="351" t="b" cm="1">
        <f t="array" ref="T218">T217</f>
        <v>1</v>
      </c>
      <c r="X218" s="1024"/>
      <c r="Z218" s="1008"/>
      <c r="AB218" s="133" t="s">
        <v>1781</v>
      </c>
      <c r="AC218" s="127" t="s">
        <v>2034</v>
      </c>
      <c r="AD218" s="7" t="s">
        <v>859</v>
      </c>
      <c r="AE218" s="128"/>
      <c r="AF218" s="128"/>
      <c r="AG218" s="128"/>
      <c r="AH218" s="170">
        <f t="shared" si="49"/>
        <v>0</v>
      </c>
      <c r="AI218" s="906"/>
      <c r="AJ218" s="442"/>
      <c r="AK218" s="540"/>
      <c r="AL218" s="540"/>
      <c r="AM218" s="540"/>
      <c r="AN218" s="540"/>
      <c r="AO218" s="540"/>
      <c r="AP218" s="540"/>
      <c r="AQ218" s="540"/>
      <c r="AR218" s="540"/>
      <c r="AS218" s="540"/>
      <c r="AT218" s="540"/>
      <c r="AU218" s="540"/>
      <c r="AV218" s="540"/>
      <c r="AW218" s="540"/>
      <c r="AX218" s="540"/>
      <c r="AY218" s="540"/>
      <c r="AZ218" s="540"/>
      <c r="BA218" s="540"/>
      <c r="BB218" s="540"/>
      <c r="BC218" s="540"/>
      <c r="BD218" s="540"/>
      <c r="BE218" s="540"/>
      <c r="BF218" s="540"/>
      <c r="BG218" s="540"/>
      <c r="BH218" s="540"/>
      <c r="BI218" s="540"/>
      <c r="BJ218" s="540"/>
      <c r="BK218" s="540"/>
      <c r="BL218" s="540"/>
      <c r="BM218" s="540"/>
      <c r="BN218" s="195"/>
      <c r="BO218" s="195"/>
      <c r="BP218" s="195"/>
      <c r="BS218" s="694" t="s">
        <v>2035</v>
      </c>
    </row>
    <row r="219" spans="1:75" s="903" customFormat="1" ht="20.25" customHeight="1">
      <c r="A219" s="76"/>
      <c r="B219" s="331"/>
      <c r="C219" s="76"/>
      <c r="D219" s="76"/>
      <c r="E219" s="509">
        <v>21</v>
      </c>
      <c r="F219" s="3" t="str" cm="1">
        <f t="array" aca="1" ref="F219" ca="1">OFFSET(E219,-1,1)</f>
        <v>1</v>
      </c>
      <c r="G219" s="76"/>
      <c r="H219" s="276"/>
      <c r="I219" s="276" t="s">
        <v>1784</v>
      </c>
      <c r="J219" s="76"/>
      <c r="K219" s="276" t="s">
        <v>1784</v>
      </c>
      <c r="L219" s="27"/>
      <c r="M219" s="27"/>
      <c r="N219" s="76"/>
      <c r="O219" s="76"/>
      <c r="P219" s="76"/>
      <c r="Q219" s="72" t="s">
        <v>2275</v>
      </c>
      <c r="R219" s="75" t="s">
        <v>2275</v>
      </c>
      <c r="S219" s="76"/>
      <c r="T219" s="351" t="b" cm="1">
        <f t="array" ref="T219">T218</f>
        <v>1</v>
      </c>
      <c r="U219" s="76"/>
      <c r="V219" s="76"/>
      <c r="W219" s="76"/>
      <c r="X219" s="1024"/>
      <c r="Y219" s="76"/>
      <c r="Z219" s="1008"/>
      <c r="AA219" s="76"/>
      <c r="AB219" s="131" t="s">
        <v>1785</v>
      </c>
      <c r="AC219" s="262" t="s">
        <v>2036</v>
      </c>
      <c r="AD219" s="124" t="s">
        <v>859</v>
      </c>
      <c r="AE219" s="126">
        <f>SUM(AE220:AE221)</f>
        <v>0</v>
      </c>
      <c r="AF219" s="126">
        <f>SUM(AF220:AF221)</f>
        <v>0</v>
      </c>
      <c r="AG219" s="126">
        <f>SUM(AG220:AG221)</f>
        <v>0</v>
      </c>
      <c r="AH219" s="126">
        <f t="shared" si="49"/>
        <v>0</v>
      </c>
      <c r="AI219" s="905">
        <f>SUM(AI220:AI221)</f>
        <v>0</v>
      </c>
      <c r="AJ219" s="442"/>
      <c r="AK219" s="129"/>
      <c r="AL219" s="129"/>
      <c r="AM219" s="129"/>
      <c r="AN219" s="129"/>
      <c r="AO219" s="129"/>
      <c r="AP219" s="129"/>
      <c r="AQ219" s="129"/>
      <c r="AR219" s="129"/>
      <c r="AS219" s="129"/>
      <c r="AT219" s="540"/>
      <c r="AU219" s="540"/>
      <c r="AV219" s="129"/>
      <c r="AW219" s="129"/>
      <c r="AX219" s="129"/>
      <c r="AY219" s="129"/>
      <c r="AZ219" s="129"/>
      <c r="BA219" s="129"/>
      <c r="BB219" s="129"/>
      <c r="BC219" s="129"/>
      <c r="BD219" s="129"/>
      <c r="BE219" s="129"/>
      <c r="BF219" s="129"/>
      <c r="BG219" s="129"/>
      <c r="BH219" s="129"/>
      <c r="BI219" s="129"/>
      <c r="BJ219" s="129"/>
      <c r="BK219" s="129"/>
      <c r="BL219" s="129"/>
      <c r="BM219" s="129"/>
      <c r="BN219" s="554"/>
      <c r="BO219" s="554"/>
      <c r="BP219" s="554"/>
      <c r="BQ219" s="76"/>
      <c r="BR219" s="76"/>
      <c r="BS219" s="700" t="s">
        <v>2037</v>
      </c>
      <c r="BT219" s="700"/>
      <c r="BU219" s="700"/>
      <c r="BV219" s="509"/>
      <c r="BW219" s="509"/>
    </row>
    <row r="220" spans="1:75" ht="14.25" hidden="1" customHeight="1">
      <c r="E220" s="505">
        <v>15</v>
      </c>
      <c r="F220" s="3" t="str" cm="1">
        <f t="array" aca="1" ref="F220" ca="1">OFFSET(E220,-1,1)</f>
        <v>1</v>
      </c>
      <c r="I220" s="276" t="s">
        <v>1784</v>
      </c>
      <c r="J220" s="72" cm="1">
        <f t="array" ref="J220">AC220</f>
        <v>0</v>
      </c>
      <c r="K220" s="276" t="s">
        <v>1784</v>
      </c>
      <c r="L220" s="25"/>
      <c r="M220" s="25"/>
      <c r="Q220" s="72" t="s">
        <v>2275</v>
      </c>
      <c r="R220" s="75" t="s">
        <v>2275</v>
      </c>
      <c r="T220" s="351" t="b">
        <f ca="1">AND(F220&gt;0,Y220&gt;0)</f>
        <v>0</v>
      </c>
      <c r="W220" s="72" t="s">
        <v>171</v>
      </c>
      <c r="X220" s="1024"/>
      <c r="Y220" s="72">
        <v>0</v>
      </c>
      <c r="Z220" s="1008"/>
      <c r="AA220" s="319" t="s">
        <v>172</v>
      </c>
      <c r="AB220" s="7" t="str">
        <f>"1.7."&amp;Y220</f>
        <v>1.7.0</v>
      </c>
      <c r="AC220" s="779"/>
      <c r="AD220" s="7" t="s">
        <v>859</v>
      </c>
      <c r="AE220" s="777"/>
      <c r="AF220" s="777"/>
      <c r="AG220" s="777"/>
      <c r="AH220" s="170">
        <f t="shared" si="49"/>
        <v>0</v>
      </c>
      <c r="AI220" s="906"/>
      <c r="AJ220" s="128"/>
      <c r="AK220" s="540"/>
      <c r="AL220" s="540"/>
      <c r="AM220" s="540"/>
      <c r="AN220" s="540"/>
      <c r="AO220" s="540"/>
      <c r="AP220" s="540"/>
      <c r="AQ220" s="540"/>
      <c r="AR220" s="540"/>
      <c r="AS220" s="540"/>
      <c r="AT220" s="540"/>
      <c r="AU220" s="540"/>
      <c r="AV220" s="540"/>
      <c r="AW220" s="540"/>
      <c r="AX220" s="540"/>
      <c r="AY220" s="540"/>
      <c r="AZ220" s="540"/>
      <c r="BA220" s="540"/>
      <c r="BB220" s="540"/>
      <c r="BC220" s="540"/>
      <c r="BD220" s="129"/>
      <c r="BE220" s="540"/>
      <c r="BF220" s="540"/>
      <c r="BG220" s="540"/>
      <c r="BH220" s="540"/>
      <c r="BI220" s="540"/>
      <c r="BJ220" s="540"/>
      <c r="BK220" s="540"/>
      <c r="BL220" s="540"/>
      <c r="BM220" s="540"/>
      <c r="BN220" s="774"/>
      <c r="BO220" s="774"/>
      <c r="BP220" s="774"/>
      <c r="BS220" s="694" t="s">
        <v>2037</v>
      </c>
      <c r="BT220" s="694" t="s">
        <v>2038</v>
      </c>
      <c r="BU220" s="694" cm="1">
        <f t="array" ref="BU220">AC220</f>
        <v>0</v>
      </c>
      <c r="BW220" s="505" t="b">
        <v>1</v>
      </c>
    </row>
    <row r="221" spans="1:75" ht="14.25" customHeight="1">
      <c r="E221" s="505">
        <v>15</v>
      </c>
      <c r="F221" s="3" t="str" cm="1">
        <f t="array" aca="1" ref="F221" ca="1">OFFSET(E221,-1,1)</f>
        <v>1</v>
      </c>
      <c r="G221" s="265"/>
      <c r="J221" s="72" t="s">
        <v>2039</v>
      </c>
      <c r="L221" s="25"/>
      <c r="M221" s="25"/>
      <c r="T221" s="351" t="b">
        <f ca="1">F221&gt;0</f>
        <v>1</v>
      </c>
      <c r="W221" s="504" t="s">
        <v>2276</v>
      </c>
      <c r="X221" s="1024"/>
      <c r="Z221" s="1008"/>
      <c r="AB221" s="544"/>
      <c r="AC221" s="171" t="s">
        <v>175</v>
      </c>
      <c r="AD221" s="545"/>
      <c r="AE221" s="545"/>
      <c r="AF221" s="545"/>
      <c r="AG221" s="545"/>
      <c r="AH221" s="545"/>
      <c r="AI221" s="545"/>
      <c r="AJ221" s="545"/>
      <c r="AK221" s="545"/>
      <c r="AL221" s="545"/>
      <c r="AM221" s="545"/>
      <c r="AN221" s="545"/>
      <c r="AO221" s="545"/>
      <c r="AP221" s="545"/>
      <c r="AQ221" s="545"/>
      <c r="AR221" s="545"/>
      <c r="AS221" s="545"/>
      <c r="AT221" s="545"/>
      <c r="AU221" s="545"/>
      <c r="AV221" s="545"/>
      <c r="AW221" s="545"/>
      <c r="AX221" s="545"/>
      <c r="AY221" s="545"/>
      <c r="AZ221" s="545"/>
      <c r="BA221" s="545"/>
      <c r="BB221" s="545"/>
      <c r="BC221" s="545"/>
      <c r="BD221" s="545"/>
      <c r="BE221" s="545"/>
      <c r="BF221" s="545"/>
      <c r="BG221" s="545"/>
      <c r="BH221" s="545"/>
      <c r="BI221" s="545"/>
      <c r="BJ221" s="545"/>
      <c r="BK221" s="545"/>
      <c r="BL221" s="545"/>
      <c r="BM221" s="545"/>
      <c r="BN221" s="545"/>
      <c r="BO221" s="545"/>
      <c r="BP221" s="546"/>
      <c r="BV221" s="505" t="s">
        <v>2038</v>
      </c>
    </row>
    <row r="222" spans="1:75" s="903" customFormat="1" ht="20.25" customHeight="1">
      <c r="A222" s="76"/>
      <c r="B222" s="331"/>
      <c r="C222" s="76"/>
      <c r="D222" s="76"/>
      <c r="E222" s="509">
        <v>21</v>
      </c>
      <c r="F222" s="3" t="str" cm="1">
        <f t="array" aca="1" ref="F222" ca="1">OFFSET(E222,-1,1)</f>
        <v>1</v>
      </c>
      <c r="G222" s="76"/>
      <c r="H222" s="72"/>
      <c r="I222" s="72" t="s">
        <v>322</v>
      </c>
      <c r="J222" s="76"/>
      <c r="K222" s="72" t="s">
        <v>322</v>
      </c>
      <c r="L222" s="27"/>
      <c r="M222" s="27"/>
      <c r="N222" s="76"/>
      <c r="O222" s="76"/>
      <c r="P222" s="76"/>
      <c r="Q222" s="76"/>
      <c r="R222" s="76"/>
      <c r="S222" s="76"/>
      <c r="T222" s="351" t="b" cm="1">
        <f t="array" aca="1" ref="T222" ca="1">T221</f>
        <v>1</v>
      </c>
      <c r="U222" s="76"/>
      <c r="V222" s="76"/>
      <c r="W222" s="76"/>
      <c r="X222" s="1024"/>
      <c r="Y222" s="76"/>
      <c r="Z222" s="1008"/>
      <c r="AA222" s="76"/>
      <c r="AB222" s="160" t="s">
        <v>435</v>
      </c>
      <c r="AC222" s="125" t="s">
        <v>2040</v>
      </c>
      <c r="AD222" s="147" t="s">
        <v>859</v>
      </c>
      <c r="AE222" s="126">
        <f ca="1">AE223+AE235+AE236++AE247+AE248+AE249+AE251+AE252+AE253+AE254+AE257</f>
        <v>575.6</v>
      </c>
      <c r="AF222" s="126">
        <f ca="1">AF223+AF235+AF236++AF247+AF248+AF249+AF251+AF252+AF253+AF254+AF257</f>
        <v>897.95</v>
      </c>
      <c r="AG222" s="126">
        <f ca="1">AG223+AG235+AG236++AG247+AG248+AG249+AG251+AG252+AG253+AG254+AG257</f>
        <v>897.95</v>
      </c>
      <c r="AH222" s="126">
        <f t="shared" ref="AH222:AH267" ca="1" si="50">AG222-AF222</f>
        <v>0</v>
      </c>
      <c r="AI222" s="126">
        <f t="shared" ref="AI222:BC222" ca="1" si="51">AI223+AI235+AI236++AI247+AI248+AI249+AI251+AI252+AI253+AI254+AI257</f>
        <v>12789.14</v>
      </c>
      <c r="AJ222" s="126">
        <f t="shared" ca="1" si="51"/>
        <v>18299.581999999999</v>
      </c>
      <c r="AK222" s="126">
        <f t="shared" ca="1" si="51"/>
        <v>17894.1999</v>
      </c>
      <c r="AL222" s="126">
        <f t="shared" ca="1" si="51"/>
        <v>17471.07748</v>
      </c>
      <c r="AM222" s="126">
        <f t="shared" ca="1" si="51"/>
        <v>0</v>
      </c>
      <c r="AN222" s="126">
        <f t="shared" ca="1" si="51"/>
        <v>0</v>
      </c>
      <c r="AO222" s="126">
        <f t="shared" ca="1" si="51"/>
        <v>0</v>
      </c>
      <c r="AP222" s="126">
        <f t="shared" ca="1" si="51"/>
        <v>0</v>
      </c>
      <c r="AQ222" s="126">
        <f t="shared" ca="1" si="51"/>
        <v>0</v>
      </c>
      <c r="AR222" s="126">
        <f t="shared" ca="1" si="51"/>
        <v>0</v>
      </c>
      <c r="AS222" s="126">
        <f t="shared" ca="1" si="51"/>
        <v>0</v>
      </c>
      <c r="AT222" s="126">
        <f t="shared" ca="1" si="51"/>
        <v>16754</v>
      </c>
      <c r="AU222" s="126">
        <f t="shared" ca="1" si="51"/>
        <v>16358.3017</v>
      </c>
      <c r="AV222" s="126">
        <f t="shared" ca="1" si="51"/>
        <v>15931.2330033</v>
      </c>
      <c r="AW222" s="126">
        <f t="shared" ca="1" si="51"/>
        <v>0</v>
      </c>
      <c r="AX222" s="126">
        <f t="shared" ca="1" si="51"/>
        <v>0</v>
      </c>
      <c r="AY222" s="126">
        <f t="shared" ca="1" si="51"/>
        <v>0</v>
      </c>
      <c r="AZ222" s="126">
        <f t="shared" ca="1" si="51"/>
        <v>0</v>
      </c>
      <c r="BA222" s="126">
        <f t="shared" ca="1" si="51"/>
        <v>0</v>
      </c>
      <c r="BB222" s="126">
        <f t="shared" ca="1" si="51"/>
        <v>0</v>
      </c>
      <c r="BC222" s="126">
        <f t="shared" ca="1" si="51"/>
        <v>0</v>
      </c>
      <c r="BD222" s="126">
        <f t="shared" ref="BD222:BD267" ca="1" si="52">IF(AI222=0,0,(AT222-AI222)/AI222*100)</f>
        <v>31.001771815774955</v>
      </c>
      <c r="BE222" s="126">
        <f t="shared" ref="BE222:BE267" ca="1" si="53">IF(AT222=0,0,(AU222-AT222)/AT222*100)</f>
        <v>-2.3618138951892087</v>
      </c>
      <c r="BF222" s="126">
        <f t="shared" ref="BF222:BF267" ca="1" si="54">IF(AU222=0,0,(AV222-AU222)/AU222*100)</f>
        <v>-2.6107153696767931</v>
      </c>
      <c r="BG222" s="126">
        <f t="shared" ref="BG222:BG267" ca="1" si="55">IF(AV222=0,0,(AW222-AV222)/AV222*100)</f>
        <v>-100</v>
      </c>
      <c r="BH222" s="126">
        <f t="shared" ref="BH222:BH267" ca="1" si="56">IF(AW222=0,0,(AX222-AW222)/AW222*100)</f>
        <v>0</v>
      </c>
      <c r="BI222" s="126">
        <f t="shared" ref="BI222:BI267" ca="1" si="57">IF(AX222=0,0,(AY222-AX222)/AX222*100)</f>
        <v>0</v>
      </c>
      <c r="BJ222" s="126">
        <f t="shared" ref="BJ222:BJ267" ca="1" si="58">IF(AY222=0,0,(AZ222-AY222)/AY222*100)</f>
        <v>0</v>
      </c>
      <c r="BK222" s="126">
        <f t="shared" ref="BK222:BK267" ca="1" si="59">IF(AZ222=0,0,(BA222-AZ222)/AZ222*100)</f>
        <v>0</v>
      </c>
      <c r="BL222" s="126">
        <f t="shared" ref="BL222:BL267" ca="1" si="60">IF(BA222=0,0,(BB222-BA222)/BA222*100)</f>
        <v>0</v>
      </c>
      <c r="BM222" s="126">
        <f t="shared" ref="BM222:BM267" ca="1" si="61">IF(BB222=0,0,(BC222-BB222)/BB222*100)</f>
        <v>0</v>
      </c>
      <c r="BN222" s="195"/>
      <c r="BO222" s="195"/>
      <c r="BP222" s="195"/>
      <c r="BQ222" s="74"/>
      <c r="BR222" s="76"/>
      <c r="BS222" s="700" t="s">
        <v>2041</v>
      </c>
      <c r="BT222" s="700"/>
      <c r="BU222" s="700"/>
      <c r="BV222" s="509"/>
      <c r="BW222" s="509"/>
    </row>
    <row r="223" spans="1:75" s="903" customFormat="1" ht="21.75" customHeight="1">
      <c r="A223" s="76"/>
      <c r="B223" s="331"/>
      <c r="C223" s="76"/>
      <c r="D223" s="76"/>
      <c r="E223" s="509">
        <v>22.5</v>
      </c>
      <c r="F223" s="3" t="str" cm="1">
        <f t="array" aca="1" ref="F223" ca="1">OFFSET(E223,-1,1)</f>
        <v>1</v>
      </c>
      <c r="G223" s="76"/>
      <c r="H223" s="72"/>
      <c r="I223" s="72" t="s">
        <v>525</v>
      </c>
      <c r="J223" s="76"/>
      <c r="K223" s="72" t="s">
        <v>525</v>
      </c>
      <c r="L223" s="27" t="s">
        <v>511</v>
      </c>
      <c r="M223" s="27"/>
      <c r="N223" s="76"/>
      <c r="O223" s="76"/>
      <c r="P223" s="76"/>
      <c r="Q223" s="76"/>
      <c r="R223" s="76"/>
      <c r="S223" s="76"/>
      <c r="T223" s="351" t="b" cm="1">
        <f t="array" aca="1" ref="T223" ca="1">T222</f>
        <v>1</v>
      </c>
      <c r="U223" s="76"/>
      <c r="V223" s="76"/>
      <c r="W223" s="76"/>
      <c r="X223" s="1024"/>
      <c r="Y223" s="76"/>
      <c r="Z223" s="1008"/>
      <c r="AA223" s="76"/>
      <c r="AB223" s="131" t="s">
        <v>588</v>
      </c>
      <c r="AC223" s="262" t="s">
        <v>2042</v>
      </c>
      <c r="AD223" s="124" t="s">
        <v>859</v>
      </c>
      <c r="AE223" s="126">
        <f ca="1">SUM(AE224:AE234)</f>
        <v>1.95</v>
      </c>
      <c r="AF223" s="126">
        <f ca="1">SUM(AF224:AF234)</f>
        <v>0</v>
      </c>
      <c r="AG223" s="126">
        <f ca="1">SUM(AG224:AG234)</f>
        <v>0</v>
      </c>
      <c r="AH223" s="126">
        <f t="shared" ca="1" si="50"/>
        <v>0</v>
      </c>
      <c r="AI223" s="126">
        <f t="shared" ref="AI223:BC223" ca="1" si="62">SUM(AI224:AI234)</f>
        <v>26.25</v>
      </c>
      <c r="AJ223" s="126">
        <f t="shared" ca="1" si="62"/>
        <v>1552.3219999999999</v>
      </c>
      <c r="AK223" s="126">
        <f t="shared" ca="1" si="62"/>
        <v>1620.6899000000001</v>
      </c>
      <c r="AL223" s="126">
        <f t="shared" ca="1" si="62"/>
        <v>1664.76748</v>
      </c>
      <c r="AM223" s="126">
        <f t="shared" ca="1" si="62"/>
        <v>0</v>
      </c>
      <c r="AN223" s="126">
        <f t="shared" ca="1" si="62"/>
        <v>0</v>
      </c>
      <c r="AO223" s="126">
        <f t="shared" ca="1" si="62"/>
        <v>0</v>
      </c>
      <c r="AP223" s="126">
        <f t="shared" ca="1" si="62"/>
        <v>0</v>
      </c>
      <c r="AQ223" s="126">
        <f t="shared" ca="1" si="62"/>
        <v>0</v>
      </c>
      <c r="AR223" s="126">
        <f t="shared" ca="1" si="62"/>
        <v>0</v>
      </c>
      <c r="AS223" s="126">
        <f t="shared" ca="1" si="62"/>
        <v>0</v>
      </c>
      <c r="AT223" s="126">
        <f t="shared" ca="1" si="62"/>
        <v>1088.7</v>
      </c>
      <c r="AU223" s="126">
        <f t="shared" ca="1" si="62"/>
        <v>1187.7817</v>
      </c>
      <c r="AV223" s="126">
        <f t="shared" ca="1" si="62"/>
        <v>1245.9830033000001</v>
      </c>
      <c r="AW223" s="126">
        <f t="shared" ca="1" si="62"/>
        <v>0</v>
      </c>
      <c r="AX223" s="126">
        <f t="shared" ca="1" si="62"/>
        <v>0</v>
      </c>
      <c r="AY223" s="126">
        <f t="shared" ca="1" si="62"/>
        <v>0</v>
      </c>
      <c r="AZ223" s="126">
        <f t="shared" ca="1" si="62"/>
        <v>0</v>
      </c>
      <c r="BA223" s="126">
        <f t="shared" ca="1" si="62"/>
        <v>0</v>
      </c>
      <c r="BB223" s="126">
        <f t="shared" ca="1" si="62"/>
        <v>0</v>
      </c>
      <c r="BC223" s="126">
        <f t="shared" ca="1" si="62"/>
        <v>0</v>
      </c>
      <c r="BD223" s="126">
        <f t="shared" ca="1" si="52"/>
        <v>4047.4285714285716</v>
      </c>
      <c r="BE223" s="126">
        <f t="shared" ca="1" si="53"/>
        <v>9.1009185266831949</v>
      </c>
      <c r="BF223" s="126">
        <f t="shared" ca="1" si="54"/>
        <v>4.9000000000000048</v>
      </c>
      <c r="BG223" s="126">
        <f t="shared" ca="1" si="55"/>
        <v>-100</v>
      </c>
      <c r="BH223" s="126">
        <f t="shared" ca="1" si="56"/>
        <v>0</v>
      </c>
      <c r="BI223" s="126">
        <f t="shared" ca="1" si="57"/>
        <v>0</v>
      </c>
      <c r="BJ223" s="126">
        <f t="shared" ca="1" si="58"/>
        <v>0</v>
      </c>
      <c r="BK223" s="126">
        <f t="shared" ca="1" si="59"/>
        <v>0</v>
      </c>
      <c r="BL223" s="126">
        <f t="shared" ca="1" si="60"/>
        <v>0</v>
      </c>
      <c r="BM223" s="126">
        <f t="shared" ca="1" si="61"/>
        <v>0</v>
      </c>
      <c r="BN223" s="554"/>
      <c r="BO223" s="554"/>
      <c r="BP223" s="554"/>
      <c r="BQ223" s="76"/>
      <c r="BR223" s="76"/>
      <c r="BS223" s="700" t="s">
        <v>2043</v>
      </c>
      <c r="BT223" s="700"/>
      <c r="BU223" s="700"/>
      <c r="BV223" s="509"/>
      <c r="BW223" s="509"/>
    </row>
    <row r="224" spans="1:75" ht="14.25" customHeight="1">
      <c r="E224" s="505">
        <v>15</v>
      </c>
      <c r="F224" s="3" t="str" cm="1">
        <f t="array" aca="1" ref="F224" ca="1">OFFSET(E224,-1,1)</f>
        <v>1</v>
      </c>
      <c r="G224" s="72" t="s">
        <v>1114</v>
      </c>
      <c r="I224" s="72" t="s">
        <v>1604</v>
      </c>
      <c r="K224" s="72" t="s">
        <v>1604</v>
      </c>
      <c r="L224" s="25" t="s">
        <v>1381</v>
      </c>
      <c r="M224" s="25"/>
      <c r="T224" s="351" t="b" cm="1">
        <f t="array" aca="1" ref="T224" ca="1">T223</f>
        <v>1</v>
      </c>
      <c r="X224" s="1024"/>
      <c r="Z224" s="1008"/>
      <c r="AB224" s="133" t="s">
        <v>533</v>
      </c>
      <c r="AC224" s="134" t="s">
        <v>2044</v>
      </c>
      <c r="AD224" s="7" t="s">
        <v>859</v>
      </c>
      <c r="AE224" s="170">
        <f ca="1">SUMIFS(Покупка!AE$25:AE$87,Покупка!$F$25:$F$87,$F224,Покупка!$AC$25:$AC$87,$G224)</f>
        <v>1.95</v>
      </c>
      <c r="AF224" s="170">
        <f ca="1">SUMIFS(Покупка!AF$25:AF$87,Покупка!$F$25:$F$87,$F224,Покупка!$AC$25:$AC$87,$G224)</f>
        <v>0</v>
      </c>
      <c r="AG224" s="170">
        <f ca="1">SUMIFS(Покупка!AG$25:AG$87,Покупка!$F$25:$F$87,$F224,Покупка!$AC$25:$AC$87,$G224)</f>
        <v>0</v>
      </c>
      <c r="AH224" s="170">
        <f t="shared" ca="1" si="50"/>
        <v>0</v>
      </c>
      <c r="AI224" s="170">
        <f ca="1">SUMIFS(Покупка!AH$25:AH$87,Покупка!$F$25:$F$87,$F224,Покупка!$AC$25:$AC$87,$G224)</f>
        <v>26.25</v>
      </c>
      <c r="AJ224" s="170">
        <f ca="1">SUMIFS(Покупка!AI$25:AI$87,Покупка!$F$25:$F$87,$F224,Покупка!$AC$25:$AC$87,$G224)</f>
        <v>24.071999999999999</v>
      </c>
      <c r="AK224" s="170">
        <f ca="1">SUMIFS(Покупка!AJ$25:AJ$87,Покупка!$F$25:$F$87,$F224,Покупка!$AC$25:$AC$87,$G224)</f>
        <v>25.189900000000002</v>
      </c>
      <c r="AL224" s="170">
        <f ca="1">SUMIFS(Покупка!AK$25:AK$87,Покупка!$F$25:$F$87,$F224,Покупка!$AC$25:$AC$87,$G224)</f>
        <v>26.197479999999999</v>
      </c>
      <c r="AM224" s="170">
        <f ca="1">SUMIFS(Покупка!AL$25:AL$87,Покупка!$F$25:$F$87,$F224,Покупка!$AC$25:$AC$87,$G224)</f>
        <v>0</v>
      </c>
      <c r="AN224" s="170">
        <f ca="1">SUMIFS(Покупка!AM$25:AM$87,Покупка!$F$25:$F$87,$F224,Покупка!$AC$25:$AC$87,$G224)</f>
        <v>0</v>
      </c>
      <c r="AO224" s="170">
        <f ca="1">SUMIFS(Покупка!AN$25:AN$87,Покупка!$F$25:$F$87,$F224,Покупка!$AC$25:$AC$87,$G224)</f>
        <v>0</v>
      </c>
      <c r="AP224" s="170">
        <f ca="1">SUMIFS(Покупка!AO$25:AO$87,Покупка!$F$25:$F$87,$F224,Покупка!$AC$25:$AC$87,$G224)</f>
        <v>0</v>
      </c>
      <c r="AQ224" s="170">
        <f ca="1">SUMIFS(Покупка!AP$25:AP$87,Покупка!$F$25:$F$87,$F224,Покупка!$AC$25:$AC$87,$G224)</f>
        <v>0</v>
      </c>
      <c r="AR224" s="170">
        <f ca="1">SUMIFS(Покупка!AQ$25:AQ$87,Покупка!$F$25:$F$87,$F224,Покупка!$AC$25:$AC$87,$G224)</f>
        <v>0</v>
      </c>
      <c r="AS224" s="170">
        <f ca="1">SUMIFS(Покупка!AR$25:AR$87,Покупка!$F$25:$F$87,$F224,Покупка!$AC$25:$AC$87,$G224)</f>
        <v>0</v>
      </c>
      <c r="AT224" s="170">
        <f ca="1">SUMIFS(Покупка!AS$25:AS$87,Покупка!$F$25:$F$87,$F224,Покупка!$AC$25:$AC$87,$G224)</f>
        <v>42.67</v>
      </c>
      <c r="AU224" s="170">
        <f ca="1">SUMIFS(Покупка!AT$25:AT$87,Покупка!$F$25:$F$87,$F224,Покупка!$AC$25:$AC$87,$G224)</f>
        <v>46.552970000000002</v>
      </c>
      <c r="AV224" s="170">
        <f ca="1">SUMIFS(Покупка!AU$25:AU$87,Покупка!$F$25:$F$87,$F224,Покупка!$AC$25:$AC$87,$G224)</f>
        <v>48.834065529999997</v>
      </c>
      <c r="AW224" s="170">
        <f ca="1">SUMIFS(Покупка!AV$25:AV$87,Покупка!$F$25:$F$87,$F224,Покупка!$AC$25:$AC$87,$G224)</f>
        <v>0</v>
      </c>
      <c r="AX224" s="170">
        <f ca="1">SUMIFS(Покупка!AW$25:AW$87,Покупка!$F$25:$F$87,$F224,Покупка!$AC$25:$AC$87,$G224)</f>
        <v>0</v>
      </c>
      <c r="AY224" s="170">
        <f ca="1">SUMIFS(Покупка!AX$25:AX$87,Покупка!$F$25:$F$87,$F224,Покупка!$AC$25:$AC$87,$G224)</f>
        <v>0</v>
      </c>
      <c r="AZ224" s="170">
        <f ca="1">SUMIFS(Покупка!AY$25:AY$87,Покупка!$F$25:$F$87,$F224,Покупка!$AC$25:$AC$87,$G224)</f>
        <v>0</v>
      </c>
      <c r="BA224" s="170">
        <f ca="1">SUMIFS(Покупка!AZ$25:AZ$87,Покупка!$F$25:$F$87,$F224,Покупка!$AC$25:$AC$87,$G224)</f>
        <v>0</v>
      </c>
      <c r="BB224" s="170">
        <f ca="1">SUMIFS(Покупка!BA$25:BA$87,Покупка!$F$25:$F$87,$F224,Покупка!$AC$25:$AC$87,$G224)</f>
        <v>0</v>
      </c>
      <c r="BC224" s="170">
        <f ca="1">SUMIFS(Покупка!BB$25:BB$87,Покупка!$F$25:$F$87,$F224,Покупка!$AC$25:$AC$87,$G224)</f>
        <v>0</v>
      </c>
      <c r="BD224" s="170">
        <f t="shared" ca="1" si="52"/>
        <v>62.552380952380958</v>
      </c>
      <c r="BE224" s="170">
        <f t="shared" ca="1" si="53"/>
        <v>9.1</v>
      </c>
      <c r="BF224" s="170">
        <f t="shared" ca="1" si="54"/>
        <v>4.8999999999999888</v>
      </c>
      <c r="BG224" s="170">
        <f t="shared" ca="1" si="55"/>
        <v>-100</v>
      </c>
      <c r="BH224" s="170">
        <f t="shared" ca="1" si="56"/>
        <v>0</v>
      </c>
      <c r="BI224" s="170">
        <f t="shared" ca="1" si="57"/>
        <v>0</v>
      </c>
      <c r="BJ224" s="170">
        <f t="shared" ca="1" si="58"/>
        <v>0</v>
      </c>
      <c r="BK224" s="170">
        <f t="shared" ca="1" si="59"/>
        <v>0</v>
      </c>
      <c r="BL224" s="170">
        <f t="shared" ca="1" si="60"/>
        <v>0</v>
      </c>
      <c r="BM224" s="170">
        <f t="shared" ca="1" si="61"/>
        <v>0</v>
      </c>
      <c r="BN224" s="195"/>
      <c r="BO224" s="599" t="str">
        <f ca="1">IF(IFERROR(INDEX(Покупка!$K$26:$L$87,MATCH($F224&amp;"6komm",Покупка!$K$26:$K$87,0),2),"")=0,"",IFERROR(INDEX(Покупка!$K$26:$L$87,MATCH($F224&amp;"6komm",Покупка!$K$26:$K$87,0),2),""))</f>
        <v>П. 39(б), п. 48  Методических указаний ФСТ России № 1746-э.</v>
      </c>
      <c r="BP224" s="195"/>
      <c r="BS224" s="694" t="s">
        <v>1115</v>
      </c>
    </row>
    <row r="225" spans="1:75" ht="14.25" customHeight="1">
      <c r="B225" s="15"/>
      <c r="C225" s="25"/>
      <c r="D225" s="25"/>
      <c r="E225" s="449">
        <v>15</v>
      </c>
      <c r="F225" s="3" t="str" cm="1">
        <f t="array" aca="1" ref="F225" ca="1">OFFSET(E225,-1,1)</f>
        <v>1</v>
      </c>
      <c r="G225" s="25" t="s">
        <v>1116</v>
      </c>
      <c r="H225" s="25"/>
      <c r="I225" s="25" t="s">
        <v>1608</v>
      </c>
      <c r="J225" s="25"/>
      <c r="K225" s="25" t="s">
        <v>1608</v>
      </c>
      <c r="L225" s="25" t="s">
        <v>1385</v>
      </c>
      <c r="M225" s="25"/>
      <c r="N225" s="25"/>
      <c r="O225" s="25"/>
      <c r="P225" s="25"/>
      <c r="Q225" s="25"/>
      <c r="R225" s="25"/>
      <c r="S225" s="25"/>
      <c r="T225" s="351" t="b" cm="1">
        <f t="array" aca="1" ref="T225" ca="1">T224</f>
        <v>1</v>
      </c>
      <c r="U225" s="25"/>
      <c r="V225" s="25"/>
      <c r="X225" s="1024"/>
      <c r="Z225" s="1008"/>
      <c r="AB225" s="133" t="s">
        <v>2045</v>
      </c>
      <c r="AC225" s="134" t="s">
        <v>2046</v>
      </c>
      <c r="AD225" s="7" t="s">
        <v>859</v>
      </c>
      <c r="AE225" s="170">
        <f ca="1">SUMIFS(Покупка!AE$25:AE$87,Покупка!$F$25:$F$87,$F225,Покупка!$AC$25:$AC$87,$G225)</f>
        <v>0</v>
      </c>
      <c r="AF225" s="170">
        <f ca="1">SUMIFS(Покупка!AF$25:AF$87,Покупка!$F$25:$F$87,$F225,Покупка!$AC$25:$AC$87,$G225)</f>
        <v>0</v>
      </c>
      <c r="AG225" s="170">
        <f ca="1">SUMIFS(Покупка!AG$25:AG$87,Покупка!$F$25:$F$87,$F225,Покупка!$AC$25:$AC$87,$G225)</f>
        <v>0</v>
      </c>
      <c r="AH225" s="170">
        <f t="shared" ca="1" si="50"/>
        <v>0</v>
      </c>
      <c r="AI225" s="170">
        <f ca="1">SUMIFS(Покупка!AH$25:AH$87,Покупка!$F$25:$F$87,$F225,Покупка!$AC$25:$AC$87,$G225)</f>
        <v>0</v>
      </c>
      <c r="AJ225" s="170">
        <f ca="1">SUMIFS(Покупка!AI$25:AI$87,Покупка!$F$25:$F$87,$F225,Покупка!$AC$25:$AC$87,$G225)</f>
        <v>0</v>
      </c>
      <c r="AK225" s="170">
        <f ca="1">SUMIFS(Покупка!AJ$25:AJ$87,Покупка!$F$25:$F$87,$F225,Покупка!$AC$25:$AC$87,$G225)</f>
        <v>0</v>
      </c>
      <c r="AL225" s="170">
        <f ca="1">SUMIFS(Покупка!AK$25:AK$87,Покупка!$F$25:$F$87,$F225,Покупка!$AC$25:$AC$87,$G225)</f>
        <v>0</v>
      </c>
      <c r="AM225" s="170">
        <f ca="1">SUMIFS(Покупка!AL$25:AL$87,Покупка!$F$25:$F$87,$F225,Покупка!$AC$25:$AC$87,$G225)</f>
        <v>0</v>
      </c>
      <c r="AN225" s="170">
        <f ca="1">SUMIFS(Покупка!AM$25:AM$87,Покупка!$F$25:$F$87,$F225,Покупка!$AC$25:$AC$87,$G225)</f>
        <v>0</v>
      </c>
      <c r="AO225" s="170">
        <f ca="1">SUMIFS(Покупка!AN$25:AN$87,Покупка!$F$25:$F$87,$F225,Покупка!$AC$25:$AC$87,$G225)</f>
        <v>0</v>
      </c>
      <c r="AP225" s="170">
        <f ca="1">SUMIFS(Покупка!AO$25:AO$87,Покупка!$F$25:$F$87,$F225,Покупка!$AC$25:$AC$87,$G225)</f>
        <v>0</v>
      </c>
      <c r="AQ225" s="170">
        <f ca="1">SUMIFS(Покупка!AP$25:AP$87,Покупка!$F$25:$F$87,$F225,Покупка!$AC$25:$AC$87,$G225)</f>
        <v>0</v>
      </c>
      <c r="AR225" s="170">
        <f ca="1">SUMIFS(Покупка!AQ$25:AQ$87,Покупка!$F$25:$F$87,$F225,Покупка!$AC$25:$AC$87,$G225)</f>
        <v>0</v>
      </c>
      <c r="AS225" s="170">
        <f ca="1">SUMIFS(Покупка!AR$25:AR$87,Покупка!$F$25:$F$87,$F225,Покупка!$AC$25:$AC$87,$G225)</f>
        <v>0</v>
      </c>
      <c r="AT225" s="170">
        <f ca="1">SUMIFS(Покупка!AS$25:AS$87,Покупка!$F$25:$F$87,$F225,Покупка!$AC$25:$AC$87,$G225)</f>
        <v>0</v>
      </c>
      <c r="AU225" s="170">
        <f ca="1">SUMIFS(Покупка!AT$25:AT$87,Покупка!$F$25:$F$87,$F225,Покупка!$AC$25:$AC$87,$G225)</f>
        <v>0</v>
      </c>
      <c r="AV225" s="170">
        <f ca="1">SUMIFS(Покупка!AU$25:AU$87,Покупка!$F$25:$F$87,$F225,Покупка!$AC$25:$AC$87,$G225)</f>
        <v>0</v>
      </c>
      <c r="AW225" s="170">
        <f ca="1">SUMIFS(Покупка!AV$25:AV$87,Покупка!$F$25:$F$87,$F225,Покупка!$AC$25:$AC$87,$G225)</f>
        <v>0</v>
      </c>
      <c r="AX225" s="170">
        <f ca="1">SUMIFS(Покупка!AW$25:AW$87,Покупка!$F$25:$F$87,$F225,Покупка!$AC$25:$AC$87,$G225)</f>
        <v>0</v>
      </c>
      <c r="AY225" s="170">
        <f ca="1">SUMIFS(Покупка!AX$25:AX$87,Покупка!$F$25:$F$87,$F225,Покупка!$AC$25:$AC$87,$G225)</f>
        <v>0</v>
      </c>
      <c r="AZ225" s="170">
        <f ca="1">SUMIFS(Покупка!AY$25:AY$87,Покупка!$F$25:$F$87,$F225,Покупка!$AC$25:$AC$87,$G225)</f>
        <v>0</v>
      </c>
      <c r="BA225" s="170">
        <f ca="1">SUMIFS(Покупка!AZ$25:AZ$87,Покупка!$F$25:$F$87,$F225,Покупка!$AC$25:$AC$87,$G225)</f>
        <v>0</v>
      </c>
      <c r="BB225" s="170">
        <f ca="1">SUMIFS(Покупка!BA$25:BA$87,Покупка!$F$25:$F$87,$F225,Покупка!$AC$25:$AC$87,$G225)</f>
        <v>0</v>
      </c>
      <c r="BC225" s="170">
        <f ca="1">SUMIFS(Покупка!BB$25:BB$87,Покупка!$F$25:$F$87,$F225,Покупка!$AC$25:$AC$87,$G225)</f>
        <v>0</v>
      </c>
      <c r="BD225" s="170">
        <f t="shared" ca="1" si="52"/>
        <v>0</v>
      </c>
      <c r="BE225" s="170">
        <f t="shared" ca="1" si="53"/>
        <v>0</v>
      </c>
      <c r="BF225" s="170">
        <f t="shared" ca="1" si="54"/>
        <v>0</v>
      </c>
      <c r="BG225" s="170">
        <f t="shared" ca="1" si="55"/>
        <v>0</v>
      </c>
      <c r="BH225" s="170">
        <f t="shared" ca="1" si="56"/>
        <v>0</v>
      </c>
      <c r="BI225" s="170">
        <f t="shared" ca="1" si="57"/>
        <v>0</v>
      </c>
      <c r="BJ225" s="170">
        <f t="shared" ca="1" si="58"/>
        <v>0</v>
      </c>
      <c r="BK225" s="170">
        <f t="shared" ca="1" si="59"/>
        <v>0</v>
      </c>
      <c r="BL225" s="170">
        <f t="shared" ca="1" si="60"/>
        <v>0</v>
      </c>
      <c r="BM225" s="170">
        <f t="shared" ca="1" si="61"/>
        <v>0</v>
      </c>
      <c r="BN225" s="195"/>
      <c r="BO225" s="599" t="str">
        <f ca="1">IF(IFERROR(INDEX(Покупка!$K$26:$L$87,MATCH($F225&amp;"7komm",Покупка!$K$26:$K$87,0),2),"")=0,"",IFERROR(INDEX(Покупка!$K$26:$L$87,MATCH($F225&amp;"7komm",Покупка!$K$26:$K$87,0),2),""))</f>
        <v/>
      </c>
      <c r="BP225" s="195"/>
      <c r="BS225" s="694" t="s">
        <v>1117</v>
      </c>
    </row>
    <row r="226" spans="1:75" ht="14.25" customHeight="1">
      <c r="B226" s="15"/>
      <c r="C226" s="25"/>
      <c r="D226" s="25"/>
      <c r="E226" s="449">
        <v>15</v>
      </c>
      <c r="F226" s="3" t="str" cm="1">
        <f t="array" aca="1" ref="F226" ca="1">OFFSET(E226,-1,1)</f>
        <v>1</v>
      </c>
      <c r="G226" s="25" t="s">
        <v>1091</v>
      </c>
      <c r="H226" s="25"/>
      <c r="I226" s="25" t="s">
        <v>1684</v>
      </c>
      <c r="J226" s="25"/>
      <c r="K226" s="25" t="s">
        <v>1684</v>
      </c>
      <c r="L226" s="25" t="s">
        <v>1553</v>
      </c>
      <c r="M226" s="25"/>
      <c r="N226" s="25"/>
      <c r="O226" s="25"/>
      <c r="P226" s="25"/>
      <c r="Q226" s="25"/>
      <c r="R226" s="25"/>
      <c r="S226" s="25"/>
      <c r="T226" s="351" t="b" cm="1">
        <f t="array" aca="1" ref="T226" ca="1">T225</f>
        <v>1</v>
      </c>
      <c r="U226" s="25"/>
      <c r="V226" s="25"/>
      <c r="X226" s="1024"/>
      <c r="Z226" s="1008"/>
      <c r="AB226" s="133" t="s">
        <v>2047</v>
      </c>
      <c r="AC226" s="134" t="s">
        <v>2048</v>
      </c>
      <c r="AD226" s="7" t="s">
        <v>859</v>
      </c>
      <c r="AE226" s="170">
        <f ca="1">SUMIFS(Покупка!AE$25:AE$87,Покупка!$F$25:$F$87,$F226,Покупка!$AC$25:$AC$87,$G226)</f>
        <v>0</v>
      </c>
      <c r="AF226" s="170">
        <f ca="1">SUMIFS(Покупка!AF$25:AF$87,Покупка!$F$25:$F$87,$F226,Покупка!$AC$25:$AC$87,$G226)</f>
        <v>0</v>
      </c>
      <c r="AG226" s="170">
        <f ca="1">SUMIFS(Покупка!AG$25:AG$87,Покупка!$F$25:$F$87,$F226,Покупка!$AC$25:$AC$87,$G226)</f>
        <v>0</v>
      </c>
      <c r="AH226" s="170">
        <f t="shared" ca="1" si="50"/>
        <v>0</v>
      </c>
      <c r="AI226" s="170">
        <f ca="1">SUMIFS(Покупка!AH$25:AH$87,Покупка!$F$25:$F$87,$F226,Покупка!$AC$25:$AC$87,$G226)</f>
        <v>0</v>
      </c>
      <c r="AJ226" s="170">
        <f ca="1">SUMIFS(Покупка!AI$25:AI$87,Покупка!$F$25:$F$87,$F226,Покупка!$AC$25:$AC$87,$G226)</f>
        <v>0</v>
      </c>
      <c r="AK226" s="170">
        <f ca="1">SUMIFS(Покупка!AJ$25:AJ$87,Покупка!$F$25:$F$87,$F226,Покупка!$AC$25:$AC$87,$G226)</f>
        <v>0</v>
      </c>
      <c r="AL226" s="170">
        <f ca="1">SUMIFS(Покупка!AK$25:AK$87,Покупка!$F$25:$F$87,$F226,Покупка!$AC$25:$AC$87,$G226)</f>
        <v>0</v>
      </c>
      <c r="AM226" s="170">
        <f ca="1">SUMIFS(Покупка!AL$25:AL$87,Покупка!$F$25:$F$87,$F226,Покупка!$AC$25:$AC$87,$G226)</f>
        <v>0</v>
      </c>
      <c r="AN226" s="170">
        <f ca="1">SUMIFS(Покупка!AM$25:AM$87,Покупка!$F$25:$F$87,$F226,Покупка!$AC$25:$AC$87,$G226)</f>
        <v>0</v>
      </c>
      <c r="AO226" s="170">
        <f ca="1">SUMIFS(Покупка!AN$25:AN$87,Покупка!$F$25:$F$87,$F226,Покупка!$AC$25:$AC$87,$G226)</f>
        <v>0</v>
      </c>
      <c r="AP226" s="170">
        <f ca="1">SUMIFS(Покупка!AO$25:AO$87,Покупка!$F$25:$F$87,$F226,Покупка!$AC$25:$AC$87,$G226)</f>
        <v>0</v>
      </c>
      <c r="AQ226" s="170">
        <f ca="1">SUMIFS(Покупка!AP$25:AP$87,Покупка!$F$25:$F$87,$F226,Покупка!$AC$25:$AC$87,$G226)</f>
        <v>0</v>
      </c>
      <c r="AR226" s="170">
        <f ca="1">SUMIFS(Покупка!AQ$25:AQ$87,Покупка!$F$25:$F$87,$F226,Покупка!$AC$25:$AC$87,$G226)</f>
        <v>0</v>
      </c>
      <c r="AS226" s="170">
        <f ca="1">SUMIFS(Покупка!AR$25:AR$87,Покупка!$F$25:$F$87,$F226,Покупка!$AC$25:$AC$87,$G226)</f>
        <v>0</v>
      </c>
      <c r="AT226" s="170">
        <f ca="1">SUMIFS(Покупка!AS$25:AS$87,Покупка!$F$25:$F$87,$F226,Покупка!$AC$25:$AC$87,$G226)</f>
        <v>0</v>
      </c>
      <c r="AU226" s="170">
        <f ca="1">SUMIFS(Покупка!AT$25:AT$87,Покупка!$F$25:$F$87,$F226,Покупка!$AC$25:$AC$87,$G226)</f>
        <v>0</v>
      </c>
      <c r="AV226" s="170">
        <f ca="1">SUMIFS(Покупка!AU$25:AU$87,Покупка!$F$25:$F$87,$F226,Покупка!$AC$25:$AC$87,$G226)</f>
        <v>0</v>
      </c>
      <c r="AW226" s="170">
        <f ca="1">SUMIFS(Покупка!AV$25:AV$87,Покупка!$F$25:$F$87,$F226,Покупка!$AC$25:$AC$87,$G226)</f>
        <v>0</v>
      </c>
      <c r="AX226" s="170">
        <f ca="1">SUMIFS(Покупка!AW$25:AW$87,Покупка!$F$25:$F$87,$F226,Покупка!$AC$25:$AC$87,$G226)</f>
        <v>0</v>
      </c>
      <c r="AY226" s="170">
        <f ca="1">SUMIFS(Покупка!AX$25:AX$87,Покупка!$F$25:$F$87,$F226,Покупка!$AC$25:$AC$87,$G226)</f>
        <v>0</v>
      </c>
      <c r="AZ226" s="170">
        <f ca="1">SUMIFS(Покупка!AY$25:AY$87,Покупка!$F$25:$F$87,$F226,Покупка!$AC$25:$AC$87,$G226)</f>
        <v>0</v>
      </c>
      <c r="BA226" s="170">
        <f ca="1">SUMIFS(Покупка!AZ$25:AZ$87,Покупка!$F$25:$F$87,$F226,Покупка!$AC$25:$AC$87,$G226)</f>
        <v>0</v>
      </c>
      <c r="BB226" s="170">
        <f ca="1">SUMIFS(Покупка!BA$25:BA$87,Покупка!$F$25:$F$87,$F226,Покупка!$AC$25:$AC$87,$G226)</f>
        <v>0</v>
      </c>
      <c r="BC226" s="170">
        <f ca="1">SUMIFS(Покупка!BB$25:BB$87,Покупка!$F$25:$F$87,$F226,Покупка!$AC$25:$AC$87,$G226)</f>
        <v>0</v>
      </c>
      <c r="BD226" s="170">
        <f t="shared" ca="1" si="52"/>
        <v>0</v>
      </c>
      <c r="BE226" s="170">
        <f t="shared" ca="1" si="53"/>
        <v>0</v>
      </c>
      <c r="BF226" s="170">
        <f t="shared" ca="1" si="54"/>
        <v>0</v>
      </c>
      <c r="BG226" s="170">
        <f t="shared" ca="1" si="55"/>
        <v>0</v>
      </c>
      <c r="BH226" s="170">
        <f t="shared" ca="1" si="56"/>
        <v>0</v>
      </c>
      <c r="BI226" s="170">
        <f t="shared" ca="1" si="57"/>
        <v>0</v>
      </c>
      <c r="BJ226" s="170">
        <f t="shared" ca="1" si="58"/>
        <v>0</v>
      </c>
      <c r="BK226" s="170">
        <f t="shared" ca="1" si="59"/>
        <v>0</v>
      </c>
      <c r="BL226" s="170">
        <f t="shared" ca="1" si="60"/>
        <v>0</v>
      </c>
      <c r="BM226" s="170">
        <f t="shared" ca="1" si="61"/>
        <v>0</v>
      </c>
      <c r="BN226" s="195"/>
      <c r="BO226" s="599" t="str">
        <f ca="1">IF(IFERROR(INDEX(Покупка!$K$26:$L$87,MATCH($F226&amp;"2komm",Покупка!$K$26:$K$87,0),2),"")=0,"",IFERROR(INDEX(Покупка!$K$26:$L$87,MATCH($F226&amp;"2komm",Покупка!$K$26:$K$87,0),2),""))</f>
        <v/>
      </c>
      <c r="BP226" s="195"/>
      <c r="BS226" s="694" t="s">
        <v>2049</v>
      </c>
    </row>
    <row r="227" spans="1:75" ht="14.25" customHeight="1">
      <c r="B227" s="15"/>
      <c r="C227" s="25"/>
      <c r="D227" s="25"/>
      <c r="E227" s="449">
        <v>15</v>
      </c>
      <c r="F227" s="3" t="str" cm="1">
        <f t="array" aca="1" ref="F227" ca="1">OFFSET(E227,-1,1)</f>
        <v>1</v>
      </c>
      <c r="G227" s="25" t="s">
        <v>1082</v>
      </c>
      <c r="H227" s="25"/>
      <c r="I227" s="25" t="s">
        <v>1686</v>
      </c>
      <c r="J227" s="25"/>
      <c r="K227" s="25" t="s">
        <v>1686</v>
      </c>
      <c r="L227" s="25" t="s">
        <v>1548</v>
      </c>
      <c r="M227" s="25"/>
      <c r="N227" s="25"/>
      <c r="O227" s="25"/>
      <c r="P227" s="25"/>
      <c r="Q227" s="25"/>
      <c r="R227" s="25"/>
      <c r="S227" s="25"/>
      <c r="T227" s="351" t="b" cm="1">
        <f t="array" aca="1" ref="T227" ca="1">T226</f>
        <v>1</v>
      </c>
      <c r="U227" s="25"/>
      <c r="V227" s="25"/>
      <c r="X227" s="1024"/>
      <c r="Z227" s="1008"/>
      <c r="AB227" s="133" t="s">
        <v>2050</v>
      </c>
      <c r="AC227" s="134" t="s">
        <v>2051</v>
      </c>
      <c r="AD227" s="7" t="s">
        <v>859</v>
      </c>
      <c r="AE227" s="170">
        <f ca="1">SUMIFS(Покупка!AE$25:AE$87,Покупка!$F$25:$F$87,$F227,Покупка!$AC$25:$AC$87,$G227)</f>
        <v>0</v>
      </c>
      <c r="AF227" s="170">
        <f ca="1">SUMIFS(Покупка!AF$25:AF$87,Покупка!$F$25:$F$87,$F227,Покупка!$AC$25:$AC$87,$G227)</f>
        <v>0</v>
      </c>
      <c r="AG227" s="170">
        <f ca="1">SUMIFS(Покупка!AG$25:AG$87,Покупка!$F$25:$F$87,$F227,Покупка!$AC$25:$AC$87,$G227)</f>
        <v>0</v>
      </c>
      <c r="AH227" s="170">
        <f t="shared" ca="1" si="50"/>
        <v>0</v>
      </c>
      <c r="AI227" s="170">
        <f ca="1">SUMIFS(Покупка!AH$25:AH$87,Покупка!$F$25:$F$87,$F227,Покупка!$AC$25:$AC$87,$G227)</f>
        <v>0</v>
      </c>
      <c r="AJ227" s="170">
        <f ca="1">SUMIFS(Покупка!AI$25:AI$87,Покупка!$F$25:$F$87,$F227,Покупка!$AC$25:$AC$87,$G227)</f>
        <v>0</v>
      </c>
      <c r="AK227" s="170">
        <f ca="1">SUMIFS(Покупка!AJ$25:AJ$87,Покупка!$F$25:$F$87,$F227,Покупка!$AC$25:$AC$87,$G227)</f>
        <v>0</v>
      </c>
      <c r="AL227" s="170">
        <f ca="1">SUMIFS(Покупка!AK$25:AK$87,Покупка!$F$25:$F$87,$F227,Покупка!$AC$25:$AC$87,$G227)</f>
        <v>0</v>
      </c>
      <c r="AM227" s="170">
        <f ca="1">SUMIFS(Покупка!AL$25:AL$87,Покупка!$F$25:$F$87,$F227,Покупка!$AC$25:$AC$87,$G227)</f>
        <v>0</v>
      </c>
      <c r="AN227" s="170">
        <f ca="1">SUMIFS(Покупка!AM$25:AM$87,Покупка!$F$25:$F$87,$F227,Покупка!$AC$25:$AC$87,$G227)</f>
        <v>0</v>
      </c>
      <c r="AO227" s="170">
        <f ca="1">SUMIFS(Покупка!AN$25:AN$87,Покупка!$F$25:$F$87,$F227,Покупка!$AC$25:$AC$87,$G227)</f>
        <v>0</v>
      </c>
      <c r="AP227" s="170">
        <f ca="1">SUMIFS(Покупка!AO$25:AO$87,Покупка!$F$25:$F$87,$F227,Покупка!$AC$25:$AC$87,$G227)</f>
        <v>0</v>
      </c>
      <c r="AQ227" s="170">
        <f ca="1">SUMIFS(Покупка!AP$25:AP$87,Покупка!$F$25:$F$87,$F227,Покупка!$AC$25:$AC$87,$G227)</f>
        <v>0</v>
      </c>
      <c r="AR227" s="170">
        <f ca="1">SUMIFS(Покупка!AQ$25:AQ$87,Покупка!$F$25:$F$87,$F227,Покупка!$AC$25:$AC$87,$G227)</f>
        <v>0</v>
      </c>
      <c r="AS227" s="170">
        <f ca="1">SUMIFS(Покупка!AR$25:AR$87,Покупка!$F$25:$F$87,$F227,Покупка!$AC$25:$AC$87,$G227)</f>
        <v>0</v>
      </c>
      <c r="AT227" s="170">
        <f ca="1">SUMIFS(Покупка!AS$25:AS$87,Покупка!$F$25:$F$87,$F227,Покупка!$AC$25:$AC$87,$G227)</f>
        <v>0</v>
      </c>
      <c r="AU227" s="170">
        <f ca="1">SUMIFS(Покупка!AT$25:AT$87,Покупка!$F$25:$F$87,$F227,Покупка!$AC$25:$AC$87,$G227)</f>
        <v>0</v>
      </c>
      <c r="AV227" s="170">
        <f ca="1">SUMIFS(Покупка!AU$25:AU$87,Покупка!$F$25:$F$87,$F227,Покупка!$AC$25:$AC$87,$G227)</f>
        <v>0</v>
      </c>
      <c r="AW227" s="170">
        <f ca="1">SUMIFS(Покупка!AV$25:AV$87,Покупка!$F$25:$F$87,$F227,Покупка!$AC$25:$AC$87,$G227)</f>
        <v>0</v>
      </c>
      <c r="AX227" s="170">
        <f ca="1">SUMIFS(Покупка!AW$25:AW$87,Покупка!$F$25:$F$87,$F227,Покупка!$AC$25:$AC$87,$G227)</f>
        <v>0</v>
      </c>
      <c r="AY227" s="170">
        <f ca="1">SUMIFS(Покупка!AX$25:AX$87,Покупка!$F$25:$F$87,$F227,Покупка!$AC$25:$AC$87,$G227)</f>
        <v>0</v>
      </c>
      <c r="AZ227" s="170">
        <f ca="1">SUMIFS(Покупка!AY$25:AY$87,Покупка!$F$25:$F$87,$F227,Покупка!$AC$25:$AC$87,$G227)</f>
        <v>0</v>
      </c>
      <c r="BA227" s="170">
        <f ca="1">SUMIFS(Покупка!AZ$25:AZ$87,Покупка!$F$25:$F$87,$F227,Покупка!$AC$25:$AC$87,$G227)</f>
        <v>0</v>
      </c>
      <c r="BB227" s="170">
        <f ca="1">SUMIFS(Покупка!BA$25:BA$87,Покупка!$F$25:$F$87,$F227,Покупка!$AC$25:$AC$87,$G227)</f>
        <v>0</v>
      </c>
      <c r="BC227" s="170">
        <f ca="1">SUMIFS(Покупка!BB$25:BB$87,Покупка!$F$25:$F$87,$F227,Покупка!$AC$25:$AC$87,$G227)</f>
        <v>0</v>
      </c>
      <c r="BD227" s="170">
        <f t="shared" ca="1" si="52"/>
        <v>0</v>
      </c>
      <c r="BE227" s="170">
        <f t="shared" ca="1" si="53"/>
        <v>0</v>
      </c>
      <c r="BF227" s="170">
        <f t="shared" ca="1" si="54"/>
        <v>0</v>
      </c>
      <c r="BG227" s="170">
        <f t="shared" ca="1" si="55"/>
        <v>0</v>
      </c>
      <c r="BH227" s="170">
        <f t="shared" ca="1" si="56"/>
        <v>0</v>
      </c>
      <c r="BI227" s="170">
        <f t="shared" ca="1" si="57"/>
        <v>0</v>
      </c>
      <c r="BJ227" s="170">
        <f t="shared" ca="1" si="58"/>
        <v>0</v>
      </c>
      <c r="BK227" s="170">
        <f t="shared" ca="1" si="59"/>
        <v>0</v>
      </c>
      <c r="BL227" s="170">
        <f t="shared" ca="1" si="60"/>
        <v>0</v>
      </c>
      <c r="BM227" s="170">
        <f t="shared" ca="1" si="61"/>
        <v>0</v>
      </c>
      <c r="BN227" s="195"/>
      <c r="BO227" s="599" t="str">
        <f ca="1">IF(IFERROR(INDEX(Покупка!$K$26:$L$87,MATCH($F227&amp;"1komm",Покупка!$K$26:$K$87,0),2),"")=0,"",IFERROR(INDEX(Покупка!$K$26:$L$87,MATCH($F227&amp;"1komm",Покупка!$K$26:$K$87,0),2),""))</f>
        <v/>
      </c>
      <c r="BP227" s="195"/>
      <c r="BS227" s="694" t="s">
        <v>2052</v>
      </c>
    </row>
    <row r="228" spans="1:75" ht="14.25" customHeight="1">
      <c r="B228" s="15"/>
      <c r="C228" s="25"/>
      <c r="D228" s="25"/>
      <c r="E228" s="449">
        <v>15</v>
      </c>
      <c r="F228" s="3" t="str" cm="1">
        <f t="array" aca="1" ref="F228" ca="1">OFFSET(E228,-1,1)</f>
        <v>1</v>
      </c>
      <c r="G228" s="25" t="s">
        <v>1118</v>
      </c>
      <c r="H228" s="25"/>
      <c r="I228" s="25" t="s">
        <v>1689</v>
      </c>
      <c r="J228" s="25"/>
      <c r="K228" s="25" t="s">
        <v>1689</v>
      </c>
      <c r="L228" s="25"/>
      <c r="M228" s="25"/>
      <c r="N228" s="25"/>
      <c r="O228" s="25"/>
      <c r="P228" s="25"/>
      <c r="Q228" s="25"/>
      <c r="R228" s="25"/>
      <c r="S228" s="25"/>
      <c r="T228" s="351" t="b" cm="1">
        <f t="array" aca="1" ref="T228" ca="1">T227</f>
        <v>1</v>
      </c>
      <c r="U228" s="25"/>
      <c r="V228" s="25"/>
      <c r="X228" s="1024"/>
      <c r="Z228" s="1008"/>
      <c r="AB228" s="133" t="s">
        <v>2053</v>
      </c>
      <c r="AC228" s="134" t="s">
        <v>2054</v>
      </c>
      <c r="AD228" s="7" t="s">
        <v>859</v>
      </c>
      <c r="AE228" s="170">
        <f ca="1">SUMIFS(Покупка!AE$25:AE$87,Покупка!$F$25:$F$87,$F228,Покупка!$AC$25:$AC$87,$G228)</f>
        <v>0</v>
      </c>
      <c r="AF228" s="170">
        <f ca="1">SUMIFS(Покупка!AF$25:AF$87,Покупка!$F$25:$F$87,$F228,Покупка!$AC$25:$AC$87,$G228)</f>
        <v>0</v>
      </c>
      <c r="AG228" s="170">
        <f ca="1">SUMIFS(Покупка!AG$25:AG$87,Покупка!$F$25:$F$87,$F228,Покупка!$AC$25:$AC$87,$G228)</f>
        <v>0</v>
      </c>
      <c r="AH228" s="170">
        <f t="shared" ca="1" si="50"/>
        <v>0</v>
      </c>
      <c r="AI228" s="170">
        <f ca="1">SUMIFS(Покупка!AH$25:AH$87,Покупка!$F$25:$F$87,$F228,Покупка!$AC$25:$AC$87,$G228)</f>
        <v>0</v>
      </c>
      <c r="AJ228" s="170">
        <f ca="1">SUMIFS(Покупка!AI$25:AI$87,Покупка!$F$25:$F$87,$F228,Покупка!$AC$25:$AC$87,$G228)</f>
        <v>0</v>
      </c>
      <c r="AK228" s="170">
        <f ca="1">SUMIFS(Покупка!AJ$25:AJ$87,Покупка!$F$25:$F$87,$F228,Покупка!$AC$25:$AC$87,$G228)</f>
        <v>0</v>
      </c>
      <c r="AL228" s="170">
        <f ca="1">SUMIFS(Покупка!AK$25:AK$87,Покупка!$F$25:$F$87,$F228,Покупка!$AC$25:$AC$87,$G228)</f>
        <v>0</v>
      </c>
      <c r="AM228" s="170">
        <f ca="1">SUMIFS(Покупка!AL$25:AL$87,Покупка!$F$25:$F$87,$F228,Покупка!$AC$25:$AC$87,$G228)</f>
        <v>0</v>
      </c>
      <c r="AN228" s="170">
        <f ca="1">SUMIFS(Покупка!AM$25:AM$87,Покупка!$F$25:$F$87,$F228,Покупка!$AC$25:$AC$87,$G228)</f>
        <v>0</v>
      </c>
      <c r="AO228" s="170">
        <f ca="1">SUMIFS(Покупка!AN$25:AN$87,Покупка!$F$25:$F$87,$F228,Покупка!$AC$25:$AC$87,$G228)</f>
        <v>0</v>
      </c>
      <c r="AP228" s="170">
        <f ca="1">SUMIFS(Покупка!AO$25:AO$87,Покупка!$F$25:$F$87,$F228,Покупка!$AC$25:$AC$87,$G228)</f>
        <v>0</v>
      </c>
      <c r="AQ228" s="170">
        <f ca="1">SUMIFS(Покупка!AP$25:AP$87,Покупка!$F$25:$F$87,$F228,Покупка!$AC$25:$AC$87,$G228)</f>
        <v>0</v>
      </c>
      <c r="AR228" s="170">
        <f ca="1">SUMIFS(Покупка!AQ$25:AQ$87,Покупка!$F$25:$F$87,$F228,Покупка!$AC$25:$AC$87,$G228)</f>
        <v>0</v>
      </c>
      <c r="AS228" s="170">
        <f ca="1">SUMIFS(Покупка!AR$25:AR$87,Покупка!$F$25:$F$87,$F228,Покупка!$AC$25:$AC$87,$G228)</f>
        <v>0</v>
      </c>
      <c r="AT228" s="170">
        <f ca="1">SUMIFS(Покупка!AS$25:AS$87,Покупка!$F$25:$F$87,$F228,Покупка!$AC$25:$AC$87,$G228)</f>
        <v>0</v>
      </c>
      <c r="AU228" s="170">
        <f ca="1">SUMIFS(Покупка!AT$25:AT$87,Покупка!$F$25:$F$87,$F228,Покупка!$AC$25:$AC$87,$G228)</f>
        <v>0</v>
      </c>
      <c r="AV228" s="170">
        <f ca="1">SUMIFS(Покупка!AU$25:AU$87,Покупка!$F$25:$F$87,$F228,Покупка!$AC$25:$AC$87,$G228)</f>
        <v>0</v>
      </c>
      <c r="AW228" s="170">
        <f ca="1">SUMIFS(Покупка!AV$25:AV$87,Покупка!$F$25:$F$87,$F228,Покупка!$AC$25:$AC$87,$G228)</f>
        <v>0</v>
      </c>
      <c r="AX228" s="170">
        <f ca="1">SUMIFS(Покупка!AW$25:AW$87,Покупка!$F$25:$F$87,$F228,Покупка!$AC$25:$AC$87,$G228)</f>
        <v>0</v>
      </c>
      <c r="AY228" s="170">
        <f ca="1">SUMIFS(Покупка!AX$25:AX$87,Покупка!$F$25:$F$87,$F228,Покупка!$AC$25:$AC$87,$G228)</f>
        <v>0</v>
      </c>
      <c r="AZ228" s="170">
        <f ca="1">SUMIFS(Покупка!AY$25:AY$87,Покупка!$F$25:$F$87,$F228,Покупка!$AC$25:$AC$87,$G228)</f>
        <v>0</v>
      </c>
      <c r="BA228" s="170">
        <f ca="1">SUMIFS(Покупка!AZ$25:AZ$87,Покупка!$F$25:$F$87,$F228,Покупка!$AC$25:$AC$87,$G228)</f>
        <v>0</v>
      </c>
      <c r="BB228" s="170">
        <f ca="1">SUMIFS(Покупка!BA$25:BA$87,Покупка!$F$25:$F$87,$F228,Покупка!$AC$25:$AC$87,$G228)</f>
        <v>0</v>
      </c>
      <c r="BC228" s="170">
        <f ca="1">SUMIFS(Покупка!BB$25:BB$87,Покупка!$F$25:$F$87,$F228,Покупка!$AC$25:$AC$87,$G228)</f>
        <v>0</v>
      </c>
      <c r="BD228" s="170">
        <f t="shared" ca="1" si="52"/>
        <v>0</v>
      </c>
      <c r="BE228" s="170">
        <f t="shared" ca="1" si="53"/>
        <v>0</v>
      </c>
      <c r="BF228" s="170">
        <f t="shared" ca="1" si="54"/>
        <v>0</v>
      </c>
      <c r="BG228" s="170">
        <f t="shared" ca="1" si="55"/>
        <v>0</v>
      </c>
      <c r="BH228" s="170">
        <f t="shared" ca="1" si="56"/>
        <v>0</v>
      </c>
      <c r="BI228" s="170">
        <f t="shared" ca="1" si="57"/>
        <v>0</v>
      </c>
      <c r="BJ228" s="170">
        <f t="shared" ca="1" si="58"/>
        <v>0</v>
      </c>
      <c r="BK228" s="170">
        <f t="shared" ca="1" si="59"/>
        <v>0</v>
      </c>
      <c r="BL228" s="170">
        <f t="shared" ca="1" si="60"/>
        <v>0</v>
      </c>
      <c r="BM228" s="170">
        <f t="shared" ca="1" si="61"/>
        <v>0</v>
      </c>
      <c r="BN228" s="195"/>
      <c r="BO228" s="599" t="str">
        <f ca="1">IF(IFERROR(INDEX(Покупка!$K$26:$L$87,MATCH($F228&amp;"8komm",Покупка!$K$26:$K$87,0),2),"")=0,"",IFERROR(INDEX(Покупка!$K$26:$L$87,MATCH($F228&amp;"8komm",Покупка!$K$26:$K$87,0),2),""))</f>
        <v/>
      </c>
      <c r="BP228" s="195"/>
      <c r="BS228" s="694" t="s">
        <v>1119</v>
      </c>
    </row>
    <row r="229" spans="1:75" ht="14.25" customHeight="1">
      <c r="B229" s="15"/>
      <c r="C229" s="25"/>
      <c r="D229" s="25"/>
      <c r="E229" s="449">
        <v>15</v>
      </c>
      <c r="F229" s="3" t="str" cm="1">
        <f t="array" aca="1" ref="F229" ca="1">OFFSET(E229,-1,1)</f>
        <v>1</v>
      </c>
      <c r="G229" s="25"/>
      <c r="H229" s="25"/>
      <c r="I229" s="25" t="s">
        <v>2055</v>
      </c>
      <c r="J229" s="25"/>
      <c r="K229" s="25" t="s">
        <v>2055</v>
      </c>
      <c r="L229" s="25"/>
      <c r="M229" s="25"/>
      <c r="N229" s="25"/>
      <c r="O229" s="25"/>
      <c r="P229" s="25"/>
      <c r="Q229" s="25"/>
      <c r="R229" s="25"/>
      <c r="S229" s="25"/>
      <c r="T229" s="351" t="b" cm="1">
        <f t="array" aca="1" ref="T229" ca="1">T228</f>
        <v>1</v>
      </c>
      <c r="U229" s="25"/>
      <c r="V229" s="25"/>
      <c r="X229" s="1024"/>
      <c r="Z229" s="1008"/>
      <c r="AB229" s="133" t="s">
        <v>2056</v>
      </c>
      <c r="AC229" s="134" t="s">
        <v>2057</v>
      </c>
      <c r="AD229" s="7" t="s">
        <v>859</v>
      </c>
      <c r="AE229" s="128"/>
      <c r="AF229" s="128"/>
      <c r="AG229" s="128"/>
      <c r="AH229" s="170">
        <f t="shared" si="50"/>
        <v>0</v>
      </c>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70">
        <f t="shared" si="52"/>
        <v>0</v>
      </c>
      <c r="BE229" s="170">
        <f t="shared" si="53"/>
        <v>0</v>
      </c>
      <c r="BF229" s="170">
        <f t="shared" si="54"/>
        <v>0</v>
      </c>
      <c r="BG229" s="170">
        <f t="shared" si="55"/>
        <v>0</v>
      </c>
      <c r="BH229" s="170">
        <f t="shared" si="56"/>
        <v>0</v>
      </c>
      <c r="BI229" s="170">
        <f t="shared" si="57"/>
        <v>0</v>
      </c>
      <c r="BJ229" s="170">
        <f t="shared" si="58"/>
        <v>0</v>
      </c>
      <c r="BK229" s="170">
        <f t="shared" si="59"/>
        <v>0</v>
      </c>
      <c r="BL229" s="170">
        <f t="shared" si="60"/>
        <v>0</v>
      </c>
      <c r="BM229" s="170">
        <f t="shared" si="61"/>
        <v>0</v>
      </c>
      <c r="BN229" s="195"/>
      <c r="BO229" s="195"/>
      <c r="BP229" s="195"/>
      <c r="BS229" s="694" t="s">
        <v>2058</v>
      </c>
    </row>
    <row r="230" spans="1:75" ht="14.25" customHeight="1">
      <c r="B230" s="15"/>
      <c r="C230" s="25"/>
      <c r="D230" s="25"/>
      <c r="E230" s="449">
        <v>15</v>
      </c>
      <c r="F230" s="3" t="str" cm="1">
        <f t="array" aca="1" ref="F230" ca="1">OFFSET(E230,-1,1)</f>
        <v>1</v>
      </c>
      <c r="G230" s="25"/>
      <c r="H230" s="25"/>
      <c r="I230" s="25" t="s">
        <v>2059</v>
      </c>
      <c r="J230" s="25"/>
      <c r="K230" s="25" t="s">
        <v>2059</v>
      </c>
      <c r="L230" s="25"/>
      <c r="M230" s="25"/>
      <c r="N230" s="25"/>
      <c r="O230" s="25"/>
      <c r="P230" s="25"/>
      <c r="Q230" s="25"/>
      <c r="R230" s="25"/>
      <c r="S230" s="25"/>
      <c r="T230" s="351" t="b" cm="1">
        <f t="array" aca="1" ref="T230" ca="1">T229</f>
        <v>1</v>
      </c>
      <c r="U230" s="25"/>
      <c r="V230" s="25"/>
      <c r="X230" s="1024"/>
      <c r="Z230" s="1008"/>
      <c r="AB230" s="133" t="s">
        <v>2060</v>
      </c>
      <c r="AC230" s="134" t="s">
        <v>2061</v>
      </c>
      <c r="AD230" s="7" t="s">
        <v>859</v>
      </c>
      <c r="AE230" s="128"/>
      <c r="AF230" s="128"/>
      <c r="AG230" s="128"/>
      <c r="AH230" s="170">
        <f t="shared" si="50"/>
        <v>0</v>
      </c>
      <c r="AI230" s="128"/>
      <c r="AJ230" s="128"/>
      <c r="AK230" s="128"/>
      <c r="AL230" s="128"/>
      <c r="AM230" s="128"/>
      <c r="AN230" s="128"/>
      <c r="AO230" s="128"/>
      <c r="AP230" s="128"/>
      <c r="AQ230" s="128"/>
      <c r="AR230" s="128"/>
      <c r="AS230" s="128"/>
      <c r="AT230" s="128"/>
      <c r="AU230" s="128"/>
      <c r="AV230" s="128"/>
      <c r="AW230" s="128"/>
      <c r="AX230" s="128"/>
      <c r="AY230" s="128"/>
      <c r="AZ230" s="128"/>
      <c r="BA230" s="128"/>
      <c r="BB230" s="128"/>
      <c r="BC230" s="128"/>
      <c r="BD230" s="170">
        <f t="shared" si="52"/>
        <v>0</v>
      </c>
      <c r="BE230" s="170">
        <f t="shared" si="53"/>
        <v>0</v>
      </c>
      <c r="BF230" s="170">
        <f t="shared" si="54"/>
        <v>0</v>
      </c>
      <c r="BG230" s="170">
        <f t="shared" si="55"/>
        <v>0</v>
      </c>
      <c r="BH230" s="170">
        <f t="shared" si="56"/>
        <v>0</v>
      </c>
      <c r="BI230" s="170">
        <f t="shared" si="57"/>
        <v>0</v>
      </c>
      <c r="BJ230" s="170">
        <f t="shared" si="58"/>
        <v>0</v>
      </c>
      <c r="BK230" s="170">
        <f t="shared" si="59"/>
        <v>0</v>
      </c>
      <c r="BL230" s="170">
        <f t="shared" si="60"/>
        <v>0</v>
      </c>
      <c r="BM230" s="170">
        <f t="shared" si="61"/>
        <v>0</v>
      </c>
      <c r="BN230" s="195"/>
      <c r="BO230" s="195"/>
      <c r="BP230" s="195"/>
      <c r="BS230" s="694" t="s">
        <v>2062</v>
      </c>
    </row>
    <row r="231" spans="1:75" ht="14.25" customHeight="1">
      <c r="B231" s="15"/>
      <c r="C231" s="25"/>
      <c r="D231" s="25"/>
      <c r="E231" s="449">
        <v>15</v>
      </c>
      <c r="F231" s="3" t="str" cm="1">
        <f t="array" aca="1" ref="F231" ca="1">OFFSET(E231,-1,1)</f>
        <v>1</v>
      </c>
      <c r="G231" s="25" t="s">
        <v>1096</v>
      </c>
      <c r="H231" s="25"/>
      <c r="I231" s="25" t="s">
        <v>2063</v>
      </c>
      <c r="J231" s="25"/>
      <c r="K231" s="25" t="s">
        <v>2063</v>
      </c>
      <c r="L231" s="25" t="s">
        <v>1562</v>
      </c>
      <c r="M231" s="25"/>
      <c r="N231" s="25"/>
      <c r="O231" s="25"/>
      <c r="P231" s="25"/>
      <c r="Q231" s="25"/>
      <c r="R231" s="25"/>
      <c r="S231" s="25"/>
      <c r="T231" s="351" t="b" cm="1">
        <f t="array" aca="1" ref="T231" ca="1">T230</f>
        <v>1</v>
      </c>
      <c r="U231" s="25"/>
      <c r="V231" s="25"/>
      <c r="X231" s="1024"/>
      <c r="Z231" s="1008"/>
      <c r="AB231" s="133" t="s">
        <v>2064</v>
      </c>
      <c r="AC231" s="134" t="s">
        <v>2065</v>
      </c>
      <c r="AD231" s="7" t="s">
        <v>859</v>
      </c>
      <c r="AE231" s="170">
        <f ca="1">SUMIFS(Покупка!AE$25:AE$87,Покупка!$F$25:$F$87,$F231,Покупка!$AC$25:$AC$87,$G231)</f>
        <v>0</v>
      </c>
      <c r="AF231" s="170">
        <f ca="1">SUMIFS(Покупка!AF$25:AF$87,Покупка!$F$25:$F$87,$F231,Покупка!$AC$25:$AC$87,$G231)</f>
        <v>0</v>
      </c>
      <c r="AG231" s="170">
        <f ca="1">SUMIFS(Покупка!AG$25:AG$87,Покупка!$F$25:$F$87,$F231,Покупка!$AC$25:$AC$87,$G231)</f>
        <v>0</v>
      </c>
      <c r="AH231" s="170">
        <f t="shared" ca="1" si="50"/>
        <v>0</v>
      </c>
      <c r="AI231" s="170">
        <f ca="1">SUMIFS(Покупка!AH$25:AH$87,Покупка!$F$25:$F$87,$F231,Покупка!$AC$25:$AC$87,$G231)</f>
        <v>0</v>
      </c>
      <c r="AJ231" s="170">
        <f ca="1">SUMIFS(Покупка!AI$25:AI$87,Покупка!$F$25:$F$87,$F231,Покупка!$AC$25:$AC$87,$G231)</f>
        <v>0</v>
      </c>
      <c r="AK231" s="170">
        <f ca="1">SUMIFS(Покупка!AJ$25:AJ$87,Покупка!$F$25:$F$87,$F231,Покупка!$AC$25:$AC$87,$G231)</f>
        <v>0</v>
      </c>
      <c r="AL231" s="170">
        <f ca="1">SUMIFS(Покупка!AK$25:AK$87,Покупка!$F$25:$F$87,$F231,Покупка!$AC$25:$AC$87,$G231)</f>
        <v>0</v>
      </c>
      <c r="AM231" s="170">
        <f ca="1">SUMIFS(Покупка!AL$25:AL$87,Покупка!$F$25:$F$87,$F231,Покупка!$AC$25:$AC$87,$G231)</f>
        <v>0</v>
      </c>
      <c r="AN231" s="170">
        <f ca="1">SUMIFS(Покупка!AM$25:AM$87,Покупка!$F$25:$F$87,$F231,Покупка!$AC$25:$AC$87,$G231)</f>
        <v>0</v>
      </c>
      <c r="AO231" s="170">
        <f ca="1">SUMIFS(Покупка!AN$25:AN$87,Покупка!$F$25:$F$87,$F231,Покупка!$AC$25:$AC$87,$G231)</f>
        <v>0</v>
      </c>
      <c r="AP231" s="170">
        <f ca="1">SUMIFS(Покупка!AO$25:AO$87,Покупка!$F$25:$F$87,$F231,Покупка!$AC$25:$AC$87,$G231)</f>
        <v>0</v>
      </c>
      <c r="AQ231" s="170">
        <f ca="1">SUMIFS(Покупка!AP$25:AP$87,Покупка!$F$25:$F$87,$F231,Покупка!$AC$25:$AC$87,$G231)</f>
        <v>0</v>
      </c>
      <c r="AR231" s="170">
        <f ca="1">SUMIFS(Покупка!AQ$25:AQ$87,Покупка!$F$25:$F$87,$F231,Покупка!$AC$25:$AC$87,$G231)</f>
        <v>0</v>
      </c>
      <c r="AS231" s="170">
        <f ca="1">SUMIFS(Покупка!AR$25:AR$87,Покупка!$F$25:$F$87,$F231,Покупка!$AC$25:$AC$87,$G231)</f>
        <v>0</v>
      </c>
      <c r="AT231" s="170">
        <f ca="1">SUMIFS(Покупка!AS$25:AS$87,Покупка!$F$25:$F$87,$F231,Покупка!$AC$25:$AC$87,$G231)</f>
        <v>0</v>
      </c>
      <c r="AU231" s="170">
        <f ca="1">SUMIFS(Покупка!AT$25:AT$87,Покупка!$F$25:$F$87,$F231,Покупка!$AC$25:$AC$87,$G231)</f>
        <v>0</v>
      </c>
      <c r="AV231" s="170">
        <f ca="1">SUMIFS(Покупка!AU$25:AU$87,Покупка!$F$25:$F$87,$F231,Покупка!$AC$25:$AC$87,$G231)</f>
        <v>0</v>
      </c>
      <c r="AW231" s="170">
        <f ca="1">SUMIFS(Покупка!AV$25:AV$87,Покупка!$F$25:$F$87,$F231,Покупка!$AC$25:$AC$87,$G231)</f>
        <v>0</v>
      </c>
      <c r="AX231" s="170">
        <f ca="1">SUMIFS(Покупка!AW$25:AW$87,Покупка!$F$25:$F$87,$F231,Покупка!$AC$25:$AC$87,$G231)</f>
        <v>0</v>
      </c>
      <c r="AY231" s="170">
        <f ca="1">SUMIFS(Покупка!AX$25:AX$87,Покупка!$F$25:$F$87,$F231,Покупка!$AC$25:$AC$87,$G231)</f>
        <v>0</v>
      </c>
      <c r="AZ231" s="170">
        <f ca="1">SUMIFS(Покупка!AY$25:AY$87,Покупка!$F$25:$F$87,$F231,Покупка!$AC$25:$AC$87,$G231)</f>
        <v>0</v>
      </c>
      <c r="BA231" s="170">
        <f ca="1">SUMIFS(Покупка!AZ$25:AZ$87,Покупка!$F$25:$F$87,$F231,Покупка!$AC$25:$AC$87,$G231)</f>
        <v>0</v>
      </c>
      <c r="BB231" s="170">
        <f ca="1">SUMIFS(Покупка!BA$25:BA$87,Покупка!$F$25:$F$87,$F231,Покупка!$AC$25:$AC$87,$G231)</f>
        <v>0</v>
      </c>
      <c r="BC231" s="170">
        <f ca="1">SUMIFS(Покупка!BB$25:BB$87,Покупка!$F$25:$F$87,$F231,Покупка!$AC$25:$AC$87,$G231)</f>
        <v>0</v>
      </c>
      <c r="BD231" s="170">
        <f t="shared" ca="1" si="52"/>
        <v>0</v>
      </c>
      <c r="BE231" s="170">
        <f t="shared" ca="1" si="53"/>
        <v>0</v>
      </c>
      <c r="BF231" s="170">
        <f t="shared" ca="1" si="54"/>
        <v>0</v>
      </c>
      <c r="BG231" s="170">
        <f t="shared" ca="1" si="55"/>
        <v>0</v>
      </c>
      <c r="BH231" s="170">
        <f t="shared" ca="1" si="56"/>
        <v>0</v>
      </c>
      <c r="BI231" s="170">
        <f t="shared" ca="1" si="57"/>
        <v>0</v>
      </c>
      <c r="BJ231" s="170">
        <f t="shared" ca="1" si="58"/>
        <v>0</v>
      </c>
      <c r="BK231" s="170">
        <f t="shared" ca="1" si="59"/>
        <v>0</v>
      </c>
      <c r="BL231" s="170">
        <f t="shared" ca="1" si="60"/>
        <v>0</v>
      </c>
      <c r="BM231" s="170">
        <f t="shared" ca="1" si="61"/>
        <v>0</v>
      </c>
      <c r="BN231" s="195"/>
      <c r="BO231" s="599" t="str">
        <f ca="1">IF(IFERROR(INDEX(Покупка!$K$26:$L$87,MATCH($F231&amp;"3komm",Покупка!$K$26:$K$87,0),2),"")=0,"",IFERROR(INDEX(Покупка!$K$26:$L$87,MATCH($F231&amp;"3komm",Покупка!$K$26:$K$87,0),2),""))</f>
        <v/>
      </c>
      <c r="BP231" s="195"/>
      <c r="BS231" s="694" t="s">
        <v>1764</v>
      </c>
    </row>
    <row r="232" spans="1:75" ht="14.25" customHeight="1">
      <c r="B232" s="15"/>
      <c r="C232" s="25"/>
      <c r="D232" s="25"/>
      <c r="E232" s="449">
        <v>15</v>
      </c>
      <c r="F232" s="3" t="str" cm="1">
        <f t="array" aca="1" ref="F232" ca="1">OFFSET(E232,-1,1)</f>
        <v>1</v>
      </c>
      <c r="G232" s="25" t="s">
        <v>1102</v>
      </c>
      <c r="H232" s="25"/>
      <c r="I232" s="25" t="s">
        <v>2066</v>
      </c>
      <c r="J232" s="25"/>
      <c r="K232" s="25" t="s">
        <v>2066</v>
      </c>
      <c r="L232" s="25" t="s">
        <v>1567</v>
      </c>
      <c r="M232" s="25"/>
      <c r="N232" s="25"/>
      <c r="O232" s="25"/>
      <c r="P232" s="25"/>
      <c r="Q232" s="25"/>
      <c r="R232" s="25"/>
      <c r="S232" s="25"/>
      <c r="T232" s="351" t="b" cm="1">
        <f t="array" aca="1" ref="T232" ca="1">T231</f>
        <v>1</v>
      </c>
      <c r="U232" s="25"/>
      <c r="V232" s="25"/>
      <c r="X232" s="1024"/>
      <c r="Z232" s="1008"/>
      <c r="AB232" s="133" t="s">
        <v>2067</v>
      </c>
      <c r="AC232" s="134" t="s">
        <v>2068</v>
      </c>
      <c r="AD232" s="7" t="s">
        <v>859</v>
      </c>
      <c r="AE232" s="170">
        <f ca="1">SUMIFS(Покупка!AE$25:AE$87,Покупка!$F$25:$F$87,$F232,Покупка!$AC$25:$AC$87,$G232)</f>
        <v>0</v>
      </c>
      <c r="AF232" s="170">
        <f ca="1">SUMIFS(Покупка!AF$25:AF$87,Покупка!$F$25:$F$87,$F232,Покупка!$AC$25:$AC$87,$G232)</f>
        <v>0</v>
      </c>
      <c r="AG232" s="170">
        <f ca="1">SUMIFS(Покупка!AG$25:AG$87,Покупка!$F$25:$F$87,$F232,Покупка!$AC$25:$AC$87,$G232)</f>
        <v>0</v>
      </c>
      <c r="AH232" s="170">
        <f t="shared" ca="1" si="50"/>
        <v>0</v>
      </c>
      <c r="AI232" s="170">
        <f ca="1">SUMIFS(Покупка!AH$25:AH$87,Покупка!$F$25:$F$87,$F232,Покупка!$AC$25:$AC$87,$G232)</f>
        <v>0</v>
      </c>
      <c r="AJ232" s="170">
        <f ca="1">SUMIFS(Покупка!AI$25:AI$87,Покупка!$F$25:$F$87,$F232,Покупка!$AC$25:$AC$87,$G232)</f>
        <v>0</v>
      </c>
      <c r="AK232" s="170">
        <f ca="1">SUMIFS(Покупка!AJ$25:AJ$87,Покупка!$F$25:$F$87,$F232,Покупка!$AC$25:$AC$87,$G232)</f>
        <v>0</v>
      </c>
      <c r="AL232" s="170">
        <f ca="1">SUMIFS(Покупка!AK$25:AK$87,Покупка!$F$25:$F$87,$F232,Покупка!$AC$25:$AC$87,$G232)</f>
        <v>0</v>
      </c>
      <c r="AM232" s="170">
        <f ca="1">SUMIFS(Покупка!AL$25:AL$87,Покупка!$F$25:$F$87,$F232,Покупка!$AC$25:$AC$87,$G232)</f>
        <v>0</v>
      </c>
      <c r="AN232" s="170">
        <f ca="1">SUMIFS(Покупка!AM$25:AM$87,Покупка!$F$25:$F$87,$F232,Покупка!$AC$25:$AC$87,$G232)</f>
        <v>0</v>
      </c>
      <c r="AO232" s="170">
        <f ca="1">SUMIFS(Покупка!AN$25:AN$87,Покупка!$F$25:$F$87,$F232,Покупка!$AC$25:$AC$87,$G232)</f>
        <v>0</v>
      </c>
      <c r="AP232" s="170">
        <f ca="1">SUMIFS(Покупка!AO$25:AO$87,Покупка!$F$25:$F$87,$F232,Покупка!$AC$25:$AC$87,$G232)</f>
        <v>0</v>
      </c>
      <c r="AQ232" s="170">
        <f ca="1">SUMIFS(Покупка!AP$25:AP$87,Покупка!$F$25:$F$87,$F232,Покупка!$AC$25:$AC$87,$G232)</f>
        <v>0</v>
      </c>
      <c r="AR232" s="170">
        <f ca="1">SUMIFS(Покупка!AQ$25:AQ$87,Покупка!$F$25:$F$87,$F232,Покупка!$AC$25:$AC$87,$G232)</f>
        <v>0</v>
      </c>
      <c r="AS232" s="170">
        <f ca="1">SUMIFS(Покупка!AR$25:AR$87,Покупка!$F$25:$F$87,$F232,Покупка!$AC$25:$AC$87,$G232)</f>
        <v>0</v>
      </c>
      <c r="AT232" s="170">
        <f ca="1">SUMIFS(Покупка!AS$25:AS$87,Покупка!$F$25:$F$87,$F232,Покупка!$AC$25:$AC$87,$G232)</f>
        <v>0</v>
      </c>
      <c r="AU232" s="170">
        <f ca="1">SUMIFS(Покупка!AT$25:AT$87,Покупка!$F$25:$F$87,$F232,Покупка!$AC$25:$AC$87,$G232)</f>
        <v>0</v>
      </c>
      <c r="AV232" s="170">
        <f ca="1">SUMIFS(Покупка!AU$25:AU$87,Покупка!$F$25:$F$87,$F232,Покупка!$AC$25:$AC$87,$G232)</f>
        <v>0</v>
      </c>
      <c r="AW232" s="170">
        <f ca="1">SUMIFS(Покупка!AV$25:AV$87,Покупка!$F$25:$F$87,$F232,Покупка!$AC$25:$AC$87,$G232)</f>
        <v>0</v>
      </c>
      <c r="AX232" s="170">
        <f ca="1">SUMIFS(Покупка!AW$25:AW$87,Покупка!$F$25:$F$87,$F232,Покупка!$AC$25:$AC$87,$G232)</f>
        <v>0</v>
      </c>
      <c r="AY232" s="170">
        <f ca="1">SUMIFS(Покупка!AX$25:AX$87,Покупка!$F$25:$F$87,$F232,Покупка!$AC$25:$AC$87,$G232)</f>
        <v>0</v>
      </c>
      <c r="AZ232" s="170">
        <f ca="1">SUMIFS(Покупка!AY$25:AY$87,Покупка!$F$25:$F$87,$F232,Покупка!$AC$25:$AC$87,$G232)</f>
        <v>0</v>
      </c>
      <c r="BA232" s="170">
        <f ca="1">SUMIFS(Покупка!AZ$25:AZ$87,Покупка!$F$25:$F$87,$F232,Покупка!$AC$25:$AC$87,$G232)</f>
        <v>0</v>
      </c>
      <c r="BB232" s="170">
        <f ca="1">SUMIFS(Покупка!BA$25:BA$87,Покупка!$F$25:$F$87,$F232,Покупка!$AC$25:$AC$87,$G232)</f>
        <v>0</v>
      </c>
      <c r="BC232" s="170">
        <f ca="1">SUMIFS(Покупка!BB$25:BB$87,Покупка!$F$25:$F$87,$F232,Покупка!$AC$25:$AC$87,$G232)</f>
        <v>0</v>
      </c>
      <c r="BD232" s="170">
        <f t="shared" ca="1" si="52"/>
        <v>0</v>
      </c>
      <c r="BE232" s="170">
        <f t="shared" ca="1" si="53"/>
        <v>0</v>
      </c>
      <c r="BF232" s="170">
        <f t="shared" ca="1" si="54"/>
        <v>0</v>
      </c>
      <c r="BG232" s="170">
        <f t="shared" ca="1" si="55"/>
        <v>0</v>
      </c>
      <c r="BH232" s="170">
        <f t="shared" ca="1" si="56"/>
        <v>0</v>
      </c>
      <c r="BI232" s="170">
        <f t="shared" ca="1" si="57"/>
        <v>0</v>
      </c>
      <c r="BJ232" s="170">
        <f t="shared" ca="1" si="58"/>
        <v>0</v>
      </c>
      <c r="BK232" s="170">
        <f t="shared" ca="1" si="59"/>
        <v>0</v>
      </c>
      <c r="BL232" s="170">
        <f t="shared" ca="1" si="60"/>
        <v>0</v>
      </c>
      <c r="BM232" s="170">
        <f t="shared" ca="1" si="61"/>
        <v>0</v>
      </c>
      <c r="BN232" s="195"/>
      <c r="BO232" s="599" t="str">
        <f ca="1">IF(IFERROR(INDEX(Покупка!$K$26:$L$87,MATCH($F232&amp;"4komm",Покупка!$K$26:$K$87,0),2),"")=0,"",IFERROR(INDEX(Покупка!$K$26:$L$87,MATCH($F231&amp;"3komm",Покупка!$K$26:$K$87,0),2),""))</f>
        <v/>
      </c>
      <c r="BP232" s="195"/>
      <c r="BS232" s="694" t="s">
        <v>1767</v>
      </c>
    </row>
    <row r="233" spans="1:75" ht="14.25" customHeight="1">
      <c r="B233" s="15"/>
      <c r="C233" s="25"/>
      <c r="D233" s="25"/>
      <c r="E233" s="449">
        <v>15</v>
      </c>
      <c r="F233" s="3" t="str" cm="1">
        <f t="array" aca="1" ref="F233" ca="1">OFFSET(E233,-1,1)</f>
        <v>1</v>
      </c>
      <c r="G233" s="25" t="s">
        <v>1108</v>
      </c>
      <c r="H233" s="25"/>
      <c r="I233" s="25" t="s">
        <v>2069</v>
      </c>
      <c r="J233" s="25"/>
      <c r="K233" s="25" t="s">
        <v>2069</v>
      </c>
      <c r="L233" s="25" t="s">
        <v>1577</v>
      </c>
      <c r="M233" s="25"/>
      <c r="N233" s="25"/>
      <c r="O233" s="25"/>
      <c r="P233" s="25"/>
      <c r="Q233" s="25"/>
      <c r="R233" s="25"/>
      <c r="S233" s="25"/>
      <c r="T233" s="351" t="b" cm="1">
        <f t="array" aca="1" ref="T233" ca="1">T232</f>
        <v>1</v>
      </c>
      <c r="U233" s="25"/>
      <c r="V233" s="25"/>
      <c r="X233" s="1024"/>
      <c r="Z233" s="1008"/>
      <c r="AB233" s="133" t="s">
        <v>2070</v>
      </c>
      <c r="AC233" s="134" t="s">
        <v>2071</v>
      </c>
      <c r="AD233" s="7" t="s">
        <v>859</v>
      </c>
      <c r="AE233" s="170">
        <f ca="1">SUMIFS(Покупка!AE$25:AE$87,Покупка!$F$25:$F$87,$F233,Покупка!$AC$25:$AC$87,$G233)</f>
        <v>0</v>
      </c>
      <c r="AF233" s="170">
        <f ca="1">SUMIFS(Покупка!AF$25:AF$87,Покупка!$F$25:$F$87,$F233,Покупка!$AC$25:$AC$87,$G233)</f>
        <v>0</v>
      </c>
      <c r="AG233" s="170">
        <f ca="1">SUMIFS(Покупка!AG$25:AG$87,Покупка!$F$25:$F$87,$F233,Покупка!$AC$25:$AC$87,$G233)</f>
        <v>0</v>
      </c>
      <c r="AH233" s="170">
        <f t="shared" ca="1" si="50"/>
        <v>0</v>
      </c>
      <c r="AI233" s="170">
        <f ca="1">SUMIFS(Покупка!AH$25:AH$87,Покупка!$F$25:$F$87,$F233,Покупка!$AC$25:$AC$87,$G233)</f>
        <v>0</v>
      </c>
      <c r="AJ233" s="170">
        <f ca="1">SUMIFS(Покупка!AI$25:AI$87,Покупка!$F$25:$F$87,$F233,Покупка!$AC$25:$AC$87,$G233)</f>
        <v>0</v>
      </c>
      <c r="AK233" s="170">
        <f ca="1">SUMIFS(Покупка!AJ$25:AJ$87,Покупка!$F$25:$F$87,$F233,Покупка!$AC$25:$AC$87,$G233)</f>
        <v>0</v>
      </c>
      <c r="AL233" s="170">
        <f ca="1">SUMIFS(Покупка!AK$25:AK$87,Покупка!$F$25:$F$87,$F233,Покупка!$AC$25:$AC$87,$G233)</f>
        <v>0</v>
      </c>
      <c r="AM233" s="170">
        <f ca="1">SUMIFS(Покупка!AL$25:AL$87,Покупка!$F$25:$F$87,$F233,Покупка!$AC$25:$AC$87,$G233)</f>
        <v>0</v>
      </c>
      <c r="AN233" s="170">
        <f ca="1">SUMIFS(Покупка!AM$25:AM$87,Покупка!$F$25:$F$87,$F233,Покупка!$AC$25:$AC$87,$G233)</f>
        <v>0</v>
      </c>
      <c r="AO233" s="170">
        <f ca="1">SUMIFS(Покупка!AN$25:AN$87,Покупка!$F$25:$F$87,$F233,Покупка!$AC$25:$AC$87,$G233)</f>
        <v>0</v>
      </c>
      <c r="AP233" s="170">
        <f ca="1">SUMIFS(Покупка!AO$25:AO$87,Покупка!$F$25:$F$87,$F233,Покупка!$AC$25:$AC$87,$G233)</f>
        <v>0</v>
      </c>
      <c r="AQ233" s="170">
        <f ca="1">SUMIFS(Покупка!AP$25:AP$87,Покупка!$F$25:$F$87,$F233,Покупка!$AC$25:$AC$87,$G233)</f>
        <v>0</v>
      </c>
      <c r="AR233" s="170">
        <f ca="1">SUMIFS(Покупка!AQ$25:AQ$87,Покупка!$F$25:$F$87,$F233,Покупка!$AC$25:$AC$87,$G233)</f>
        <v>0</v>
      </c>
      <c r="AS233" s="170">
        <f ca="1">SUMIFS(Покупка!AR$25:AR$87,Покупка!$F$25:$F$87,$F233,Покупка!$AC$25:$AC$87,$G233)</f>
        <v>0</v>
      </c>
      <c r="AT233" s="170">
        <f ca="1">SUMIFS(Покупка!AS$25:AS$87,Покупка!$F$25:$F$87,$F233,Покупка!$AC$25:$AC$87,$G233)</f>
        <v>0</v>
      </c>
      <c r="AU233" s="170">
        <f ca="1">SUMIFS(Покупка!AT$25:AT$87,Покупка!$F$25:$F$87,$F233,Покупка!$AC$25:$AC$87,$G233)</f>
        <v>0</v>
      </c>
      <c r="AV233" s="170">
        <f ca="1">SUMIFS(Покупка!AU$25:AU$87,Покупка!$F$25:$F$87,$F233,Покупка!$AC$25:$AC$87,$G233)</f>
        <v>0</v>
      </c>
      <c r="AW233" s="170">
        <f ca="1">SUMIFS(Покупка!AV$25:AV$87,Покупка!$F$25:$F$87,$F233,Покупка!$AC$25:$AC$87,$G233)</f>
        <v>0</v>
      </c>
      <c r="AX233" s="170">
        <f ca="1">SUMIFS(Покупка!AW$25:AW$87,Покупка!$F$25:$F$87,$F233,Покупка!$AC$25:$AC$87,$G233)</f>
        <v>0</v>
      </c>
      <c r="AY233" s="170">
        <f ca="1">SUMIFS(Покупка!AX$25:AX$87,Покупка!$F$25:$F$87,$F233,Покупка!$AC$25:$AC$87,$G233)</f>
        <v>0</v>
      </c>
      <c r="AZ233" s="170">
        <f ca="1">SUMIFS(Покупка!AY$25:AY$87,Покупка!$F$25:$F$87,$F233,Покупка!$AC$25:$AC$87,$G233)</f>
        <v>0</v>
      </c>
      <c r="BA233" s="170">
        <f ca="1">SUMIFS(Покупка!AZ$25:AZ$87,Покупка!$F$25:$F$87,$F233,Покупка!$AC$25:$AC$87,$G233)</f>
        <v>0</v>
      </c>
      <c r="BB233" s="170">
        <f ca="1">SUMIFS(Покупка!BA$25:BA$87,Покупка!$F$25:$F$87,$F233,Покупка!$AC$25:$AC$87,$G233)</f>
        <v>0</v>
      </c>
      <c r="BC233" s="170">
        <f ca="1">SUMIFS(Покупка!BB$25:BB$87,Покупка!$F$25:$F$87,$F233,Покупка!$AC$25:$AC$87,$G233)</f>
        <v>0</v>
      </c>
      <c r="BD233" s="170">
        <f t="shared" ca="1" si="52"/>
        <v>0</v>
      </c>
      <c r="BE233" s="170">
        <f t="shared" ca="1" si="53"/>
        <v>0</v>
      </c>
      <c r="BF233" s="170">
        <f t="shared" ca="1" si="54"/>
        <v>0</v>
      </c>
      <c r="BG233" s="170">
        <f t="shared" ca="1" si="55"/>
        <v>0</v>
      </c>
      <c r="BH233" s="170">
        <f t="shared" ca="1" si="56"/>
        <v>0</v>
      </c>
      <c r="BI233" s="170">
        <f t="shared" ca="1" si="57"/>
        <v>0</v>
      </c>
      <c r="BJ233" s="170">
        <f t="shared" ca="1" si="58"/>
        <v>0</v>
      </c>
      <c r="BK233" s="170">
        <f t="shared" ca="1" si="59"/>
        <v>0</v>
      </c>
      <c r="BL233" s="170">
        <f t="shared" ca="1" si="60"/>
        <v>0</v>
      </c>
      <c r="BM233" s="170">
        <f t="shared" ca="1" si="61"/>
        <v>0</v>
      </c>
      <c r="BN233" s="195"/>
      <c r="BO233" s="599" t="str">
        <f ca="1">IF(IFERROR(INDEX(Покупка!$K$26:$L$87,MATCH($F233&amp;"5komm",Покупка!$K$26:$K$87,0),2),"")=0,"",IFERROR(INDEX(Покупка!$K$26:$L$87,MATCH($F233&amp;"5komm",Покупка!$K$26:$K$87,0),2),""))</f>
        <v/>
      </c>
      <c r="BP233" s="195"/>
      <c r="BS233" s="694" t="s">
        <v>1770</v>
      </c>
    </row>
    <row r="234" spans="1:75" s="374" customFormat="1" ht="14.25" customHeight="1">
      <c r="B234" s="15"/>
      <c r="C234" s="25"/>
      <c r="D234" s="25"/>
      <c r="E234" s="449">
        <v>15</v>
      </c>
      <c r="F234" s="3" t="str" cm="1">
        <f t="array" aca="1" ref="F234" ca="1">OFFSET(E234,-1,1)</f>
        <v>1</v>
      </c>
      <c r="G234" s="25" t="s">
        <v>1120</v>
      </c>
      <c r="H234" s="25"/>
      <c r="I234" s="25"/>
      <c r="J234" s="25"/>
      <c r="K234" s="25"/>
      <c r="L234" s="25" t="s">
        <v>1544</v>
      </c>
      <c r="M234" s="25"/>
      <c r="N234" s="25"/>
      <c r="O234" s="25"/>
      <c r="P234" s="25"/>
      <c r="Q234" s="25"/>
      <c r="R234" s="25"/>
      <c r="S234" s="25"/>
      <c r="T234" s="351" t="b" cm="1">
        <f t="array" aca="1" ref="T234" ca="1">T233</f>
        <v>1</v>
      </c>
      <c r="U234" s="25"/>
      <c r="V234" s="25"/>
      <c r="X234" s="1024"/>
      <c r="Z234" s="1008"/>
      <c r="AB234" s="133" t="s">
        <v>2072</v>
      </c>
      <c r="AC234" s="134" t="s">
        <v>2073</v>
      </c>
      <c r="AD234" s="7" t="s">
        <v>859</v>
      </c>
      <c r="AE234" s="170">
        <f ca="1">SUMIFS(Покупка!AE$25:AE$87,Покупка!$F$25:$F$87,$F234,Покупка!$AC$25:$AC$87,$G234)</f>
        <v>0</v>
      </c>
      <c r="AF234" s="170">
        <f ca="1">SUMIFS(Покупка!AF$25:AF$87,Покупка!$F$25:$F$87,$F234,Покупка!$AC$25:$AC$87,$G234)</f>
        <v>0</v>
      </c>
      <c r="AG234" s="170">
        <f ca="1">SUMIFS(Покупка!AG$25:AG$87,Покупка!$F$25:$F$87,$F234,Покупка!$AC$25:$AC$87,$G234)</f>
        <v>0</v>
      </c>
      <c r="AH234" s="170">
        <f t="shared" ca="1" si="50"/>
        <v>0</v>
      </c>
      <c r="AI234" s="170">
        <f ca="1">SUMIFS(Покупка!AH$25:AH$87,Покупка!$F$25:$F$87,$F234,Покупка!$AC$25:$AC$87,$G234)</f>
        <v>0</v>
      </c>
      <c r="AJ234" s="170">
        <f ca="1">SUMIFS(Покупка!AI$25:AI$87,Покупка!$F$25:$F$87,$F234,Покупка!$AC$25:$AC$87,$G234)</f>
        <v>1528.25</v>
      </c>
      <c r="AK234" s="170">
        <f ca="1">SUMIFS(Покупка!AJ$25:AJ$87,Покупка!$F$25:$F$87,$F234,Покупка!$AC$25:$AC$87,$G234)</f>
        <v>1595.5</v>
      </c>
      <c r="AL234" s="170">
        <f ca="1">SUMIFS(Покупка!AK$25:AK$87,Покупка!$F$25:$F$87,$F234,Покупка!$AC$25:$AC$87,$G234)</f>
        <v>1638.57</v>
      </c>
      <c r="AM234" s="170">
        <f ca="1">SUMIFS(Покупка!AL$25:AL$87,Покупка!$F$25:$F$87,$F234,Покупка!$AC$25:$AC$87,$G234)</f>
        <v>0</v>
      </c>
      <c r="AN234" s="170">
        <f ca="1">SUMIFS(Покупка!AM$25:AM$87,Покупка!$F$25:$F$87,$F234,Покупка!$AC$25:$AC$87,$G234)</f>
        <v>0</v>
      </c>
      <c r="AO234" s="170">
        <f ca="1">SUMIFS(Покупка!AN$25:AN$87,Покупка!$F$25:$F$87,$F234,Покупка!$AC$25:$AC$87,$G234)</f>
        <v>0</v>
      </c>
      <c r="AP234" s="170">
        <f ca="1">SUMIFS(Покупка!AO$25:AO$87,Покупка!$F$25:$F$87,$F234,Покупка!$AC$25:$AC$87,$G234)</f>
        <v>0</v>
      </c>
      <c r="AQ234" s="170">
        <f ca="1">SUMIFS(Покупка!AP$25:AP$87,Покупка!$F$25:$F$87,$F234,Покупка!$AC$25:$AC$87,$G234)</f>
        <v>0</v>
      </c>
      <c r="AR234" s="170">
        <f ca="1">SUMIFS(Покупка!AQ$25:AQ$87,Покупка!$F$25:$F$87,$F234,Покупка!$AC$25:$AC$87,$G234)</f>
        <v>0</v>
      </c>
      <c r="AS234" s="170">
        <f ca="1">SUMIFS(Покупка!AR$25:AR$87,Покупка!$F$25:$F$87,$F234,Покупка!$AC$25:$AC$87,$G234)</f>
        <v>0</v>
      </c>
      <c r="AT234" s="170">
        <f ca="1">SUMIFS(Покупка!AS$25:AS$87,Покупка!$F$25:$F$87,$F234,Покупка!$AC$25:$AC$87,$G234)</f>
        <v>1046.03</v>
      </c>
      <c r="AU234" s="170">
        <f ca="1">SUMIFS(Покупка!AT$25:AT$87,Покупка!$F$25:$F$87,$F234,Покупка!$AC$25:$AC$87,$G234)</f>
        <v>1141.22873</v>
      </c>
      <c r="AV234" s="170">
        <f ca="1">SUMIFS(Покупка!AU$25:AU$87,Покупка!$F$25:$F$87,$F234,Покупка!$AC$25:$AC$87,$G234)</f>
        <v>1197.14893777</v>
      </c>
      <c r="AW234" s="170">
        <f ca="1">SUMIFS(Покупка!AV$25:AV$87,Покупка!$F$25:$F$87,$F234,Покупка!$AC$25:$AC$87,$G234)</f>
        <v>0</v>
      </c>
      <c r="AX234" s="170">
        <f ca="1">SUMIFS(Покупка!AW$25:AW$87,Покупка!$F$25:$F$87,$F234,Покупка!$AC$25:$AC$87,$G234)</f>
        <v>0</v>
      </c>
      <c r="AY234" s="170">
        <f ca="1">SUMIFS(Покупка!AX$25:AX$87,Покупка!$F$25:$F$87,$F234,Покупка!$AC$25:$AC$87,$G234)</f>
        <v>0</v>
      </c>
      <c r="AZ234" s="170">
        <f ca="1">SUMIFS(Покупка!AY$25:AY$87,Покупка!$F$25:$F$87,$F234,Покупка!$AC$25:$AC$87,$G234)</f>
        <v>0</v>
      </c>
      <c r="BA234" s="170">
        <f ca="1">SUMIFS(Покупка!AZ$25:AZ$87,Покупка!$F$25:$F$87,$F234,Покупка!$AC$25:$AC$87,$G234)</f>
        <v>0</v>
      </c>
      <c r="BB234" s="170">
        <f ca="1">SUMIFS(Покупка!BA$25:BA$87,Покупка!$F$25:$F$87,$F234,Покупка!$AC$25:$AC$87,$G234)</f>
        <v>0</v>
      </c>
      <c r="BC234" s="170">
        <f ca="1">SUMIFS(Покупка!BB$25:BB$87,Покупка!$F$25:$F$87,$F234,Покупка!$AC$25:$AC$87,$G234)</f>
        <v>0</v>
      </c>
      <c r="BD234" s="170">
        <f t="shared" ca="1" si="52"/>
        <v>0</v>
      </c>
      <c r="BE234" s="170">
        <f t="shared" ca="1" si="53"/>
        <v>9.1009559955259469</v>
      </c>
      <c r="BF234" s="170">
        <f t="shared" ca="1" si="54"/>
        <v>4.8999999999999941</v>
      </c>
      <c r="BG234" s="170">
        <f t="shared" ca="1" si="55"/>
        <v>-100</v>
      </c>
      <c r="BH234" s="170">
        <f t="shared" ca="1" si="56"/>
        <v>0</v>
      </c>
      <c r="BI234" s="170">
        <f t="shared" ca="1" si="57"/>
        <v>0</v>
      </c>
      <c r="BJ234" s="170">
        <f t="shared" ca="1" si="58"/>
        <v>0</v>
      </c>
      <c r="BK234" s="170">
        <f t="shared" ca="1" si="59"/>
        <v>0</v>
      </c>
      <c r="BL234" s="170">
        <f t="shared" ca="1" si="60"/>
        <v>0</v>
      </c>
      <c r="BM234" s="170">
        <f t="shared" ca="1" si="61"/>
        <v>0</v>
      </c>
      <c r="BN234" s="195"/>
      <c r="BO234" s="599" t="str">
        <f ca="1">IF(IFERROR(INDEX(Покупка!$K$26:$L$87,MATCH($F234&amp;"9komm",Покупка!$K$26:$K$87,0),2),"")=0,"",IFERROR(INDEX(Покупка!$K$26:$L$87,MATCH($F234&amp;"9komm",Покупка!$K$26:$K$87,0),2),""))</f>
        <v/>
      </c>
      <c r="BP234" s="195"/>
      <c r="BS234" s="694" t="s">
        <v>1121</v>
      </c>
      <c r="BT234" s="694"/>
      <c r="BU234" s="694"/>
      <c r="BV234" s="505"/>
      <c r="BW234" s="505"/>
    </row>
    <row r="235" spans="1:75" ht="14.25" customHeight="1">
      <c r="B235" s="15"/>
      <c r="C235" s="25"/>
      <c r="D235" s="25"/>
      <c r="E235" s="449">
        <v>15</v>
      </c>
      <c r="F235" s="3" t="str" cm="1">
        <f t="array" aca="1" ref="F235" ca="1">OFFSET(E235,-1,1)</f>
        <v>1</v>
      </c>
      <c r="G235" s="25"/>
      <c r="H235" s="25"/>
      <c r="I235" s="25" t="s">
        <v>528</v>
      </c>
      <c r="J235" s="25"/>
      <c r="K235" s="25" t="s">
        <v>528</v>
      </c>
      <c r="L235" s="25"/>
      <c r="M235" s="25"/>
      <c r="N235" s="25"/>
      <c r="O235" s="25"/>
      <c r="P235" s="25"/>
      <c r="Q235" s="25"/>
      <c r="R235" s="25"/>
      <c r="S235" s="25"/>
      <c r="T235" s="351" t="b" cm="1">
        <f t="array" aca="1" ref="T235" ca="1">T234</f>
        <v>1</v>
      </c>
      <c r="U235" s="25"/>
      <c r="V235" s="25"/>
      <c r="X235" s="1024"/>
      <c r="Z235" s="1008"/>
      <c r="AB235" s="133" t="s">
        <v>592</v>
      </c>
      <c r="AC235" s="127" t="s">
        <v>2074</v>
      </c>
      <c r="AD235" s="99" t="s">
        <v>859</v>
      </c>
      <c r="AE235" s="170">
        <f ca="1">SUMIFS('Сырье и материалы'!AE$25:AE$36,'Сырье и материалы'!$F$25:$F$36,$F235,'Сырье и материалы'!$AC$25:$AC$36,"Всего по тарифу")</f>
        <v>40.98</v>
      </c>
      <c r="AF235" s="170">
        <f ca="1">SUMIFS('Сырье и материалы'!AF$25:AF$36,'Сырье и материалы'!$F$25:$F$36,$F235,'Сырье и материалы'!$AC$25:$AC$36,"Всего по тарифу")</f>
        <v>56.34</v>
      </c>
      <c r="AG235" s="170">
        <f ca="1">SUMIFS('Сырье и материалы'!AG$25:AG$36,'Сырье и материалы'!$F$25:$F$36,$F235,'Сырье и материалы'!$AC$25:$AC$36,"Всего по тарифу")</f>
        <v>56.34</v>
      </c>
      <c r="AH235" s="170">
        <f t="shared" ca="1" si="50"/>
        <v>0</v>
      </c>
      <c r="AI235" s="170">
        <f ca="1">SUMIFS('Сырье и материалы'!AH$25:AH$36,'Сырье и материалы'!$F$25:$F$36,$F235,'Сырье и материалы'!$AC$25:$AC$36,"Всего по тарифу")</f>
        <v>920.13</v>
      </c>
      <c r="AJ235" s="170">
        <f ca="1">SUMIFS('Сырье и материалы'!AI$25:AI$36,'Сырье и материалы'!$F$25:$F$36,$F235,'Сырье и материалы'!$AC$25:$AC$36,"Всего по тарифу")</f>
        <v>921.26</v>
      </c>
      <c r="AK235" s="170">
        <f ca="1">SUMIFS('Сырье и материалы'!AJ$25:AJ$36,'Сырье и материалы'!$F$25:$F$36,$F235,'Сырье и материалы'!$AC$25:$AC$36,"Всего по тарифу")</f>
        <v>957.19</v>
      </c>
      <c r="AL235" s="170">
        <f ca="1">SUMIFS('Сырье и материалы'!AK$25:AK$36,'Сырье и материалы'!$F$25:$F$36,$F235,'Сырье и материалы'!$AC$25:$AC$36,"Всего по тарифу")</f>
        <v>993.57</v>
      </c>
      <c r="AM235" s="170">
        <f ca="1">SUMIFS('Сырье и материалы'!AL$25:AL$36,'Сырье и материалы'!$F$25:$F$36,$F235,'Сырье и материалы'!$AC$25:$AC$36,"Всего по тарифу")</f>
        <v>0</v>
      </c>
      <c r="AN235" s="170">
        <f ca="1">SUMIFS('Сырье и материалы'!AM$25:AM$36,'Сырье и материалы'!$F$25:$F$36,$F235,'Сырье и материалы'!$AC$25:$AC$36,"Всего по тарифу")</f>
        <v>0</v>
      </c>
      <c r="AO235" s="170">
        <f ca="1">SUMIFS('Сырье и материалы'!AN$25:AN$36,'Сырье и материалы'!$F$25:$F$36,$F235,'Сырье и материалы'!$AC$25:$AC$36,"Всего по тарифу")</f>
        <v>0</v>
      </c>
      <c r="AP235" s="170">
        <f ca="1">SUMIFS('Сырье и материалы'!AO$25:AO$36,'Сырье и материалы'!$F$25:$F$36,$F235,'Сырье и материалы'!$AC$25:$AC$36,"Всего по тарифу")</f>
        <v>0</v>
      </c>
      <c r="AQ235" s="170">
        <f ca="1">SUMIFS('Сырье и материалы'!AP$25:AP$36,'Сырье и материалы'!$F$25:$F$36,$F235,'Сырье и материалы'!$AC$25:$AC$36,"Всего по тарифу")</f>
        <v>0</v>
      </c>
      <c r="AR235" s="170">
        <f ca="1">SUMIFS('Сырье и материалы'!AQ$25:AQ$36,'Сырье и материалы'!$F$25:$F$36,$F235,'Сырье и материалы'!$AC$25:$AC$36,"Всего по тарифу")</f>
        <v>0</v>
      </c>
      <c r="AS235" s="170">
        <f ca="1">SUMIFS('Сырье и материалы'!AR$25:AR$36,'Сырье и материалы'!$F$25:$F$36,$F235,'Сырье и материалы'!$AC$25:$AC$36,"Всего по тарифу")</f>
        <v>0</v>
      </c>
      <c r="AT235" s="170">
        <f ca="1">SUMIFS('Сырье и материалы'!AS$25:AS$36,'Сырье и материалы'!$F$25:$F$36,$F235,'Сырье и материалы'!$AC$25:$AC$36,"Всего по тарифу")</f>
        <v>699.89</v>
      </c>
      <c r="AU235" s="170">
        <f ca="1">SUMIFS('Сырье и материалы'!AT$25:AT$36,'Сырье и материалы'!$F$25:$F$36,$F235,'Сырье и материалы'!$AC$25:$AC$36,"Всего по тарифу")</f>
        <v>727.18</v>
      </c>
      <c r="AV235" s="170">
        <f ca="1">SUMIFS('Сырье и материалы'!AU$25:AU$36,'Сырье и материалы'!$F$25:$F$36,$F235,'Сырье и материалы'!$AC$25:$AC$36,"Всего по тарифу")</f>
        <v>754.81</v>
      </c>
      <c r="AW235" s="170">
        <f ca="1">SUMIFS('Сырье и материалы'!AV$25:AV$36,'Сырье и материалы'!$F$25:$F$36,$F235,'Сырье и материалы'!$AC$25:$AC$36,"Всего по тарифу")</f>
        <v>0</v>
      </c>
      <c r="AX235" s="170">
        <f ca="1">SUMIFS('Сырье и материалы'!AW$25:AW$36,'Сырье и материалы'!$F$25:$F$36,$F235,'Сырье и материалы'!$AC$25:$AC$36,"Всего по тарифу")</f>
        <v>0</v>
      </c>
      <c r="AY235" s="170">
        <f ca="1">SUMIFS('Сырье и материалы'!AX$25:AX$36,'Сырье и материалы'!$F$25:$F$36,$F235,'Сырье и материалы'!$AC$25:$AC$36,"Всего по тарифу")</f>
        <v>0</v>
      </c>
      <c r="AZ235" s="170">
        <f ca="1">SUMIFS('Сырье и материалы'!AY$25:AY$36,'Сырье и материалы'!$F$25:$F$36,$F235,'Сырье и материалы'!$AC$25:$AC$36,"Всего по тарифу")</f>
        <v>0</v>
      </c>
      <c r="BA235" s="170">
        <f ca="1">SUMIFS('Сырье и материалы'!AZ$25:AZ$36,'Сырье и материалы'!$F$25:$F$36,$F235,'Сырье и материалы'!$AC$25:$AC$36,"Всего по тарифу")</f>
        <v>0</v>
      </c>
      <c r="BB235" s="170">
        <f ca="1">SUMIFS('Сырье и материалы'!BA$25:BA$36,'Сырье и материалы'!$F$25:$F$36,$F235,'Сырье и материалы'!$AC$25:$AC$36,"Всего по тарифу")</f>
        <v>0</v>
      </c>
      <c r="BC235" s="170">
        <f ca="1">SUMIFS('Сырье и материалы'!BB$25:BB$36,'Сырье и материалы'!$F$25:$F$36,$F235,'Сырье и материалы'!$AC$25:$AC$36,"Всего по тарифу")</f>
        <v>0</v>
      </c>
      <c r="BD235" s="170">
        <f t="shared" ca="1" si="52"/>
        <v>-23.935748209492139</v>
      </c>
      <c r="BE235" s="170">
        <f t="shared" ca="1" si="53"/>
        <v>3.8991841575104611</v>
      </c>
      <c r="BF235" s="170">
        <f t="shared" ca="1" si="54"/>
        <v>3.7996094502049007</v>
      </c>
      <c r="BG235" s="170">
        <f t="shared" ca="1" si="55"/>
        <v>-100</v>
      </c>
      <c r="BH235" s="170">
        <f t="shared" ca="1" si="56"/>
        <v>0</v>
      </c>
      <c r="BI235" s="170">
        <f t="shared" ca="1" si="57"/>
        <v>0</v>
      </c>
      <c r="BJ235" s="170">
        <f t="shared" ca="1" si="58"/>
        <v>0</v>
      </c>
      <c r="BK235" s="170">
        <f t="shared" ca="1" si="59"/>
        <v>0</v>
      </c>
      <c r="BL235" s="170">
        <f t="shared" ca="1" si="60"/>
        <v>0</v>
      </c>
      <c r="BM235" s="170">
        <f t="shared" ca="1" si="61"/>
        <v>0</v>
      </c>
      <c r="BN235" s="195"/>
      <c r="BO235" s="599" t="str">
        <f ca="1">IF(IFERROR(INDEX('Сырье и материалы'!$K$26:$L$36,MATCH($F235&amp;"komm",'Сырье и материалы'!$K$26:$K$36,0),2),"")=0,"",IFERROR(INDEX('Сырье и материалы'!$K$26:$L$36,MATCH($F235&amp;"komm",'Сырье и материалы'!$K$26:$K$36,0),2),""))</f>
        <v>1) Пункты 22 - 23, 65 (л) Основ ценообразования  2)  П. 49 (10) , 16, 18(1), 19, 33 Методических указаний ФСТ России № 1746-э.</v>
      </c>
      <c r="BP235" s="195"/>
      <c r="BS235" s="694" t="s">
        <v>1743</v>
      </c>
    </row>
    <row r="236" spans="1:75" s="903" customFormat="1" ht="20.25" customHeight="1">
      <c r="A236" s="76"/>
      <c r="B236" s="29"/>
      <c r="C236" s="27"/>
      <c r="D236" s="27"/>
      <c r="E236" s="557">
        <v>21</v>
      </c>
      <c r="F236" s="3" t="str" cm="1">
        <f t="array" aca="1" ref="F236" ca="1">OFFSET(E236,-1,1)</f>
        <v>1</v>
      </c>
      <c r="G236" s="27"/>
      <c r="H236" s="25"/>
      <c r="I236" s="25" t="s">
        <v>956</v>
      </c>
      <c r="J236" s="27"/>
      <c r="K236" s="25" t="s">
        <v>956</v>
      </c>
      <c r="L236" s="27" t="s">
        <v>560</v>
      </c>
      <c r="M236" s="27"/>
      <c r="N236" s="27"/>
      <c r="O236" s="27"/>
      <c r="P236" s="27"/>
      <c r="Q236" s="27"/>
      <c r="R236" s="27"/>
      <c r="S236" s="27"/>
      <c r="T236" s="351" t="b" cm="1">
        <f t="array" aca="1" ref="T236" ca="1">T235</f>
        <v>1</v>
      </c>
      <c r="U236" s="27"/>
      <c r="V236" s="27"/>
      <c r="W236" s="76"/>
      <c r="X236" s="1024"/>
      <c r="Y236" s="76"/>
      <c r="Z236" s="1008"/>
      <c r="AA236" s="76"/>
      <c r="AB236" s="131" t="s">
        <v>596</v>
      </c>
      <c r="AC236" s="262" t="s">
        <v>2075</v>
      </c>
      <c r="AD236" s="124" t="s">
        <v>859</v>
      </c>
      <c r="AE236" s="126">
        <f ca="1">SUM(AE237:AE246)</f>
        <v>532.67000000000007</v>
      </c>
      <c r="AF236" s="126">
        <f ca="1">SUM(AF237:AF246)</f>
        <v>841.61</v>
      </c>
      <c r="AG236" s="126">
        <f ca="1">SUM(AG237:AG246)</f>
        <v>841.61</v>
      </c>
      <c r="AH236" s="126">
        <f t="shared" ca="1" si="50"/>
        <v>0</v>
      </c>
      <c r="AI236" s="126">
        <f t="shared" ref="AI236:BC236" ca="1" si="63">SUM(AI237:AI246)</f>
        <v>11842.76</v>
      </c>
      <c r="AJ236" s="126">
        <f t="shared" ca="1" si="63"/>
        <v>15826</v>
      </c>
      <c r="AK236" s="126">
        <f t="shared" ca="1" si="63"/>
        <v>15316.32</v>
      </c>
      <c r="AL236" s="126">
        <f t="shared" ca="1" si="63"/>
        <v>14812.74</v>
      </c>
      <c r="AM236" s="126">
        <f t="shared" ca="1" si="63"/>
        <v>0</v>
      </c>
      <c r="AN236" s="126">
        <f t="shared" ca="1" si="63"/>
        <v>0</v>
      </c>
      <c r="AO236" s="126">
        <f t="shared" ca="1" si="63"/>
        <v>0</v>
      </c>
      <c r="AP236" s="126">
        <f t="shared" ca="1" si="63"/>
        <v>0</v>
      </c>
      <c r="AQ236" s="126">
        <f t="shared" ca="1" si="63"/>
        <v>0</v>
      </c>
      <c r="AR236" s="126">
        <f t="shared" ca="1" si="63"/>
        <v>0</v>
      </c>
      <c r="AS236" s="126">
        <f t="shared" ca="1" si="63"/>
        <v>0</v>
      </c>
      <c r="AT236" s="126">
        <f t="shared" ca="1" si="63"/>
        <v>14965.41</v>
      </c>
      <c r="AU236" s="126">
        <f t="shared" ca="1" si="63"/>
        <v>14443.34</v>
      </c>
      <c r="AV236" s="126">
        <f t="shared" ca="1" si="63"/>
        <v>13930.44</v>
      </c>
      <c r="AW236" s="126">
        <f t="shared" ca="1" si="63"/>
        <v>0</v>
      </c>
      <c r="AX236" s="126">
        <f t="shared" ca="1" si="63"/>
        <v>0</v>
      </c>
      <c r="AY236" s="126">
        <f t="shared" ca="1" si="63"/>
        <v>0</v>
      </c>
      <c r="AZ236" s="126">
        <f t="shared" ca="1" si="63"/>
        <v>0</v>
      </c>
      <c r="BA236" s="126">
        <f t="shared" ca="1" si="63"/>
        <v>0</v>
      </c>
      <c r="BB236" s="126">
        <f t="shared" ca="1" si="63"/>
        <v>0</v>
      </c>
      <c r="BC236" s="126">
        <f t="shared" ca="1" si="63"/>
        <v>0</v>
      </c>
      <c r="BD236" s="126">
        <f t="shared" ca="1" si="52"/>
        <v>26.367586609878096</v>
      </c>
      <c r="BE236" s="126">
        <f t="shared" ca="1" si="53"/>
        <v>-3.4885111734326006</v>
      </c>
      <c r="BF236" s="126">
        <f t="shared" ca="1" si="54"/>
        <v>-3.5511176777670519</v>
      </c>
      <c r="BG236" s="126">
        <f t="shared" ca="1" si="55"/>
        <v>-100</v>
      </c>
      <c r="BH236" s="126">
        <f t="shared" ca="1" si="56"/>
        <v>0</v>
      </c>
      <c r="BI236" s="126">
        <f t="shared" ca="1" si="57"/>
        <v>0</v>
      </c>
      <c r="BJ236" s="126">
        <f t="shared" ca="1" si="58"/>
        <v>0</v>
      </c>
      <c r="BK236" s="126">
        <f t="shared" ca="1" si="59"/>
        <v>0</v>
      </c>
      <c r="BL236" s="126">
        <f t="shared" ca="1" si="60"/>
        <v>0</v>
      </c>
      <c r="BM236" s="126">
        <f t="shared" ca="1" si="61"/>
        <v>0</v>
      </c>
      <c r="BN236" s="554"/>
      <c r="BO236" s="599" t="str">
        <f ca="1">IF(IFERROR(INDEX(Налоги!$K$26:$L$55,MATCH($F236&amp;"komm",Налоги!$K$26:$K$55,0),2),"")=0,"",IFERROR(INDEX(Налоги!$K$26:$L$55,MATCH($F236&amp;"komm",Налоги!$K$26:$K$55,0),2),""))</f>
        <v xml:space="preserve">1) П. 49 (2) Методических указаний  ФСТ № 1746-э.  2)  "Налоговый кодекс Российской Федерации (часть вторая)" от 05.08.2000 N 117-ФЗ. </v>
      </c>
      <c r="BP236" s="554"/>
      <c r="BQ236" s="76"/>
      <c r="BR236" s="76"/>
      <c r="BS236" s="700" t="s">
        <v>1294</v>
      </c>
      <c r="BT236" s="700"/>
      <c r="BU236" s="700"/>
      <c r="BV236" s="509"/>
      <c r="BW236" s="509"/>
    </row>
    <row r="237" spans="1:75" ht="14.25" customHeight="1">
      <c r="B237" s="15"/>
      <c r="C237" s="25"/>
      <c r="D237" s="25"/>
      <c r="E237" s="449">
        <v>15</v>
      </c>
      <c r="F237" s="3" t="str" cm="1">
        <f t="array" aca="1" ref="F237" ca="1">OFFSET(E237,-1,1)</f>
        <v>1</v>
      </c>
      <c r="G237" s="609">
        <v>7</v>
      </c>
      <c r="H237" s="25"/>
      <c r="I237" s="25" t="s">
        <v>2076</v>
      </c>
      <c r="J237" s="25"/>
      <c r="K237" s="25" t="s">
        <v>2076</v>
      </c>
      <c r="L237" s="25"/>
      <c r="M237" s="25"/>
      <c r="N237" s="25"/>
      <c r="O237" s="25"/>
      <c r="P237" s="25"/>
      <c r="Q237" s="25"/>
      <c r="R237" s="25"/>
      <c r="S237" s="25"/>
      <c r="T237" s="351" t="b" cm="1">
        <f t="array" aca="1" ref="T237" ca="1">T236</f>
        <v>1</v>
      </c>
      <c r="U237" s="25"/>
      <c r="V237" s="25"/>
      <c r="X237" s="1024"/>
      <c r="Z237" s="1008"/>
      <c r="AB237" s="133" t="s">
        <v>544</v>
      </c>
      <c r="AC237" s="134" t="s">
        <v>1308</v>
      </c>
      <c r="AD237" s="7" t="s">
        <v>859</v>
      </c>
      <c r="AE237" s="170">
        <f ca="1">SUMIFS(Налоги!AE$25:AE$55,Налоги!$F$25:$F$55,$F237,Налоги!$AB$25:$AB$55,$G237)</f>
        <v>0</v>
      </c>
      <c r="AF237" s="170">
        <f ca="1">SUMIFS(Налоги!AF$25:AF$55,Налоги!$F$25:$F$55,$F237,Налоги!$AB$25:$AB$55,$G237)</f>
        <v>0</v>
      </c>
      <c r="AG237" s="170">
        <f ca="1">SUMIFS(Налоги!AG$25:AG$55,Налоги!$F$25:$F$55,$F237,Налоги!$AB$25:$AB$55,$G237)</f>
        <v>0</v>
      </c>
      <c r="AH237" s="170">
        <f t="shared" ca="1" si="50"/>
        <v>0</v>
      </c>
      <c r="AI237" s="170">
        <f ca="1">SUMIFS(Налоги!AH$25:AH$55,Налоги!$F$25:$F$55,$F237,Налоги!$AB$25:$AB$55,$G237)</f>
        <v>0</v>
      </c>
      <c r="AJ237" s="170">
        <f ca="1">SUMIFS(Налоги!AI$25:AI$55,Налоги!$F$25:$F$55,$F237,Налоги!$AB$25:$AB$55,$G237)</f>
        <v>0</v>
      </c>
      <c r="AK237" s="170">
        <f ca="1">SUMIFS(Налоги!AJ$25:AJ$55,Налоги!$F$25:$F$55,$F237,Налоги!$AB$25:$AB$55,$G237)</f>
        <v>0</v>
      </c>
      <c r="AL237" s="170">
        <f ca="1">SUMIFS(Налоги!AK$25:AK$55,Налоги!$F$25:$F$55,$F237,Налоги!$AB$25:$AB$55,$G237)</f>
        <v>0</v>
      </c>
      <c r="AM237" s="170">
        <f ca="1">SUMIFS(Налоги!AL$25:AL$55,Налоги!$F$25:$F$55,$F237,Налоги!$AB$25:$AB$55,$G237)</f>
        <v>0</v>
      </c>
      <c r="AN237" s="170">
        <f ca="1">SUMIFS(Налоги!AM$25:AM$55,Налоги!$F$25:$F$55,$F237,Налоги!$AB$25:$AB$55,$G237)</f>
        <v>0</v>
      </c>
      <c r="AO237" s="170">
        <f ca="1">SUMIFS(Налоги!AN$25:AN$55,Налоги!$F$25:$F$55,$F237,Налоги!$AB$25:$AB$55,$G237)</f>
        <v>0</v>
      </c>
      <c r="AP237" s="170">
        <f ca="1">SUMIFS(Налоги!AO$25:AO$55,Налоги!$F$25:$F$55,$F237,Налоги!$AB$25:$AB$55,$G237)</f>
        <v>0</v>
      </c>
      <c r="AQ237" s="170">
        <f ca="1">SUMIFS(Налоги!AP$25:AP$55,Налоги!$F$25:$F$55,$F237,Налоги!$AB$25:$AB$55,$G237)</f>
        <v>0</v>
      </c>
      <c r="AR237" s="170">
        <f ca="1">SUMIFS(Налоги!AQ$25:AQ$55,Налоги!$F$25:$F$55,$F237,Налоги!$AB$25:$AB$55,$G237)</f>
        <v>0</v>
      </c>
      <c r="AS237" s="170">
        <f ca="1">SUMIFS(Налоги!AR$25:AR$55,Налоги!$F$25:$F$55,$F237,Налоги!$AB$25:$AB$55,$G237)</f>
        <v>0</v>
      </c>
      <c r="AT237" s="170">
        <f ca="1">SUMIFS(Налоги!AS$25:AS$55,Налоги!$F$25:$F$55,$F237,Налоги!$AB$25:$AB$55,$G237)</f>
        <v>0</v>
      </c>
      <c r="AU237" s="170">
        <f ca="1">SUMIFS(Налоги!AT$25:AT$55,Налоги!$F$25:$F$55,$F237,Налоги!$AB$25:$AB$55,$G237)</f>
        <v>0</v>
      </c>
      <c r="AV237" s="170">
        <f ca="1">SUMIFS(Налоги!AU$25:AU$55,Налоги!$F$25:$F$55,$F237,Налоги!$AB$25:$AB$55,$G237)</f>
        <v>0</v>
      </c>
      <c r="AW237" s="170">
        <f ca="1">SUMIFS(Налоги!AV$25:AV$55,Налоги!$F$25:$F$55,$F237,Налоги!$AB$25:$AB$55,$G237)</f>
        <v>0</v>
      </c>
      <c r="AX237" s="170">
        <f ca="1">SUMIFS(Налоги!AW$25:AW$55,Налоги!$F$25:$F$55,$F237,Налоги!$AB$25:$AB$55,$G237)</f>
        <v>0</v>
      </c>
      <c r="AY237" s="170">
        <f ca="1">SUMIFS(Налоги!AX$25:AX$55,Налоги!$F$25:$F$55,$F237,Налоги!$AB$25:$AB$55,$G237)</f>
        <v>0</v>
      </c>
      <c r="AZ237" s="170">
        <f ca="1">SUMIFS(Налоги!AY$25:AY$55,Налоги!$F$25:$F$55,$F237,Налоги!$AB$25:$AB$55,$G237)</f>
        <v>0</v>
      </c>
      <c r="BA237" s="170">
        <f ca="1">SUMIFS(Налоги!AZ$25:AZ$55,Налоги!$F$25:$F$55,$F237,Налоги!$AB$25:$AB$55,$G237)</f>
        <v>0</v>
      </c>
      <c r="BB237" s="170">
        <f ca="1">SUMIFS(Налоги!BA$25:BA$55,Налоги!$F$25:$F$55,$F237,Налоги!$AB$25:$AB$55,$G237)</f>
        <v>0</v>
      </c>
      <c r="BC237" s="170">
        <f ca="1">SUMIFS(Налоги!BB$25:BB$55,Налоги!$F$25:$F$55,$F237,Налоги!$AB$25:$AB$55,$G237)</f>
        <v>0</v>
      </c>
      <c r="BD237" s="170">
        <f t="shared" ca="1" si="52"/>
        <v>0</v>
      </c>
      <c r="BE237" s="170">
        <f t="shared" ca="1" si="53"/>
        <v>0</v>
      </c>
      <c r="BF237" s="170">
        <f t="shared" ca="1" si="54"/>
        <v>0</v>
      </c>
      <c r="BG237" s="170">
        <f t="shared" ca="1" si="55"/>
        <v>0</v>
      </c>
      <c r="BH237" s="170">
        <f t="shared" ca="1" si="56"/>
        <v>0</v>
      </c>
      <c r="BI237" s="170">
        <f t="shared" ca="1" si="57"/>
        <v>0</v>
      </c>
      <c r="BJ237" s="170">
        <f t="shared" ca="1" si="58"/>
        <v>0</v>
      </c>
      <c r="BK237" s="170">
        <f t="shared" ca="1" si="59"/>
        <v>0</v>
      </c>
      <c r="BL237" s="170">
        <f t="shared" ca="1" si="60"/>
        <v>0</v>
      </c>
      <c r="BM237" s="170">
        <f t="shared" ca="1" si="61"/>
        <v>0</v>
      </c>
      <c r="BN237" s="195"/>
      <c r="BO237" s="599" t="str">
        <f ca="1">IF(IFERROR(INDEX(Налоги!$K$26:$L$55,MATCH($F237&amp;"7komm",Налоги!$K$26:$K$55,0),2),"")=0,"",IFERROR(INDEX(Налоги!$K$26:$L$55,MATCH($F237&amp;"7komm",Налоги!$K$26:$K$55,0),2),""))</f>
        <v/>
      </c>
      <c r="BP237" s="195"/>
      <c r="BS237" s="694" t="s">
        <v>2077</v>
      </c>
    </row>
    <row r="238" spans="1:75" ht="14.25" customHeight="1">
      <c r="B238" s="15"/>
      <c r="C238" s="25"/>
      <c r="D238" s="25"/>
      <c r="E238" s="449">
        <v>15</v>
      </c>
      <c r="F238" s="3" t="str" cm="1">
        <f t="array" aca="1" ref="F238" ca="1">OFFSET(E238,-1,1)</f>
        <v>1</v>
      </c>
      <c r="G238" s="609">
        <v>6</v>
      </c>
      <c r="H238" s="25"/>
      <c r="I238" s="25" t="s">
        <v>2078</v>
      </c>
      <c r="J238" s="25"/>
      <c r="K238" s="25" t="s">
        <v>2078</v>
      </c>
      <c r="L238" s="25"/>
      <c r="M238" s="25"/>
      <c r="N238" s="25"/>
      <c r="O238" s="25"/>
      <c r="P238" s="25"/>
      <c r="Q238" s="25"/>
      <c r="R238" s="25"/>
      <c r="S238" s="25"/>
      <c r="T238" s="351" t="b" cm="1">
        <f t="array" aca="1" ref="T238" ca="1">T237</f>
        <v>1</v>
      </c>
      <c r="U238" s="25"/>
      <c r="V238" s="25"/>
      <c r="X238" s="1024"/>
      <c r="Z238" s="1008"/>
      <c r="AB238" s="133" t="s">
        <v>1534</v>
      </c>
      <c r="AC238" s="134" t="s">
        <v>2079</v>
      </c>
      <c r="AD238" s="7" t="s">
        <v>859</v>
      </c>
      <c r="AE238" s="170">
        <f ca="1">SUMIFS(Налоги!AE$25:AE$55,Налоги!$F$25:$F$55,$F238,Налоги!$AB$25:$AB$55,$G238)</f>
        <v>0</v>
      </c>
      <c r="AF238" s="170">
        <f ca="1">SUMIFS(Налоги!AF$25:AF$55,Налоги!$F$25:$F$55,$F238,Налоги!$AB$25:$AB$55,$G238)</f>
        <v>0</v>
      </c>
      <c r="AG238" s="170">
        <f ca="1">SUMIFS(Налоги!AG$25:AG$55,Налоги!$F$25:$F$55,$F238,Налоги!$AB$25:$AB$55,$G238)</f>
        <v>0</v>
      </c>
      <c r="AH238" s="170">
        <f t="shared" ca="1" si="50"/>
        <v>0</v>
      </c>
      <c r="AI238" s="170">
        <f ca="1">SUMIFS(Налоги!AH$25:AH$55,Налоги!$F$25:$F$55,$F238,Налоги!$AB$25:$AB$55,$G238)</f>
        <v>7560.01</v>
      </c>
      <c r="AJ238" s="170">
        <f ca="1">SUMIFS(Налоги!AI$25:AI$55,Налоги!$F$25:$F$55,$F238,Налоги!$AB$25:$AB$55,$G238)</f>
        <v>12010.99</v>
      </c>
      <c r="AK238" s="170">
        <f ca="1">SUMIFS(Налоги!AJ$25:AJ$55,Налоги!$F$25:$F$55,$F238,Налоги!$AB$25:$AB$55,$G238)</f>
        <v>11349.73</v>
      </c>
      <c r="AL238" s="170">
        <f ca="1">SUMIFS(Налоги!AK$25:AK$55,Налоги!$F$25:$F$55,$F238,Налоги!$AB$25:$AB$55,$G238)</f>
        <v>10688.47</v>
      </c>
      <c r="AM238" s="170">
        <f ca="1">SUMIFS(Налоги!AL$25:AL$55,Налоги!$F$25:$F$55,$F238,Налоги!$AB$25:$AB$55,$G238)</f>
        <v>0</v>
      </c>
      <c r="AN238" s="170">
        <f ca="1">SUMIFS(Налоги!AM$25:AM$55,Налоги!$F$25:$F$55,$F238,Налоги!$AB$25:$AB$55,$G238)</f>
        <v>0</v>
      </c>
      <c r="AO238" s="170">
        <f ca="1">SUMIFS(Налоги!AN$25:AN$55,Налоги!$F$25:$F$55,$F238,Налоги!$AB$25:$AB$55,$G238)</f>
        <v>0</v>
      </c>
      <c r="AP238" s="170">
        <f ca="1">SUMIFS(Налоги!AO$25:AO$55,Налоги!$F$25:$F$55,$F238,Налоги!$AB$25:$AB$55,$G238)</f>
        <v>0</v>
      </c>
      <c r="AQ238" s="170">
        <f ca="1">SUMIFS(Налоги!AP$25:AP$55,Налоги!$F$25:$F$55,$F238,Налоги!$AB$25:$AB$55,$G238)</f>
        <v>0</v>
      </c>
      <c r="AR238" s="170">
        <f ca="1">SUMIFS(Налоги!AQ$25:AQ$55,Налоги!$F$25:$F$55,$F238,Налоги!$AB$25:$AB$55,$G238)</f>
        <v>0</v>
      </c>
      <c r="AS238" s="170">
        <f ca="1">SUMIFS(Налоги!AR$25:AR$55,Налоги!$F$25:$F$55,$F238,Налоги!$AB$25:$AB$55,$G238)</f>
        <v>0</v>
      </c>
      <c r="AT238" s="170">
        <f ca="1">SUMIFS(Налоги!AS$25:AS$55,Налоги!$F$25:$F$55,$F238,Налоги!$AB$25:$AB$55,$G238)</f>
        <v>11150.4</v>
      </c>
      <c r="AU238" s="170">
        <f ca="1">SUMIFS(Налоги!AT$25:AT$55,Налоги!$F$25:$F$55,$F238,Налоги!$AB$25:$AB$55,$G238)</f>
        <v>10476.719999999999</v>
      </c>
      <c r="AV238" s="170">
        <f ca="1">SUMIFS(Налоги!AU$25:AU$55,Налоги!$F$25:$F$55,$F238,Налоги!$AB$25:$AB$55,$G238)</f>
        <v>9806.15</v>
      </c>
      <c r="AW238" s="170">
        <f ca="1">SUMIFS(Налоги!AV$25:AV$55,Налоги!$F$25:$F$55,$F238,Налоги!$AB$25:$AB$55,$G238)</f>
        <v>0</v>
      </c>
      <c r="AX238" s="170">
        <f ca="1">SUMIFS(Налоги!AW$25:AW$55,Налоги!$F$25:$F$55,$F238,Налоги!$AB$25:$AB$55,$G238)</f>
        <v>0</v>
      </c>
      <c r="AY238" s="170">
        <f ca="1">SUMIFS(Налоги!AX$25:AX$55,Налоги!$F$25:$F$55,$F238,Налоги!$AB$25:$AB$55,$G238)</f>
        <v>0</v>
      </c>
      <c r="AZ238" s="170">
        <f ca="1">SUMIFS(Налоги!AY$25:AY$55,Налоги!$F$25:$F$55,$F238,Налоги!$AB$25:$AB$55,$G238)</f>
        <v>0</v>
      </c>
      <c r="BA238" s="170">
        <f ca="1">SUMIFS(Налоги!AZ$25:AZ$55,Налоги!$F$25:$F$55,$F238,Налоги!$AB$25:$AB$55,$G238)</f>
        <v>0</v>
      </c>
      <c r="BB238" s="170">
        <f ca="1">SUMIFS(Налоги!BA$25:BA$55,Налоги!$F$25:$F$55,$F238,Налоги!$AB$25:$AB$55,$G238)</f>
        <v>0</v>
      </c>
      <c r="BC238" s="170">
        <f ca="1">SUMIFS(Налоги!BB$25:BB$55,Налоги!$F$25:$F$55,$F238,Налоги!$AB$25:$AB$55,$G238)</f>
        <v>0</v>
      </c>
      <c r="BD238" s="170">
        <f t="shared" ca="1" si="52"/>
        <v>47.491868396999465</v>
      </c>
      <c r="BE238" s="170">
        <f t="shared" ca="1" si="53"/>
        <v>-6.0417563495480016</v>
      </c>
      <c r="BF238" s="170">
        <f t="shared" ca="1" si="54"/>
        <v>-6.40057193472766</v>
      </c>
      <c r="BG238" s="170">
        <f t="shared" ca="1" si="55"/>
        <v>-100</v>
      </c>
      <c r="BH238" s="170">
        <f t="shared" ca="1" si="56"/>
        <v>0</v>
      </c>
      <c r="BI238" s="170">
        <f t="shared" ca="1" si="57"/>
        <v>0</v>
      </c>
      <c r="BJ238" s="170">
        <f t="shared" ca="1" si="58"/>
        <v>0</v>
      </c>
      <c r="BK238" s="170">
        <f t="shared" ca="1" si="59"/>
        <v>0</v>
      </c>
      <c r="BL238" s="170">
        <f t="shared" ca="1" si="60"/>
        <v>0</v>
      </c>
      <c r="BM238" s="170">
        <f t="shared" ca="1" si="61"/>
        <v>0</v>
      </c>
      <c r="BN238" s="195"/>
      <c r="BO238" s="599" t="str">
        <f ca="1">IF(IFERROR(INDEX(Налоги!$K$26:$L$55,MATCH($F238&amp;"6komm",Налоги!$K$26:$K$55,0),2),"")=0,"",IFERROR(INDEX(Налоги!$K$26:$L$55,MATCH($F238&amp;"6komm",Налоги!$K$26:$K$55,0),2),""))</f>
        <v>Глава 30 "НАЛОГ НА ИМУЩЕСТВО ОРГАНИЗАЦИЙ" Налогового кодекса РФ (Часть вторая);  Закон Кемеровской области - Кузбасса от 26.11.2003 N 60-ОЗ (ред. от 30.06.2025 N 79-ОЗ) "О налоге на имущество организаций".</v>
      </c>
      <c r="BP238" s="195"/>
      <c r="BS238" s="694" t="s">
        <v>2080</v>
      </c>
    </row>
    <row r="239" spans="1:75" ht="14.25" customHeight="1">
      <c r="B239" s="15"/>
      <c r="C239" s="25"/>
      <c r="D239" s="25"/>
      <c r="E239" s="449">
        <v>15</v>
      </c>
      <c r="F239" s="3" t="str" cm="1">
        <f t="array" aca="1" ref="F239" ca="1">OFFSET(E239,-1,1)</f>
        <v>1</v>
      </c>
      <c r="G239" s="609">
        <v>2</v>
      </c>
      <c r="H239" s="25"/>
      <c r="I239" s="25" t="s">
        <v>2081</v>
      </c>
      <c r="J239" s="25"/>
      <c r="K239" s="25" t="s">
        <v>2081</v>
      </c>
      <c r="L239" s="25"/>
      <c r="M239" s="25"/>
      <c r="N239" s="25"/>
      <c r="O239" s="25"/>
      <c r="P239" s="25"/>
      <c r="Q239" s="25"/>
      <c r="R239" s="25"/>
      <c r="S239" s="25"/>
      <c r="T239" s="351" t="b" cm="1">
        <f t="array" aca="1" ref="T239" ca="1">T238</f>
        <v>1</v>
      </c>
      <c r="U239" s="25"/>
      <c r="V239" s="25"/>
      <c r="X239" s="1024"/>
      <c r="Z239" s="1008"/>
      <c r="AB239" s="133" t="s">
        <v>1539</v>
      </c>
      <c r="AC239" s="134" t="s">
        <v>2082</v>
      </c>
      <c r="AD239" s="7" t="s">
        <v>859</v>
      </c>
      <c r="AE239" s="170">
        <f ca="1">SUMIFS(Налоги!AE$25:AE$55,Налоги!$F$25:$F$55,$F239,Налоги!$AB$25:$AB$55,$G239)</f>
        <v>0</v>
      </c>
      <c r="AF239" s="170">
        <f ca="1">SUMIFS(Налоги!AF$25:AF$55,Налоги!$F$25:$F$55,$F239,Налоги!$AB$25:$AB$55,$G239)</f>
        <v>0</v>
      </c>
      <c r="AG239" s="170">
        <f ca="1">SUMIFS(Налоги!AG$25:AG$55,Налоги!$F$25:$F$55,$F239,Налоги!$AB$25:$AB$55,$G239)</f>
        <v>0</v>
      </c>
      <c r="AH239" s="170">
        <f t="shared" ca="1" si="50"/>
        <v>0</v>
      </c>
      <c r="AI239" s="170">
        <f ca="1">SUMIFS(Налоги!AH$25:AH$55,Налоги!$F$25:$F$55,$F239,Налоги!$AB$25:$AB$55,$G239)</f>
        <v>0</v>
      </c>
      <c r="AJ239" s="170">
        <f ca="1">SUMIFS(Налоги!AI$25:AI$55,Налоги!$F$25:$F$55,$F239,Налоги!$AB$25:$AB$55,$G239)</f>
        <v>0</v>
      </c>
      <c r="AK239" s="170">
        <f ca="1">SUMIFS(Налоги!AJ$25:AJ$55,Налоги!$F$25:$F$55,$F239,Налоги!$AB$25:$AB$55,$G239)</f>
        <v>0</v>
      </c>
      <c r="AL239" s="170">
        <f ca="1">SUMIFS(Налоги!AK$25:AK$55,Налоги!$F$25:$F$55,$F239,Налоги!$AB$25:$AB$55,$G239)</f>
        <v>0</v>
      </c>
      <c r="AM239" s="170">
        <f ca="1">SUMIFS(Налоги!AL$25:AL$55,Налоги!$F$25:$F$55,$F239,Налоги!$AB$25:$AB$55,$G239)</f>
        <v>0</v>
      </c>
      <c r="AN239" s="170">
        <f ca="1">SUMIFS(Налоги!AM$25:AM$55,Налоги!$F$25:$F$55,$F239,Налоги!$AB$25:$AB$55,$G239)</f>
        <v>0</v>
      </c>
      <c r="AO239" s="170">
        <f ca="1">SUMIFS(Налоги!AN$25:AN$55,Налоги!$F$25:$F$55,$F239,Налоги!$AB$25:$AB$55,$G239)</f>
        <v>0</v>
      </c>
      <c r="AP239" s="170">
        <f ca="1">SUMIFS(Налоги!AO$25:AO$55,Налоги!$F$25:$F$55,$F239,Налоги!$AB$25:$AB$55,$G239)</f>
        <v>0</v>
      </c>
      <c r="AQ239" s="170">
        <f ca="1">SUMIFS(Налоги!AP$25:AP$55,Налоги!$F$25:$F$55,$F239,Налоги!$AB$25:$AB$55,$G239)</f>
        <v>0</v>
      </c>
      <c r="AR239" s="170">
        <f ca="1">SUMIFS(Налоги!AQ$25:AQ$55,Налоги!$F$25:$F$55,$F239,Налоги!$AB$25:$AB$55,$G239)</f>
        <v>0</v>
      </c>
      <c r="AS239" s="170">
        <f ca="1">SUMIFS(Налоги!AR$25:AR$55,Налоги!$F$25:$F$55,$F239,Налоги!$AB$25:$AB$55,$G239)</f>
        <v>0</v>
      </c>
      <c r="AT239" s="170">
        <f ca="1">SUMIFS(Налоги!AS$25:AS$55,Налоги!$F$25:$F$55,$F239,Налоги!$AB$25:$AB$55,$G239)</f>
        <v>0</v>
      </c>
      <c r="AU239" s="170">
        <f ca="1">SUMIFS(Налоги!AT$25:AT$55,Налоги!$F$25:$F$55,$F239,Налоги!$AB$25:$AB$55,$G239)</f>
        <v>0</v>
      </c>
      <c r="AV239" s="170">
        <f ca="1">SUMIFS(Налоги!AU$25:AU$55,Налоги!$F$25:$F$55,$F239,Налоги!$AB$25:$AB$55,$G239)</f>
        <v>0</v>
      </c>
      <c r="AW239" s="170">
        <f ca="1">SUMIFS(Налоги!AV$25:AV$55,Налоги!$F$25:$F$55,$F239,Налоги!$AB$25:$AB$55,$G239)</f>
        <v>0</v>
      </c>
      <c r="AX239" s="170">
        <f ca="1">SUMIFS(Налоги!AW$25:AW$55,Налоги!$F$25:$F$55,$F239,Налоги!$AB$25:$AB$55,$G239)</f>
        <v>0</v>
      </c>
      <c r="AY239" s="170">
        <f ca="1">SUMIFS(Налоги!AX$25:AX$55,Налоги!$F$25:$F$55,$F239,Налоги!$AB$25:$AB$55,$G239)</f>
        <v>0</v>
      </c>
      <c r="AZ239" s="170">
        <f ca="1">SUMIFS(Налоги!AY$25:AY$55,Налоги!$F$25:$F$55,$F239,Налоги!$AB$25:$AB$55,$G239)</f>
        <v>0</v>
      </c>
      <c r="BA239" s="170">
        <f ca="1">SUMIFS(Налоги!AZ$25:AZ$55,Налоги!$F$25:$F$55,$F239,Налоги!$AB$25:$AB$55,$G239)</f>
        <v>0</v>
      </c>
      <c r="BB239" s="170">
        <f ca="1">SUMIFS(Налоги!BA$25:BA$55,Налоги!$F$25:$F$55,$F239,Налоги!$AB$25:$AB$55,$G239)</f>
        <v>0</v>
      </c>
      <c r="BC239" s="170">
        <f ca="1">SUMIFS(Налоги!BB$25:BB$55,Налоги!$F$25:$F$55,$F239,Налоги!$AB$25:$AB$55,$G239)</f>
        <v>0</v>
      </c>
      <c r="BD239" s="170">
        <f t="shared" ca="1" si="52"/>
        <v>0</v>
      </c>
      <c r="BE239" s="170">
        <f t="shared" ca="1" si="53"/>
        <v>0</v>
      </c>
      <c r="BF239" s="170">
        <f t="shared" ca="1" si="54"/>
        <v>0</v>
      </c>
      <c r="BG239" s="170">
        <f t="shared" ca="1" si="55"/>
        <v>0</v>
      </c>
      <c r="BH239" s="170">
        <f t="shared" ca="1" si="56"/>
        <v>0</v>
      </c>
      <c r="BI239" s="170">
        <f t="shared" ca="1" si="57"/>
        <v>0</v>
      </c>
      <c r="BJ239" s="170">
        <f t="shared" ca="1" si="58"/>
        <v>0</v>
      </c>
      <c r="BK239" s="170">
        <f t="shared" ca="1" si="59"/>
        <v>0</v>
      </c>
      <c r="BL239" s="170">
        <f t="shared" ca="1" si="60"/>
        <v>0</v>
      </c>
      <c r="BM239" s="170">
        <f t="shared" ca="1" si="61"/>
        <v>0</v>
      </c>
      <c r="BN239" s="195"/>
      <c r="BO239" s="599" t="str">
        <f ca="1">IF(IFERROR(INDEX(Налоги!$K$26:$L$55,MATCH($F239&amp;"2komm",Налоги!$K$26:$K$55,0),2),"")=0,"",IFERROR(INDEX(Налоги!$K$26:$L$55,MATCH($F239&amp;"2komm",Налоги!$K$26:$K$55,0),2),""))</f>
        <v/>
      </c>
      <c r="BP239" s="195"/>
      <c r="BS239" s="694" t="s">
        <v>2083</v>
      </c>
    </row>
    <row r="240" spans="1:75" ht="14.25" customHeight="1">
      <c r="B240" s="15"/>
      <c r="C240" s="25"/>
      <c r="D240" s="25"/>
      <c r="E240" s="449">
        <v>15</v>
      </c>
      <c r="F240" s="3" t="str" cm="1">
        <f t="array" aca="1" ref="F240" ca="1">OFFSET(E240,-1,1)</f>
        <v>1</v>
      </c>
      <c r="G240" s="609">
        <v>4</v>
      </c>
      <c r="H240" s="25"/>
      <c r="I240" s="25" t="s">
        <v>2084</v>
      </c>
      <c r="J240" s="25"/>
      <c r="K240" s="25" t="s">
        <v>2084</v>
      </c>
      <c r="L240" s="25"/>
      <c r="M240" s="25"/>
      <c r="N240" s="25"/>
      <c r="O240" s="25"/>
      <c r="P240" s="25"/>
      <c r="Q240" s="25"/>
      <c r="R240" s="25"/>
      <c r="S240" s="25"/>
      <c r="T240" s="351" t="b" cm="1">
        <f t="array" aca="1" ref="T240" ca="1">T239</f>
        <v>1</v>
      </c>
      <c r="U240" s="25"/>
      <c r="V240" s="25"/>
      <c r="X240" s="1024"/>
      <c r="Z240" s="1008"/>
      <c r="AB240" s="133" t="s">
        <v>2085</v>
      </c>
      <c r="AC240" s="134" t="s">
        <v>2086</v>
      </c>
      <c r="AD240" s="7" t="s">
        <v>859</v>
      </c>
      <c r="AE240" s="170">
        <f ca="1">SUMIFS(Налоги!AE$25:AE$55,Налоги!$F$25:$F$55,$F240,Налоги!$AB$25:$AB$55,$G240)</f>
        <v>161.63999999999999</v>
      </c>
      <c r="AF240" s="170">
        <f ca="1">SUMIFS(Налоги!AF$25:AF$55,Налоги!$F$25:$F$55,$F240,Налоги!$AB$25:$AB$55,$G240)</f>
        <v>432.11</v>
      </c>
      <c r="AG240" s="170">
        <f ca="1">SUMIFS(Налоги!AG$25:AG$55,Налоги!$F$25:$F$55,$F240,Налоги!$AB$25:$AB$55,$G240)</f>
        <v>432.11</v>
      </c>
      <c r="AH240" s="170">
        <f t="shared" ca="1" si="50"/>
        <v>0</v>
      </c>
      <c r="AI240" s="170">
        <f ca="1">SUMIFS(Налоги!AH$25:AH$55,Налоги!$F$25:$F$55,$F240,Налоги!$AB$25:$AB$55,$G240)</f>
        <v>4274.8999999999996</v>
      </c>
      <c r="AJ240" s="170">
        <f ca="1">SUMIFS(Налоги!AI$25:AI$55,Налоги!$F$25:$F$55,$F240,Налоги!$AB$25:$AB$55,$G240)</f>
        <v>3790.47</v>
      </c>
      <c r="AK240" s="170">
        <f ca="1">SUMIFS(Налоги!AJ$25:AJ$55,Налоги!$F$25:$F$55,$F240,Налоги!$AB$25:$AB$55,$G240)</f>
        <v>3942.05</v>
      </c>
      <c r="AL240" s="170">
        <f ca="1">SUMIFS(Налоги!AK$25:AK$55,Налоги!$F$25:$F$55,$F240,Налоги!$AB$25:$AB$55,$G240)</f>
        <v>4099.7299999999996</v>
      </c>
      <c r="AM240" s="170">
        <f ca="1">SUMIFS(Налоги!AL$25:AL$55,Налоги!$F$25:$F$55,$F240,Налоги!$AB$25:$AB$55,$G240)</f>
        <v>0</v>
      </c>
      <c r="AN240" s="170">
        <f ca="1">SUMIFS(Налоги!AM$25:AM$55,Налоги!$F$25:$F$55,$F240,Налоги!$AB$25:$AB$55,$G240)</f>
        <v>0</v>
      </c>
      <c r="AO240" s="170">
        <f ca="1">SUMIFS(Налоги!AN$25:AN$55,Налоги!$F$25:$F$55,$F240,Налоги!$AB$25:$AB$55,$G240)</f>
        <v>0</v>
      </c>
      <c r="AP240" s="170">
        <f ca="1">SUMIFS(Налоги!AO$25:AO$55,Налоги!$F$25:$F$55,$F240,Налоги!$AB$25:$AB$55,$G240)</f>
        <v>0</v>
      </c>
      <c r="AQ240" s="170">
        <f ca="1">SUMIFS(Налоги!AP$25:AP$55,Налоги!$F$25:$F$55,$F240,Налоги!$AB$25:$AB$55,$G240)</f>
        <v>0</v>
      </c>
      <c r="AR240" s="170">
        <f ca="1">SUMIFS(Налоги!AQ$25:AQ$55,Налоги!$F$25:$F$55,$F240,Налоги!$AB$25:$AB$55,$G240)</f>
        <v>0</v>
      </c>
      <c r="AS240" s="170">
        <f ca="1">SUMIFS(Налоги!AR$25:AR$55,Налоги!$F$25:$F$55,$F240,Налоги!$AB$25:$AB$55,$G240)</f>
        <v>0</v>
      </c>
      <c r="AT240" s="170">
        <f ca="1">SUMIFS(Налоги!AS$25:AS$55,Налоги!$F$25:$F$55,$F240,Налоги!$AB$25:$AB$55,$G240)</f>
        <v>3790.47</v>
      </c>
      <c r="AU240" s="170">
        <f ca="1">SUMIFS(Налоги!AT$25:AT$55,Налоги!$F$25:$F$55,$F240,Налоги!$AB$25:$AB$55,$G240)</f>
        <v>3942.08</v>
      </c>
      <c r="AV240" s="170">
        <f ca="1">SUMIFS(Налоги!AU$25:AU$55,Налоги!$F$25:$F$55,$F240,Налоги!$AB$25:$AB$55,$G240)</f>
        <v>4099.75</v>
      </c>
      <c r="AW240" s="170">
        <f ca="1">SUMIFS(Налоги!AV$25:AV$55,Налоги!$F$25:$F$55,$F240,Налоги!$AB$25:$AB$55,$G240)</f>
        <v>0</v>
      </c>
      <c r="AX240" s="170">
        <f ca="1">SUMIFS(Налоги!AW$25:AW$55,Налоги!$F$25:$F$55,$F240,Налоги!$AB$25:$AB$55,$G240)</f>
        <v>0</v>
      </c>
      <c r="AY240" s="170">
        <f ca="1">SUMIFS(Налоги!AX$25:AX$55,Налоги!$F$25:$F$55,$F240,Налоги!$AB$25:$AB$55,$G240)</f>
        <v>0</v>
      </c>
      <c r="AZ240" s="170">
        <f ca="1">SUMIFS(Налоги!AY$25:AY$55,Налоги!$F$25:$F$55,$F240,Налоги!$AB$25:$AB$55,$G240)</f>
        <v>0</v>
      </c>
      <c r="BA240" s="170">
        <f ca="1">SUMIFS(Налоги!AZ$25:AZ$55,Налоги!$F$25:$F$55,$F240,Налоги!$AB$25:$AB$55,$G240)</f>
        <v>0</v>
      </c>
      <c r="BB240" s="170">
        <f ca="1">SUMIFS(Налоги!BA$25:BA$55,Налоги!$F$25:$F$55,$F240,Налоги!$AB$25:$AB$55,$G240)</f>
        <v>0</v>
      </c>
      <c r="BC240" s="170">
        <f ca="1">SUMIFS(Налоги!BB$25:BB$55,Налоги!$F$25:$F$55,$F240,Налоги!$AB$25:$AB$55,$G240)</f>
        <v>0</v>
      </c>
      <c r="BD240" s="170">
        <f t="shared" ca="1" si="52"/>
        <v>-11.331960981543425</v>
      </c>
      <c r="BE240" s="170">
        <f t="shared" ca="1" si="53"/>
        <v>3.9997678388168256</v>
      </c>
      <c r="BF240" s="170">
        <f t="shared" ca="1" si="54"/>
        <v>3.9996651513921599</v>
      </c>
      <c r="BG240" s="170">
        <f t="shared" ca="1" si="55"/>
        <v>-100</v>
      </c>
      <c r="BH240" s="170">
        <f t="shared" ca="1" si="56"/>
        <v>0</v>
      </c>
      <c r="BI240" s="170">
        <f t="shared" ca="1" si="57"/>
        <v>0</v>
      </c>
      <c r="BJ240" s="170">
        <f t="shared" ca="1" si="58"/>
        <v>0</v>
      </c>
      <c r="BK240" s="170">
        <f t="shared" ca="1" si="59"/>
        <v>0</v>
      </c>
      <c r="BL240" s="170">
        <f t="shared" ca="1" si="60"/>
        <v>0</v>
      </c>
      <c r="BM240" s="170">
        <f t="shared" ca="1" si="61"/>
        <v>0</v>
      </c>
      <c r="BN240" s="195"/>
      <c r="BO240" s="599" t="str">
        <f ca="1">IF(IFERROR(INDEX(Налоги!$K$26:$L$55,MATCH($F240&amp;"4komm",Налоги!$K$26:$K$55,0),2),"")=0,"",IFERROR(INDEX(Налоги!$K$26:$L$55,MATCH($F240&amp;"4komm",Налоги!$K$26:$K$55,0),2),""))</f>
        <v xml:space="preserve">Статья 333.12 Главы 25.2 "ВОДНЫЙ НАЛОГ" Налогового кодекса РФ. </v>
      </c>
      <c r="BP240" s="195"/>
      <c r="BS240" s="694" t="s">
        <v>2087</v>
      </c>
    </row>
    <row r="241" spans="2:75" ht="14.25" customHeight="1">
      <c r="B241" s="15"/>
      <c r="C241" s="25"/>
      <c r="D241" s="25"/>
      <c r="E241" s="449">
        <v>15</v>
      </c>
      <c r="F241" s="3" t="str" cm="1">
        <f t="array" aca="1" ref="F241" ca="1">OFFSET(E241,-1,1)</f>
        <v>1</v>
      </c>
      <c r="G241" s="609">
        <v>5</v>
      </c>
      <c r="H241" s="25"/>
      <c r="I241" s="25" t="s">
        <v>2088</v>
      </c>
      <c r="J241" s="25"/>
      <c r="K241" s="25" t="s">
        <v>2088</v>
      </c>
      <c r="L241" s="25"/>
      <c r="M241" s="25"/>
      <c r="N241" s="25"/>
      <c r="O241" s="25"/>
      <c r="P241" s="25"/>
      <c r="Q241" s="25"/>
      <c r="R241" s="25"/>
      <c r="S241" s="25"/>
      <c r="T241" s="351" t="b" cm="1">
        <f t="array" aca="1" ref="T241" ca="1">T240</f>
        <v>1</v>
      </c>
      <c r="U241" s="25"/>
      <c r="V241" s="25"/>
      <c r="X241" s="1024"/>
      <c r="Z241" s="1008"/>
      <c r="AB241" s="133" t="s">
        <v>2089</v>
      </c>
      <c r="AC241" s="134" t="s">
        <v>2090</v>
      </c>
      <c r="AD241" s="7" t="s">
        <v>859</v>
      </c>
      <c r="AE241" s="170">
        <f ca="1">SUMIFS(Налоги!AE$25:AE$55,Налоги!$F$25:$F$55,$F241,Налоги!$AB$25:$AB$55,$G241)</f>
        <v>0</v>
      </c>
      <c r="AF241" s="170">
        <f ca="1">SUMIFS(Налоги!AF$25:AF$55,Налоги!$F$25:$F$55,$F241,Налоги!$AB$25:$AB$55,$G241)</f>
        <v>0</v>
      </c>
      <c r="AG241" s="170">
        <f ca="1">SUMIFS(Налоги!AG$25:AG$55,Налоги!$F$25:$F$55,$F241,Налоги!$AB$25:$AB$55,$G241)</f>
        <v>0</v>
      </c>
      <c r="AH241" s="170">
        <f t="shared" ca="1" si="50"/>
        <v>0</v>
      </c>
      <c r="AI241" s="170">
        <f ca="1">SUMIFS(Налоги!AH$25:AH$55,Налоги!$F$25:$F$55,$F241,Налоги!$AB$25:$AB$55,$G241)</f>
        <v>0</v>
      </c>
      <c r="AJ241" s="170">
        <f ca="1">SUMIFS(Налоги!AI$25:AI$55,Налоги!$F$25:$F$55,$F241,Налоги!$AB$25:$AB$55,$G241)</f>
        <v>0</v>
      </c>
      <c r="AK241" s="170">
        <f ca="1">SUMIFS(Налоги!AJ$25:AJ$55,Налоги!$F$25:$F$55,$F241,Налоги!$AB$25:$AB$55,$G241)</f>
        <v>0</v>
      </c>
      <c r="AL241" s="170">
        <f ca="1">SUMIFS(Налоги!AK$25:AK$55,Налоги!$F$25:$F$55,$F241,Налоги!$AB$25:$AB$55,$G241)</f>
        <v>0</v>
      </c>
      <c r="AM241" s="170">
        <f ca="1">SUMIFS(Налоги!AL$25:AL$55,Налоги!$F$25:$F$55,$F241,Налоги!$AB$25:$AB$55,$G241)</f>
        <v>0</v>
      </c>
      <c r="AN241" s="170">
        <f ca="1">SUMIFS(Налоги!AM$25:AM$55,Налоги!$F$25:$F$55,$F241,Налоги!$AB$25:$AB$55,$G241)</f>
        <v>0</v>
      </c>
      <c r="AO241" s="170">
        <f ca="1">SUMIFS(Налоги!AN$25:AN$55,Налоги!$F$25:$F$55,$F241,Налоги!$AB$25:$AB$55,$G241)</f>
        <v>0</v>
      </c>
      <c r="AP241" s="170">
        <f ca="1">SUMIFS(Налоги!AO$25:AO$55,Налоги!$F$25:$F$55,$F241,Налоги!$AB$25:$AB$55,$G241)</f>
        <v>0</v>
      </c>
      <c r="AQ241" s="170">
        <f ca="1">SUMIFS(Налоги!AP$25:AP$55,Налоги!$F$25:$F$55,$F241,Налоги!$AB$25:$AB$55,$G241)</f>
        <v>0</v>
      </c>
      <c r="AR241" s="170">
        <f ca="1">SUMIFS(Налоги!AQ$25:AQ$55,Налоги!$F$25:$F$55,$F241,Налоги!$AB$25:$AB$55,$G241)</f>
        <v>0</v>
      </c>
      <c r="AS241" s="170">
        <f ca="1">SUMIFS(Налоги!AR$25:AR$55,Налоги!$F$25:$F$55,$F241,Налоги!$AB$25:$AB$55,$G241)</f>
        <v>0</v>
      </c>
      <c r="AT241" s="170">
        <f ca="1">SUMIFS(Налоги!AS$25:AS$55,Налоги!$F$25:$F$55,$F241,Налоги!$AB$25:$AB$55,$G241)</f>
        <v>0</v>
      </c>
      <c r="AU241" s="170">
        <f ca="1">SUMIFS(Налоги!AT$25:AT$55,Налоги!$F$25:$F$55,$F241,Налоги!$AB$25:$AB$55,$G241)</f>
        <v>0</v>
      </c>
      <c r="AV241" s="170">
        <f ca="1">SUMIFS(Налоги!AU$25:AU$55,Налоги!$F$25:$F$55,$F241,Налоги!$AB$25:$AB$55,$G241)</f>
        <v>0</v>
      </c>
      <c r="AW241" s="170">
        <f ca="1">SUMIFS(Налоги!AV$25:AV$55,Налоги!$F$25:$F$55,$F241,Налоги!$AB$25:$AB$55,$G241)</f>
        <v>0</v>
      </c>
      <c r="AX241" s="170">
        <f ca="1">SUMIFS(Налоги!AW$25:AW$55,Налоги!$F$25:$F$55,$F241,Налоги!$AB$25:$AB$55,$G241)</f>
        <v>0</v>
      </c>
      <c r="AY241" s="170">
        <f ca="1">SUMIFS(Налоги!AX$25:AX$55,Налоги!$F$25:$F$55,$F241,Налоги!$AB$25:$AB$55,$G241)</f>
        <v>0</v>
      </c>
      <c r="AZ241" s="170">
        <f ca="1">SUMIFS(Налоги!AY$25:AY$55,Налоги!$F$25:$F$55,$F241,Налоги!$AB$25:$AB$55,$G241)</f>
        <v>0</v>
      </c>
      <c r="BA241" s="170">
        <f ca="1">SUMIFS(Налоги!AZ$25:AZ$55,Налоги!$F$25:$F$55,$F241,Налоги!$AB$25:$AB$55,$G241)</f>
        <v>0</v>
      </c>
      <c r="BB241" s="170">
        <f ca="1">SUMIFS(Налоги!BA$25:BA$55,Налоги!$F$25:$F$55,$F241,Налоги!$AB$25:$AB$55,$G241)</f>
        <v>0</v>
      </c>
      <c r="BC241" s="170">
        <f ca="1">SUMIFS(Налоги!BB$25:BB$55,Налоги!$F$25:$F$55,$F241,Налоги!$AB$25:$AB$55,$G241)</f>
        <v>0</v>
      </c>
      <c r="BD241" s="170">
        <f t="shared" ca="1" si="52"/>
        <v>0</v>
      </c>
      <c r="BE241" s="170">
        <f t="shared" ca="1" si="53"/>
        <v>0</v>
      </c>
      <c r="BF241" s="170">
        <f t="shared" ca="1" si="54"/>
        <v>0</v>
      </c>
      <c r="BG241" s="170">
        <f t="shared" ca="1" si="55"/>
        <v>0</v>
      </c>
      <c r="BH241" s="170">
        <f t="shared" ca="1" si="56"/>
        <v>0</v>
      </c>
      <c r="BI241" s="170">
        <f t="shared" ca="1" si="57"/>
        <v>0</v>
      </c>
      <c r="BJ241" s="170">
        <f t="shared" ca="1" si="58"/>
        <v>0</v>
      </c>
      <c r="BK241" s="170">
        <f t="shared" ca="1" si="59"/>
        <v>0</v>
      </c>
      <c r="BL241" s="170">
        <f t="shared" ca="1" si="60"/>
        <v>0</v>
      </c>
      <c r="BM241" s="170">
        <f t="shared" ca="1" si="61"/>
        <v>0</v>
      </c>
      <c r="BN241" s="195"/>
      <c r="BO241" s="599" t="str">
        <f ca="1">IF(IFERROR(INDEX(Налоги!$K$26:$L$55,MATCH($F241&amp;"5komm",Налоги!$K$26:$K$55,0),2),"")=0,"",IFERROR(INDEX(Налоги!$K$26:$L$55,MATCH($F241&amp;"5komm",Налоги!$K$26:$K$55,0),2),""))</f>
        <v/>
      </c>
      <c r="BP241" s="195"/>
      <c r="BS241" s="694" t="s">
        <v>2091</v>
      </c>
    </row>
    <row r="242" spans="2:75" ht="14.25" customHeight="1">
      <c r="B242" s="15"/>
      <c r="C242" s="25"/>
      <c r="D242" s="25"/>
      <c r="E242" s="449">
        <v>15</v>
      </c>
      <c r="F242" s="3" t="str" cm="1">
        <f t="array" aca="1" ref="F242" ca="1">OFFSET(E242,-1,1)</f>
        <v>1</v>
      </c>
      <c r="G242" s="609">
        <v>1</v>
      </c>
      <c r="H242" s="25"/>
      <c r="I242" s="25" t="s">
        <v>2092</v>
      </c>
      <c r="J242" s="25"/>
      <c r="K242" s="25" t="s">
        <v>2092</v>
      </c>
      <c r="L242" s="25"/>
      <c r="M242" s="25"/>
      <c r="N242" s="25"/>
      <c r="O242" s="25"/>
      <c r="P242" s="25"/>
      <c r="Q242" s="25"/>
      <c r="R242" s="25"/>
      <c r="S242" s="25"/>
      <c r="T242" s="351" t="b" cm="1">
        <f t="array" aca="1" ref="T242" ca="1">T241</f>
        <v>1</v>
      </c>
      <c r="U242" s="25"/>
      <c r="V242" s="25"/>
      <c r="X242" s="1024"/>
      <c r="Z242" s="1008"/>
      <c r="AB242" s="133" t="s">
        <v>2093</v>
      </c>
      <c r="AC242" s="134" t="s">
        <v>2094</v>
      </c>
      <c r="AD242" s="7" t="s">
        <v>859</v>
      </c>
      <c r="AE242" s="170">
        <f ca="1">SUMIFS(Налоги!AE$25:AE$55,Налоги!$F$25:$F$55,$F242,Налоги!$AB$25:$AB$55,$G242)</f>
        <v>0</v>
      </c>
      <c r="AF242" s="170">
        <f ca="1">SUMIFS(Налоги!AF$25:AF$55,Налоги!$F$25:$F$55,$F242,Налоги!$AB$25:$AB$55,$G242)</f>
        <v>0</v>
      </c>
      <c r="AG242" s="170">
        <f ca="1">SUMIFS(Налоги!AG$25:AG$55,Налоги!$F$25:$F$55,$F242,Налоги!$AB$25:$AB$55,$G242)</f>
        <v>0</v>
      </c>
      <c r="AH242" s="170">
        <f t="shared" ca="1" si="50"/>
        <v>0</v>
      </c>
      <c r="AI242" s="170">
        <f ca="1">SUMIFS(Налоги!AH$25:AH$55,Налоги!$F$25:$F$55,$F242,Налоги!$AB$25:$AB$55,$G242)</f>
        <v>0</v>
      </c>
      <c r="AJ242" s="170">
        <f ca="1">SUMIFS(Налоги!AI$25:AI$55,Налоги!$F$25:$F$55,$F242,Налоги!$AB$25:$AB$55,$G242)</f>
        <v>24.54</v>
      </c>
      <c r="AK242" s="170">
        <f ca="1">SUMIFS(Налоги!AJ$25:AJ$55,Налоги!$F$25:$F$55,$F242,Налоги!$AB$25:$AB$55,$G242)</f>
        <v>24.54</v>
      </c>
      <c r="AL242" s="170">
        <f ca="1">SUMIFS(Налоги!AK$25:AK$55,Налоги!$F$25:$F$55,$F242,Налоги!$AB$25:$AB$55,$G242)</f>
        <v>24.54</v>
      </c>
      <c r="AM242" s="170">
        <f ca="1">SUMIFS(Налоги!AL$25:AL$55,Налоги!$F$25:$F$55,$F242,Налоги!$AB$25:$AB$55,$G242)</f>
        <v>0</v>
      </c>
      <c r="AN242" s="170">
        <f ca="1">SUMIFS(Налоги!AM$25:AM$55,Налоги!$F$25:$F$55,$F242,Налоги!$AB$25:$AB$55,$G242)</f>
        <v>0</v>
      </c>
      <c r="AO242" s="170">
        <f ca="1">SUMIFS(Налоги!AN$25:AN$55,Налоги!$F$25:$F$55,$F242,Налоги!$AB$25:$AB$55,$G242)</f>
        <v>0</v>
      </c>
      <c r="AP242" s="170">
        <f ca="1">SUMIFS(Налоги!AO$25:AO$55,Налоги!$F$25:$F$55,$F242,Налоги!$AB$25:$AB$55,$G242)</f>
        <v>0</v>
      </c>
      <c r="AQ242" s="170">
        <f ca="1">SUMIFS(Налоги!AP$25:AP$55,Налоги!$F$25:$F$55,$F242,Налоги!$AB$25:$AB$55,$G242)</f>
        <v>0</v>
      </c>
      <c r="AR242" s="170">
        <f ca="1">SUMIFS(Налоги!AQ$25:AQ$55,Налоги!$F$25:$F$55,$F242,Налоги!$AB$25:$AB$55,$G242)</f>
        <v>0</v>
      </c>
      <c r="AS242" s="170">
        <f ca="1">SUMIFS(Налоги!AR$25:AR$55,Налоги!$F$25:$F$55,$F242,Налоги!$AB$25:$AB$55,$G242)</f>
        <v>0</v>
      </c>
      <c r="AT242" s="170">
        <f ca="1">SUMIFS(Налоги!AS$25:AS$55,Налоги!$F$25:$F$55,$F242,Налоги!$AB$25:$AB$55,$G242)</f>
        <v>24.54</v>
      </c>
      <c r="AU242" s="170">
        <f ca="1">SUMIFS(Налоги!AT$25:AT$55,Налоги!$F$25:$F$55,$F242,Налоги!$AB$25:$AB$55,$G242)</f>
        <v>24.54</v>
      </c>
      <c r="AV242" s="170">
        <f ca="1">SUMIFS(Налоги!AU$25:AU$55,Налоги!$F$25:$F$55,$F242,Налоги!$AB$25:$AB$55,$G242)</f>
        <v>24.54</v>
      </c>
      <c r="AW242" s="170">
        <f ca="1">SUMIFS(Налоги!AV$25:AV$55,Налоги!$F$25:$F$55,$F242,Налоги!$AB$25:$AB$55,$G242)</f>
        <v>0</v>
      </c>
      <c r="AX242" s="170">
        <f ca="1">SUMIFS(Налоги!AW$25:AW$55,Налоги!$F$25:$F$55,$F242,Налоги!$AB$25:$AB$55,$G242)</f>
        <v>0</v>
      </c>
      <c r="AY242" s="170">
        <f ca="1">SUMIFS(Налоги!AX$25:AX$55,Налоги!$F$25:$F$55,$F242,Налоги!$AB$25:$AB$55,$G242)</f>
        <v>0</v>
      </c>
      <c r="AZ242" s="170">
        <f ca="1">SUMIFS(Налоги!AY$25:AY$55,Налоги!$F$25:$F$55,$F242,Налоги!$AB$25:$AB$55,$G242)</f>
        <v>0</v>
      </c>
      <c r="BA242" s="170">
        <f ca="1">SUMIFS(Налоги!AZ$25:AZ$55,Налоги!$F$25:$F$55,$F242,Налоги!$AB$25:$AB$55,$G242)</f>
        <v>0</v>
      </c>
      <c r="BB242" s="170">
        <f ca="1">SUMIFS(Налоги!BA$25:BA$55,Налоги!$F$25:$F$55,$F242,Налоги!$AB$25:$AB$55,$G242)</f>
        <v>0</v>
      </c>
      <c r="BC242" s="170">
        <f ca="1">SUMIFS(Налоги!BB$25:BB$55,Налоги!$F$25:$F$55,$F242,Налоги!$AB$25:$AB$55,$G242)</f>
        <v>0</v>
      </c>
      <c r="BD242" s="170">
        <f t="shared" ca="1" si="52"/>
        <v>0</v>
      </c>
      <c r="BE242" s="170">
        <f t="shared" ca="1" si="53"/>
        <v>0</v>
      </c>
      <c r="BF242" s="170">
        <f t="shared" ca="1" si="54"/>
        <v>0</v>
      </c>
      <c r="BG242" s="170">
        <f t="shared" ca="1" si="55"/>
        <v>-100</v>
      </c>
      <c r="BH242" s="170">
        <f t="shared" ca="1" si="56"/>
        <v>0</v>
      </c>
      <c r="BI242" s="170">
        <f t="shared" ca="1" si="57"/>
        <v>0</v>
      </c>
      <c r="BJ242" s="170">
        <f t="shared" ca="1" si="58"/>
        <v>0</v>
      </c>
      <c r="BK242" s="170">
        <f t="shared" ca="1" si="59"/>
        <v>0</v>
      </c>
      <c r="BL242" s="170">
        <f t="shared" ca="1" si="60"/>
        <v>0</v>
      </c>
      <c r="BM242" s="170">
        <f t="shared" ca="1" si="61"/>
        <v>0</v>
      </c>
      <c r="BN242" s="195"/>
      <c r="BO242" s="599" t="str">
        <f ca="1">IF(IFERROR(INDEX(Налоги!$K$26:$L$55,MATCH($F242&amp;"1komm",Налоги!$K$26:$K$55,0),2),"")=0,"",IFERROR(INDEX(Налоги!$K$26:$L$55,MATCH($F242&amp;"1komm",Налоги!$K$26:$K$55,0),2),""))</f>
        <v>Глава 28 "ТРАНСПОРТНЫЙ НАЛОГ" "Налогового кодекса Российской Федерации (часть вторая)" от 05.08.2000 N 117-ФЗ. 2) Закон Кемеровской области от 28.11.2002 N 95-ОЗ (ред. от 27.11.2025) "О транспортном налоге". 3) Приказ ФНС России от 04.09.2019 N ММВ-7-21/440@.</v>
      </c>
      <c r="BP242" s="195"/>
      <c r="BS242" s="694" t="s">
        <v>2095</v>
      </c>
    </row>
    <row r="243" spans="2:75" ht="14.25" customHeight="1">
      <c r="B243" s="15"/>
      <c r="C243" s="25"/>
      <c r="D243" s="25"/>
      <c r="E243" s="449">
        <v>15</v>
      </c>
      <c r="F243" s="3" t="str" cm="1">
        <f t="array" aca="1" ref="F243" ca="1">OFFSET(E243,-1,1)</f>
        <v>1</v>
      </c>
      <c r="G243" s="609">
        <v>3</v>
      </c>
      <c r="H243" s="25"/>
      <c r="I243" s="25" t="s">
        <v>2096</v>
      </c>
      <c r="J243" s="25"/>
      <c r="K243" s="25" t="s">
        <v>2096</v>
      </c>
      <c r="L243" s="25"/>
      <c r="M243" s="25"/>
      <c r="N243" s="25"/>
      <c r="O243" s="25"/>
      <c r="P243" s="25"/>
      <c r="Q243" s="25"/>
      <c r="R243" s="25"/>
      <c r="S243" s="25"/>
      <c r="T243" s="351" t="b" cm="1">
        <f t="array" aca="1" ref="T243" ca="1">T242</f>
        <v>1</v>
      </c>
      <c r="U243" s="25"/>
      <c r="V243" s="25"/>
      <c r="X243" s="1024"/>
      <c r="Z243" s="1008"/>
      <c r="AB243" s="133" t="s">
        <v>2097</v>
      </c>
      <c r="AC243" s="134" t="s">
        <v>2098</v>
      </c>
      <c r="AD243" s="7" t="s">
        <v>859</v>
      </c>
      <c r="AE243" s="128">
        <f ca="1">SUMIFS(Налоги!AE$25:AE$55,Налоги!$F$25:$F$55,$F243,Налоги!$AB$25:$AB$55,$G243)</f>
        <v>0.3</v>
      </c>
      <c r="AF243" s="128">
        <f ca="1">SUMIFS(Налоги!AF$25:AF$55,Налоги!$F$25:$F$55,$F243,Налоги!$AB$25:$AB$55,$G243)</f>
        <v>0</v>
      </c>
      <c r="AG243" s="128">
        <f ca="1">SUMIFS(Налоги!AG$25:AG$55,Налоги!$F$25:$F$55,$F243,Налоги!$AB$25:$AB$55,$G243)</f>
        <v>0</v>
      </c>
      <c r="AH243" s="170">
        <f t="shared" ca="1" si="50"/>
        <v>0</v>
      </c>
      <c r="AI243" s="128">
        <f ca="1">SUMIFS(Налоги!AH$25:AH$55,Налоги!$F$25:$F$55,$F243,Налоги!$AB$25:$AB$55,$G243)</f>
        <v>7.85</v>
      </c>
      <c r="AJ243" s="128">
        <f ca="1">SUMIFS(Налоги!AI$25:AI$55,Налоги!$F$25:$F$55,$F243,Налоги!$AB$25:$AB$55,$G243)</f>
        <v>0</v>
      </c>
      <c r="AK243" s="128">
        <f ca="1">SUMIFS(Налоги!AJ$25:AJ$55,Налоги!$F$25:$F$55,$F243,Налоги!$AB$25:$AB$55,$G243)</f>
        <v>0</v>
      </c>
      <c r="AL243" s="128">
        <f ca="1">SUMIFS(Налоги!AK$25:AK$55,Налоги!$F$25:$F$55,$F243,Налоги!$AB$25:$AB$55,$G243)</f>
        <v>0</v>
      </c>
      <c r="AM243" s="128">
        <f ca="1">SUMIFS(Налоги!AL$25:AL$55,Налоги!$F$25:$F$55,$F243,Налоги!$AB$25:$AB$55,$G243)</f>
        <v>0</v>
      </c>
      <c r="AN243" s="128">
        <f ca="1">SUMIFS(Налоги!AM$25:AM$55,Налоги!$F$25:$F$55,$F243,Налоги!$AB$25:$AB$55,$G243)</f>
        <v>0</v>
      </c>
      <c r="AO243" s="128">
        <f ca="1">SUMIFS(Налоги!AN$25:AN$55,Налоги!$F$25:$F$55,$F243,Налоги!$AB$25:$AB$55,$G243)</f>
        <v>0</v>
      </c>
      <c r="AP243" s="128">
        <f ca="1">SUMIFS(Налоги!AO$25:AO$55,Налоги!$F$25:$F$55,$F243,Налоги!$AB$25:$AB$55,$G243)</f>
        <v>0</v>
      </c>
      <c r="AQ243" s="128">
        <f ca="1">SUMIFS(Налоги!AP$25:AP$55,Налоги!$F$25:$F$55,$F243,Налоги!$AB$25:$AB$55,$G243)</f>
        <v>0</v>
      </c>
      <c r="AR243" s="128">
        <f ca="1">SUMIFS(Налоги!AQ$25:AQ$55,Налоги!$F$25:$F$55,$F243,Налоги!$AB$25:$AB$55,$G243)</f>
        <v>0</v>
      </c>
      <c r="AS243" s="128">
        <f ca="1">SUMIFS(Налоги!AR$25:AR$55,Налоги!$F$25:$F$55,$F243,Налоги!$AB$25:$AB$55,$G243)</f>
        <v>0</v>
      </c>
      <c r="AT243" s="128">
        <f ca="1">SUMIFS(Налоги!AS$25:AS$55,Налоги!$F$25:$F$55,$F243,Налоги!$AB$25:$AB$55,$G243)</f>
        <v>0</v>
      </c>
      <c r="AU243" s="128">
        <f ca="1">SUMIFS(Налоги!AT$25:AT$55,Налоги!$F$25:$F$55,$F243,Налоги!$AB$25:$AB$55,$G243)</f>
        <v>0</v>
      </c>
      <c r="AV243" s="128">
        <f ca="1">SUMIFS(Налоги!AU$25:AU$55,Налоги!$F$25:$F$55,$F243,Налоги!$AB$25:$AB$55,$G243)</f>
        <v>0</v>
      </c>
      <c r="AW243" s="128">
        <f ca="1">SUMIFS(Налоги!AV$25:AV$55,Налоги!$F$25:$F$55,$F243,Налоги!$AB$25:$AB$55,$G243)</f>
        <v>0</v>
      </c>
      <c r="AX243" s="128">
        <f ca="1">SUMIFS(Налоги!AW$25:AW$55,Налоги!$F$25:$F$55,$F243,Налоги!$AB$25:$AB$55,$G243)</f>
        <v>0</v>
      </c>
      <c r="AY243" s="128">
        <f ca="1">SUMIFS(Налоги!AX$25:AX$55,Налоги!$F$25:$F$55,$F243,Налоги!$AB$25:$AB$55,$G243)</f>
        <v>0</v>
      </c>
      <c r="AZ243" s="128">
        <f ca="1">SUMIFS(Налоги!AY$25:AY$55,Налоги!$F$25:$F$55,$F243,Налоги!$AB$25:$AB$55,$G243)</f>
        <v>0</v>
      </c>
      <c r="BA243" s="128">
        <f ca="1">SUMIFS(Налоги!AZ$25:AZ$55,Налоги!$F$25:$F$55,$F243,Налоги!$AB$25:$AB$55,$G243)</f>
        <v>0</v>
      </c>
      <c r="BB243" s="128">
        <f ca="1">SUMIFS(Налоги!BA$25:BA$55,Налоги!$F$25:$F$55,$F243,Налоги!$AB$25:$AB$55,$G243)</f>
        <v>0</v>
      </c>
      <c r="BC243" s="128">
        <f ca="1">SUMIFS(Налоги!BB$25:BB$55,Налоги!$F$25:$F$55,$F243,Налоги!$AB$25:$AB$55,$G243)</f>
        <v>0</v>
      </c>
      <c r="BD243" s="170">
        <f t="shared" ca="1" si="52"/>
        <v>-100</v>
      </c>
      <c r="BE243" s="170">
        <f t="shared" ca="1" si="53"/>
        <v>0</v>
      </c>
      <c r="BF243" s="170">
        <f t="shared" ca="1" si="54"/>
        <v>0</v>
      </c>
      <c r="BG243" s="170">
        <f t="shared" ca="1" si="55"/>
        <v>0</v>
      </c>
      <c r="BH243" s="170">
        <f t="shared" ca="1" si="56"/>
        <v>0</v>
      </c>
      <c r="BI243" s="170">
        <f t="shared" ca="1" si="57"/>
        <v>0</v>
      </c>
      <c r="BJ243" s="170">
        <f t="shared" ca="1" si="58"/>
        <v>0</v>
      </c>
      <c r="BK243" s="170">
        <f t="shared" ca="1" si="59"/>
        <v>0</v>
      </c>
      <c r="BL243" s="170">
        <f t="shared" ca="1" si="60"/>
        <v>0</v>
      </c>
      <c r="BM243" s="170">
        <f t="shared" ca="1" si="61"/>
        <v>0</v>
      </c>
      <c r="BN243" s="195"/>
      <c r="BO243" s="599" t="str">
        <f ca="1">IF(IFERROR(INDEX(Налоги!$K$26:$L$55,MATCH($F243&amp;"5komm",Налоги!$K$26:$K$55,0),2),"")=0,"",IFERROR(INDEX(Налоги!$K$26:$L$55,MATCH($F243&amp;"5komm",Налоги!$K$26:$K$55,0),2),""))</f>
        <v/>
      </c>
      <c r="BP243" s="195"/>
      <c r="BS243" s="694" t="s">
        <v>2099</v>
      </c>
    </row>
    <row r="244" spans="2:75" ht="14.25" customHeight="1">
      <c r="B244" s="15"/>
      <c r="C244" s="25"/>
      <c r="D244" s="25"/>
      <c r="E244" s="449">
        <v>15</v>
      </c>
      <c r="F244" s="3" t="str" cm="1">
        <f t="array" aca="1" ref="F244" ca="1">OFFSET(E244,-1,1)</f>
        <v>1</v>
      </c>
      <c r="G244" s="609">
        <v>8</v>
      </c>
      <c r="H244" s="25"/>
      <c r="I244" s="25" t="s">
        <v>2100</v>
      </c>
      <c r="J244" s="25"/>
      <c r="K244" s="25" t="s">
        <v>2100</v>
      </c>
      <c r="L244" s="25"/>
      <c r="M244" s="25"/>
      <c r="N244" s="25"/>
      <c r="O244" s="25"/>
      <c r="P244" s="25"/>
      <c r="Q244" s="25"/>
      <c r="R244" s="25"/>
      <c r="S244" s="25"/>
      <c r="T244" s="351" t="b" cm="1">
        <f t="array" aca="1" ref="T244" ca="1">T243</f>
        <v>1</v>
      </c>
      <c r="U244" s="25"/>
      <c r="V244" s="25"/>
      <c r="X244" s="1024"/>
      <c r="Z244" s="1008"/>
      <c r="AB244" s="133" t="s">
        <v>2101</v>
      </c>
      <c r="AC244" s="134" t="s">
        <v>2102</v>
      </c>
      <c r="AD244" s="7" t="s">
        <v>859</v>
      </c>
      <c r="AE244" s="170">
        <f ca="1">SUMIFS(Налоги!AE$25:AE$55,Налоги!$F$25:$F$55,$F244,Налоги!$AB$25:$AB$55,$G244)</f>
        <v>370.73</v>
      </c>
      <c r="AF244" s="170">
        <f ca="1">SUMIFS(Налоги!AF$25:AF$55,Налоги!$F$25:$F$55,$F244,Налоги!$AB$25:$AB$55,$G244)</f>
        <v>409.5</v>
      </c>
      <c r="AG244" s="170">
        <f ca="1">SUMIFS(Налоги!AG$25:AG$55,Налоги!$F$25:$F$55,$F244,Налоги!$AB$25:$AB$55,$G244)</f>
        <v>409.5</v>
      </c>
      <c r="AH244" s="170">
        <f t="shared" ca="1" si="50"/>
        <v>0</v>
      </c>
      <c r="AI244" s="170">
        <f ca="1">SUMIFS(Налоги!AH$25:AH$55,Налоги!$F$25:$F$55,$F244,Налоги!$AB$25:$AB$55,$G244)</f>
        <v>0</v>
      </c>
      <c r="AJ244" s="170">
        <f ca="1">SUMIFS(Налоги!AI$25:AI$55,Налоги!$F$25:$F$55,$F244,Налоги!$AB$25:$AB$55,$G244)</f>
        <v>0</v>
      </c>
      <c r="AK244" s="170">
        <f ca="1">SUMIFS(Налоги!AJ$25:AJ$55,Налоги!$F$25:$F$55,$F244,Налоги!$AB$25:$AB$55,$G244)</f>
        <v>0</v>
      </c>
      <c r="AL244" s="170">
        <f ca="1">SUMIFS(Налоги!AK$25:AK$55,Налоги!$F$25:$F$55,$F244,Налоги!$AB$25:$AB$55,$G244)</f>
        <v>0</v>
      </c>
      <c r="AM244" s="170">
        <f ca="1">SUMIFS(Налоги!AL$25:AL$55,Налоги!$F$25:$F$55,$F244,Налоги!$AB$25:$AB$55,$G244)</f>
        <v>0</v>
      </c>
      <c r="AN244" s="170">
        <f ca="1">SUMIFS(Налоги!AM$25:AM$55,Налоги!$F$25:$F$55,$F244,Налоги!$AB$25:$AB$55,$G244)</f>
        <v>0</v>
      </c>
      <c r="AO244" s="170">
        <f ca="1">SUMIFS(Налоги!AN$25:AN$55,Налоги!$F$25:$F$55,$F244,Налоги!$AB$25:$AB$55,$G244)</f>
        <v>0</v>
      </c>
      <c r="AP244" s="170">
        <f ca="1">SUMIFS(Налоги!AO$25:AO$55,Налоги!$F$25:$F$55,$F244,Налоги!$AB$25:$AB$55,$G244)</f>
        <v>0</v>
      </c>
      <c r="AQ244" s="170">
        <f ca="1">SUMIFS(Налоги!AP$25:AP$55,Налоги!$F$25:$F$55,$F244,Налоги!$AB$25:$AB$55,$G244)</f>
        <v>0</v>
      </c>
      <c r="AR244" s="170">
        <f ca="1">SUMIFS(Налоги!AQ$25:AQ$55,Налоги!$F$25:$F$55,$F244,Налоги!$AB$25:$AB$55,$G244)</f>
        <v>0</v>
      </c>
      <c r="AS244" s="170">
        <f ca="1">SUMIFS(Налоги!AR$25:AR$55,Налоги!$F$25:$F$55,$F244,Налоги!$AB$25:$AB$55,$G244)</f>
        <v>0</v>
      </c>
      <c r="AT244" s="170">
        <f ca="1">SUMIFS(Налоги!AS$25:AS$55,Налоги!$F$25:$F$55,$F244,Налоги!$AB$25:$AB$55,$G244)</f>
        <v>0</v>
      </c>
      <c r="AU244" s="170">
        <f ca="1">SUMIFS(Налоги!AT$25:AT$55,Налоги!$F$25:$F$55,$F244,Налоги!$AB$25:$AB$55,$G244)</f>
        <v>0</v>
      </c>
      <c r="AV244" s="170">
        <f ca="1">SUMIFS(Налоги!AU$25:AU$55,Налоги!$F$25:$F$55,$F244,Налоги!$AB$25:$AB$55,$G244)</f>
        <v>0</v>
      </c>
      <c r="AW244" s="170">
        <f ca="1">SUMIFS(Налоги!AV$25:AV$55,Налоги!$F$25:$F$55,$F244,Налоги!$AB$25:$AB$55,$G244)</f>
        <v>0</v>
      </c>
      <c r="AX244" s="170">
        <f ca="1">SUMIFS(Налоги!AW$25:AW$55,Налоги!$F$25:$F$55,$F244,Налоги!$AB$25:$AB$55,$G244)</f>
        <v>0</v>
      </c>
      <c r="AY244" s="170">
        <f ca="1">SUMIFS(Налоги!AX$25:AX$55,Налоги!$F$25:$F$55,$F244,Налоги!$AB$25:$AB$55,$G244)</f>
        <v>0</v>
      </c>
      <c r="AZ244" s="170">
        <f ca="1">SUMIFS(Налоги!AY$25:AY$55,Налоги!$F$25:$F$55,$F244,Налоги!$AB$25:$AB$55,$G244)</f>
        <v>0</v>
      </c>
      <c r="BA244" s="170">
        <f ca="1">SUMIFS(Налоги!AZ$25:AZ$55,Налоги!$F$25:$F$55,$F244,Налоги!$AB$25:$AB$55,$G244)</f>
        <v>0</v>
      </c>
      <c r="BB244" s="170">
        <f ca="1">SUMIFS(Налоги!BA$25:BA$55,Налоги!$F$25:$F$55,$F244,Налоги!$AB$25:$AB$55,$G244)</f>
        <v>0</v>
      </c>
      <c r="BC244" s="170">
        <f ca="1">SUMIFS(Налоги!BB$25:BB$55,Налоги!$F$25:$F$55,$F244,Налоги!$AB$25:$AB$55,$G244)</f>
        <v>0</v>
      </c>
      <c r="BD244" s="170">
        <f t="shared" ca="1" si="52"/>
        <v>0</v>
      </c>
      <c r="BE244" s="170">
        <f t="shared" ca="1" si="53"/>
        <v>0</v>
      </c>
      <c r="BF244" s="170">
        <f t="shared" ca="1" si="54"/>
        <v>0</v>
      </c>
      <c r="BG244" s="170">
        <f t="shared" ca="1" si="55"/>
        <v>0</v>
      </c>
      <c r="BH244" s="170">
        <f t="shared" ca="1" si="56"/>
        <v>0</v>
      </c>
      <c r="BI244" s="170">
        <f t="shared" ca="1" si="57"/>
        <v>0</v>
      </c>
      <c r="BJ244" s="170">
        <f t="shared" ca="1" si="58"/>
        <v>0</v>
      </c>
      <c r="BK244" s="170">
        <f t="shared" ca="1" si="59"/>
        <v>0</v>
      </c>
      <c r="BL244" s="170">
        <f t="shared" ca="1" si="60"/>
        <v>0</v>
      </c>
      <c r="BM244" s="170">
        <f t="shared" ca="1" si="61"/>
        <v>0</v>
      </c>
      <c r="BN244" s="195"/>
      <c r="BO244" s="599" t="str">
        <f ca="1">IF(IFERROR(INDEX(Налоги!$K$26:$L$55,MATCH($F244&amp;"8komm",Налоги!$K$26:$K$55,0),2),"")=0,"",IFERROR(INDEX(Налоги!$K$26:$L$55,MATCH($F244&amp;"8komm",Налоги!$K$26:$K$55,0),2),""))</f>
        <v/>
      </c>
      <c r="BP244" s="195"/>
      <c r="BS244" s="694" t="s">
        <v>1312</v>
      </c>
    </row>
    <row r="245" spans="2:75" s="374" customFormat="1" ht="14.25" customHeight="1">
      <c r="B245" s="15"/>
      <c r="C245" s="25"/>
      <c r="D245" s="25"/>
      <c r="E245" s="449">
        <v>15</v>
      </c>
      <c r="F245" s="3" t="str" cm="1">
        <f t="array" aca="1" ref="F245" ca="1">OFFSET(E245,-1,1)</f>
        <v>1</v>
      </c>
      <c r="G245" s="609">
        <v>9</v>
      </c>
      <c r="H245" s="25"/>
      <c r="I245" s="25"/>
      <c r="J245" s="25"/>
      <c r="K245" s="25"/>
      <c r="L245" s="25"/>
      <c r="M245" s="25"/>
      <c r="N245" s="25"/>
      <c r="O245" s="25"/>
      <c r="P245" s="25"/>
      <c r="Q245" s="25"/>
      <c r="R245" s="25"/>
      <c r="S245" s="25"/>
      <c r="T245" s="351" t="b" cm="1">
        <f t="array" aca="1" ref="T245" ca="1">T244</f>
        <v>1</v>
      </c>
      <c r="U245" s="25"/>
      <c r="V245" s="25"/>
      <c r="X245" s="1024"/>
      <c r="Z245" s="1008"/>
      <c r="AB245" s="133" t="s">
        <v>2103</v>
      </c>
      <c r="AC245" s="547" t="s">
        <v>2104</v>
      </c>
      <c r="AD245" s="7" t="s">
        <v>859</v>
      </c>
      <c r="AE245" s="170">
        <f ca="1">SUMIFS(Налоги!AE$25:AE$55,Налоги!$F$25:$F$55,$F245,Налоги!$AB$25:$AB$55,$G245)</f>
        <v>0</v>
      </c>
      <c r="AF245" s="170">
        <f ca="1">SUMIFS(Налоги!AF$25:AF$55,Налоги!$F$25:$F$55,$F245,Налоги!$AB$25:$AB$55,$G245)</f>
        <v>0</v>
      </c>
      <c r="AG245" s="170">
        <f ca="1">SUMIFS(Налоги!AG$25:AG$55,Налоги!$F$25:$F$55,$F245,Налоги!$AB$25:$AB$55,$G245)</f>
        <v>0</v>
      </c>
      <c r="AH245" s="170">
        <f t="shared" ca="1" si="50"/>
        <v>0</v>
      </c>
      <c r="AI245" s="170">
        <f ca="1">SUMIFS(Налоги!AH$25:AH$55,Налоги!$F$25:$F$55,$F245,Налоги!$AB$25:$AB$55,$G245)</f>
        <v>0</v>
      </c>
      <c r="AJ245" s="170">
        <f ca="1">SUMIFS(Налоги!AI$25:AI$55,Налоги!$F$25:$F$55,$F245,Налоги!$AB$25:$AB$55,$G245)</f>
        <v>0</v>
      </c>
      <c r="AK245" s="170">
        <f ca="1">SUMIFS(Налоги!AJ$25:AJ$55,Налоги!$F$25:$F$55,$F245,Налоги!$AB$25:$AB$55,$G245)</f>
        <v>0</v>
      </c>
      <c r="AL245" s="170">
        <f ca="1">SUMIFS(Налоги!AK$25:AK$55,Налоги!$F$25:$F$55,$F245,Налоги!$AB$25:$AB$55,$G245)</f>
        <v>0</v>
      </c>
      <c r="AM245" s="170">
        <f ca="1">SUMIFS(Налоги!AL$25:AL$55,Налоги!$F$25:$F$55,$F245,Налоги!$AB$25:$AB$55,$G245)</f>
        <v>0</v>
      </c>
      <c r="AN245" s="170">
        <f ca="1">SUMIFS(Налоги!AM$25:AM$55,Налоги!$F$25:$F$55,$F245,Налоги!$AB$25:$AB$55,$G245)</f>
        <v>0</v>
      </c>
      <c r="AO245" s="170">
        <f ca="1">SUMIFS(Налоги!AN$25:AN$55,Налоги!$F$25:$F$55,$F245,Налоги!$AB$25:$AB$55,$G245)</f>
        <v>0</v>
      </c>
      <c r="AP245" s="170">
        <f ca="1">SUMIFS(Налоги!AO$25:AO$55,Налоги!$F$25:$F$55,$F245,Налоги!$AB$25:$AB$55,$G245)</f>
        <v>0</v>
      </c>
      <c r="AQ245" s="170">
        <f ca="1">SUMIFS(Налоги!AP$25:AP$55,Налоги!$F$25:$F$55,$F245,Налоги!$AB$25:$AB$55,$G245)</f>
        <v>0</v>
      </c>
      <c r="AR245" s="170">
        <f ca="1">SUMIFS(Налоги!AQ$25:AQ$55,Налоги!$F$25:$F$55,$F245,Налоги!$AB$25:$AB$55,$G245)</f>
        <v>0</v>
      </c>
      <c r="AS245" s="170">
        <f ca="1">SUMIFS(Налоги!AR$25:AR$55,Налоги!$F$25:$F$55,$F245,Налоги!$AB$25:$AB$55,$G245)</f>
        <v>0</v>
      </c>
      <c r="AT245" s="170">
        <f ca="1">SUMIFS(Налоги!AS$25:AS$55,Налоги!$F$25:$F$55,$F245,Налоги!$AB$25:$AB$55,$G245)</f>
        <v>0</v>
      </c>
      <c r="AU245" s="170">
        <f ca="1">SUMIFS(Налоги!AT$25:AT$55,Налоги!$F$25:$F$55,$F245,Налоги!$AB$25:$AB$55,$G245)</f>
        <v>0</v>
      </c>
      <c r="AV245" s="170">
        <f ca="1">SUMIFS(Налоги!AU$25:AU$55,Налоги!$F$25:$F$55,$F245,Налоги!$AB$25:$AB$55,$G245)</f>
        <v>0</v>
      </c>
      <c r="AW245" s="170">
        <f ca="1">SUMIFS(Налоги!AV$25:AV$55,Налоги!$F$25:$F$55,$F245,Налоги!$AB$25:$AB$55,$G245)</f>
        <v>0</v>
      </c>
      <c r="AX245" s="170">
        <f ca="1">SUMIFS(Налоги!AW$25:AW$55,Налоги!$F$25:$F$55,$F245,Налоги!$AB$25:$AB$55,$G245)</f>
        <v>0</v>
      </c>
      <c r="AY245" s="170">
        <f ca="1">SUMIFS(Налоги!AX$25:AX$55,Налоги!$F$25:$F$55,$F245,Налоги!$AB$25:$AB$55,$G245)</f>
        <v>0</v>
      </c>
      <c r="AZ245" s="170">
        <f ca="1">SUMIFS(Налоги!AY$25:AY$55,Налоги!$F$25:$F$55,$F245,Налоги!$AB$25:$AB$55,$G245)</f>
        <v>0</v>
      </c>
      <c r="BA245" s="170">
        <f ca="1">SUMIFS(Налоги!AZ$25:AZ$55,Налоги!$F$25:$F$55,$F245,Налоги!$AB$25:$AB$55,$G245)</f>
        <v>0</v>
      </c>
      <c r="BB245" s="170">
        <f ca="1">SUMIFS(Налоги!BA$25:BA$55,Налоги!$F$25:$F$55,$F245,Налоги!$AB$25:$AB$55,$G245)</f>
        <v>0</v>
      </c>
      <c r="BC245" s="170">
        <f ca="1">SUMIFS(Налоги!BB$25:BB$55,Налоги!$F$25:$F$55,$F245,Налоги!$AB$25:$AB$55,$G245)</f>
        <v>0</v>
      </c>
      <c r="BD245" s="170">
        <f t="shared" ca="1" si="52"/>
        <v>0</v>
      </c>
      <c r="BE245" s="170">
        <f t="shared" ca="1" si="53"/>
        <v>0</v>
      </c>
      <c r="BF245" s="170">
        <f t="shared" ca="1" si="54"/>
        <v>0</v>
      </c>
      <c r="BG245" s="170">
        <f t="shared" ca="1" si="55"/>
        <v>0</v>
      </c>
      <c r="BH245" s="170">
        <f t="shared" ca="1" si="56"/>
        <v>0</v>
      </c>
      <c r="BI245" s="170">
        <f t="shared" ca="1" si="57"/>
        <v>0</v>
      </c>
      <c r="BJ245" s="170">
        <f t="shared" ca="1" si="58"/>
        <v>0</v>
      </c>
      <c r="BK245" s="170">
        <f t="shared" ca="1" si="59"/>
        <v>0</v>
      </c>
      <c r="BL245" s="170">
        <f t="shared" ca="1" si="60"/>
        <v>0</v>
      </c>
      <c r="BM245" s="170">
        <f t="shared" ca="1" si="61"/>
        <v>0</v>
      </c>
      <c r="BN245" s="195"/>
      <c r="BO245" s="599" t="str">
        <f ca="1">IF(IFERROR(INDEX(Налоги!$K$26:$L$55,MATCH($F245&amp;"9komm",Налоги!$K$26:$K$55,0),2),"")=0,"",IFERROR(INDEX(Налоги!$K$26:$L$55,MATCH($F245&amp;"9komm",Налоги!$K$26:$K$55,0),2),""))</f>
        <v/>
      </c>
      <c r="BP245" s="195"/>
      <c r="BS245" s="701" t="s">
        <v>2105</v>
      </c>
      <c r="BT245" s="701"/>
      <c r="BU245" s="701"/>
      <c r="BV245" s="702"/>
      <c r="BW245" s="702"/>
    </row>
    <row r="246" spans="2:75" ht="14.25" customHeight="1">
      <c r="B246" s="15"/>
      <c r="C246" s="25"/>
      <c r="D246" s="25"/>
      <c r="E246" s="449">
        <v>15</v>
      </c>
      <c r="F246" s="3" t="str" cm="1">
        <f t="array" aca="1" ref="F246" ca="1">OFFSET(E246,-1,1)</f>
        <v>1</v>
      </c>
      <c r="G246" s="609">
        <v>10</v>
      </c>
      <c r="H246" s="25"/>
      <c r="I246" s="25" t="s">
        <v>2106</v>
      </c>
      <c r="J246" s="25"/>
      <c r="K246" s="25" t="s">
        <v>2106</v>
      </c>
      <c r="L246" s="25"/>
      <c r="M246" s="25"/>
      <c r="N246" s="25"/>
      <c r="O246" s="25"/>
      <c r="P246" s="25"/>
      <c r="Q246" s="25"/>
      <c r="R246" s="25"/>
      <c r="S246" s="25"/>
      <c r="T246" s="351" t="b" cm="1">
        <f t="array" aca="1" ref="T246" ca="1">T245</f>
        <v>1</v>
      </c>
      <c r="U246" s="25"/>
      <c r="V246" s="25"/>
      <c r="X246" s="1024"/>
      <c r="Z246" s="1008"/>
      <c r="AB246" s="133" t="s">
        <v>2107</v>
      </c>
      <c r="AC246" s="547" t="s">
        <v>2108</v>
      </c>
      <c r="AD246" s="7" t="s">
        <v>859</v>
      </c>
      <c r="AE246" s="170">
        <f ca="1">SUMIFS(Налоги!AE$25:AE$55,Налоги!$F$25:$F$55,$F246,Налоги!$AB$25:$AB$55,$G246)</f>
        <v>0</v>
      </c>
      <c r="AF246" s="170">
        <f ca="1">SUMIFS(Налоги!AF$25:AF$55,Налоги!$F$25:$F$55,$F246,Налоги!$AB$25:$AB$55,$G246)</f>
        <v>0</v>
      </c>
      <c r="AG246" s="170">
        <f ca="1">SUMIFS(Налоги!AG$25:AG$55,Налоги!$F$25:$F$55,$F246,Налоги!$AB$25:$AB$55,$G246)</f>
        <v>0</v>
      </c>
      <c r="AH246" s="170">
        <f t="shared" ca="1" si="50"/>
        <v>0</v>
      </c>
      <c r="AI246" s="170">
        <f ca="1">SUMIFS(Налоги!AH$25:AH$55,Налоги!$F$25:$F$55,$F246,Налоги!$AB$25:$AB$55,$G246)</f>
        <v>0</v>
      </c>
      <c r="AJ246" s="170">
        <f ca="1">SUMIFS(Налоги!AI$25:AI$55,Налоги!$F$25:$F$55,$F246,Налоги!$AB$25:$AB$55,$G246)</f>
        <v>0</v>
      </c>
      <c r="AK246" s="170">
        <f ca="1">SUMIFS(Налоги!AJ$25:AJ$55,Налоги!$F$25:$F$55,$F246,Налоги!$AB$25:$AB$55,$G246)</f>
        <v>0</v>
      </c>
      <c r="AL246" s="170">
        <f ca="1">SUMIFS(Налоги!AK$25:AK$55,Налоги!$F$25:$F$55,$F246,Налоги!$AB$25:$AB$55,$G246)</f>
        <v>0</v>
      </c>
      <c r="AM246" s="170">
        <f ca="1">SUMIFS(Налоги!AL$25:AL$55,Налоги!$F$25:$F$55,$F246,Налоги!$AB$25:$AB$55,$G246)</f>
        <v>0</v>
      </c>
      <c r="AN246" s="170">
        <f ca="1">SUMIFS(Налоги!AM$25:AM$55,Налоги!$F$25:$F$55,$F246,Налоги!$AB$25:$AB$55,$G246)</f>
        <v>0</v>
      </c>
      <c r="AO246" s="170">
        <f ca="1">SUMIFS(Налоги!AN$25:AN$55,Налоги!$F$25:$F$55,$F246,Налоги!$AB$25:$AB$55,$G246)</f>
        <v>0</v>
      </c>
      <c r="AP246" s="170">
        <f ca="1">SUMIFS(Налоги!AO$25:AO$55,Налоги!$F$25:$F$55,$F246,Налоги!$AB$25:$AB$55,$G246)</f>
        <v>0</v>
      </c>
      <c r="AQ246" s="170">
        <f ca="1">SUMIFS(Налоги!AP$25:AP$55,Налоги!$F$25:$F$55,$F246,Налоги!$AB$25:$AB$55,$G246)</f>
        <v>0</v>
      </c>
      <c r="AR246" s="170">
        <f ca="1">SUMIFS(Налоги!AQ$25:AQ$55,Налоги!$F$25:$F$55,$F246,Налоги!$AB$25:$AB$55,$G246)</f>
        <v>0</v>
      </c>
      <c r="AS246" s="170">
        <f ca="1">SUMIFS(Налоги!AR$25:AR$55,Налоги!$F$25:$F$55,$F246,Налоги!$AB$25:$AB$55,$G246)</f>
        <v>0</v>
      </c>
      <c r="AT246" s="170">
        <f ca="1">SUMIFS(Налоги!AS$25:AS$55,Налоги!$F$25:$F$55,$F246,Налоги!$AB$25:$AB$55,$G246)</f>
        <v>0</v>
      </c>
      <c r="AU246" s="170">
        <f ca="1">SUMIFS(Налоги!AT$25:AT$55,Налоги!$F$25:$F$55,$F246,Налоги!$AB$25:$AB$55,$G246)</f>
        <v>0</v>
      </c>
      <c r="AV246" s="170">
        <f ca="1">SUMIFS(Налоги!AU$25:AU$55,Налоги!$F$25:$F$55,$F246,Налоги!$AB$25:$AB$55,$G246)</f>
        <v>0</v>
      </c>
      <c r="AW246" s="170">
        <f ca="1">SUMIFS(Налоги!AV$25:AV$55,Налоги!$F$25:$F$55,$F246,Налоги!$AB$25:$AB$55,$G246)</f>
        <v>0</v>
      </c>
      <c r="AX246" s="170">
        <f ca="1">SUMIFS(Налоги!AW$25:AW$55,Налоги!$F$25:$F$55,$F246,Налоги!$AB$25:$AB$55,$G246)</f>
        <v>0</v>
      </c>
      <c r="AY246" s="170">
        <f ca="1">SUMIFS(Налоги!AX$25:AX$55,Налоги!$F$25:$F$55,$F246,Налоги!$AB$25:$AB$55,$G246)</f>
        <v>0</v>
      </c>
      <c r="AZ246" s="170">
        <f ca="1">SUMIFS(Налоги!AY$25:AY$55,Налоги!$F$25:$F$55,$F246,Налоги!$AB$25:$AB$55,$G246)</f>
        <v>0</v>
      </c>
      <c r="BA246" s="170">
        <f ca="1">SUMIFS(Налоги!AZ$25:AZ$55,Налоги!$F$25:$F$55,$F246,Налоги!$AB$25:$AB$55,$G246)</f>
        <v>0</v>
      </c>
      <c r="BB246" s="170">
        <f ca="1">SUMIFS(Налоги!BA$25:BA$55,Налоги!$F$25:$F$55,$F246,Налоги!$AB$25:$AB$55,$G246)</f>
        <v>0</v>
      </c>
      <c r="BC246" s="170">
        <f ca="1">SUMIFS(Налоги!BB$25:BB$55,Налоги!$F$25:$F$55,$F246,Налоги!$AB$25:$AB$55,$G246)</f>
        <v>0</v>
      </c>
      <c r="BD246" s="170">
        <f t="shared" ca="1" si="52"/>
        <v>0</v>
      </c>
      <c r="BE246" s="170">
        <f t="shared" ca="1" si="53"/>
        <v>0</v>
      </c>
      <c r="BF246" s="170">
        <f t="shared" ca="1" si="54"/>
        <v>0</v>
      </c>
      <c r="BG246" s="170">
        <f t="shared" ca="1" si="55"/>
        <v>0</v>
      </c>
      <c r="BH246" s="170">
        <f t="shared" ca="1" si="56"/>
        <v>0</v>
      </c>
      <c r="BI246" s="170">
        <f t="shared" ca="1" si="57"/>
        <v>0</v>
      </c>
      <c r="BJ246" s="170">
        <f t="shared" ca="1" si="58"/>
        <v>0</v>
      </c>
      <c r="BK246" s="170">
        <f t="shared" ca="1" si="59"/>
        <v>0</v>
      </c>
      <c r="BL246" s="170">
        <f t="shared" ca="1" si="60"/>
        <v>0</v>
      </c>
      <c r="BM246" s="170">
        <f t="shared" ca="1" si="61"/>
        <v>0</v>
      </c>
      <c r="BN246" s="195"/>
      <c r="BO246" s="599" t="str">
        <f ca="1">IF(IFERROR(INDEX(Налоги!$K$26:$L$55,MATCH($F246&amp;"10komm",Налоги!$K$26:$K$55,0),2),"")=0,"",IFERROR(INDEX(Налоги!$K$26:$L$55,MATCH($F246&amp;"10komm",Налоги!$K$26:$K$55,0),2),""))</f>
        <v/>
      </c>
      <c r="BP246" s="195"/>
      <c r="BS246" s="694" t="s">
        <v>2109</v>
      </c>
    </row>
    <row r="247" spans="2:75" ht="65.25" customHeight="1">
      <c r="E247" s="505">
        <v>67.5</v>
      </c>
      <c r="F247" s="3" t="str" cm="1">
        <f t="array" aca="1" ref="F247" ca="1">OFFSET(E247,-1,1)</f>
        <v>1</v>
      </c>
      <c r="G247" s="72" t="s">
        <v>1487</v>
      </c>
      <c r="I247" s="72" t="s">
        <v>958</v>
      </c>
      <c r="K247" s="72" t="s">
        <v>958</v>
      </c>
      <c r="L247" s="25"/>
      <c r="M247" s="25"/>
      <c r="T247" s="351" t="b" cm="1">
        <f t="array" aca="1" ref="T247" ca="1">T246</f>
        <v>1</v>
      </c>
      <c r="X247" s="1024"/>
      <c r="Z247" s="1008"/>
      <c r="AB247" s="133" t="s">
        <v>959</v>
      </c>
      <c r="AC247" s="548" t="s">
        <v>1490</v>
      </c>
      <c r="AD247" s="7" t="s">
        <v>859</v>
      </c>
      <c r="AE247" s="141"/>
      <c r="AF247" s="141"/>
      <c r="AG247" s="141"/>
      <c r="AH247" s="170">
        <f t="shared" si="50"/>
        <v>0</v>
      </c>
      <c r="AI247" s="141"/>
      <c r="AJ247" s="141"/>
      <c r="AK247" s="141"/>
      <c r="AL247" s="141"/>
      <c r="AM247" s="141"/>
      <c r="AN247" s="141"/>
      <c r="AO247" s="141"/>
      <c r="AP247" s="141"/>
      <c r="AQ247" s="141"/>
      <c r="AR247" s="141"/>
      <c r="AS247" s="141"/>
      <c r="AT247" s="141"/>
      <c r="AU247" s="141"/>
      <c r="AV247" s="141"/>
      <c r="AW247" s="141"/>
      <c r="AX247" s="141"/>
      <c r="AY247" s="141"/>
      <c r="AZ247" s="141"/>
      <c r="BA247" s="141"/>
      <c r="BB247" s="141"/>
      <c r="BC247" s="141"/>
      <c r="BD247" s="170">
        <f t="shared" si="52"/>
        <v>0</v>
      </c>
      <c r="BE247" s="170">
        <f t="shared" si="53"/>
        <v>0</v>
      </c>
      <c r="BF247" s="170">
        <f t="shared" si="54"/>
        <v>0</v>
      </c>
      <c r="BG247" s="170">
        <f t="shared" si="55"/>
        <v>0</v>
      </c>
      <c r="BH247" s="170">
        <f t="shared" si="56"/>
        <v>0</v>
      </c>
      <c r="BI247" s="170">
        <f t="shared" si="57"/>
        <v>0</v>
      </c>
      <c r="BJ247" s="170">
        <f t="shared" si="58"/>
        <v>0</v>
      </c>
      <c r="BK247" s="170">
        <f t="shared" si="59"/>
        <v>0</v>
      </c>
      <c r="BL247" s="170">
        <f t="shared" si="60"/>
        <v>0</v>
      </c>
      <c r="BM247" s="170">
        <f t="shared" si="61"/>
        <v>0</v>
      </c>
      <c r="BN247" s="195"/>
      <c r="BO247" s="195"/>
      <c r="BP247" s="195"/>
      <c r="BS247" s="694" t="s">
        <v>2110</v>
      </c>
    </row>
    <row r="248" spans="2:75" ht="14.25" customHeight="1">
      <c r="E248" s="505">
        <v>15</v>
      </c>
      <c r="F248" s="3" t="str" cm="1">
        <f t="array" aca="1" ref="F248" ca="1">OFFSET(E248,-1,1)</f>
        <v>1</v>
      </c>
      <c r="G248" s="72" t="s">
        <v>1035</v>
      </c>
      <c r="I248" s="72" t="s">
        <v>961</v>
      </c>
      <c r="K248" s="72" t="s">
        <v>961</v>
      </c>
      <c r="L248" s="25" t="s">
        <v>557</v>
      </c>
      <c r="M248" s="25"/>
      <c r="T248" s="351" t="b" cm="1">
        <f t="array" aca="1" ref="T248" ca="1">T247</f>
        <v>1</v>
      </c>
      <c r="X248" s="1024"/>
      <c r="Z248" s="1008"/>
      <c r="AB248" s="133" t="s">
        <v>962</v>
      </c>
      <c r="AC248" s="127" t="s">
        <v>1035</v>
      </c>
      <c r="AD248" s="7" t="s">
        <v>859</v>
      </c>
      <c r="AE248" s="170">
        <f ca="1">SUMIFS(Аренда!AE$25:AE$47,Аренда!$F$25:$F$47,$F248,Аренда!$G$25:$G$47,"Арендная и концессионная плата, лизинговые платежи")</f>
        <v>0</v>
      </c>
      <c r="AF248" s="170">
        <f ca="1">SUMIFS(Аренда!AF$25:AF$47,Аренда!$F$25:$F$47,$F248,Аренда!$G$25:$G$47,"Арендная и концессионная плата, лизинговые платежи")</f>
        <v>0</v>
      </c>
      <c r="AG248" s="170">
        <f ca="1">SUMIFS(Аренда!AG$25:AG$47,Аренда!$F$25:$F$47,$F248,Аренда!$G$25:$G$47,"Арендная и концессионная плата, лизинговые платежи")</f>
        <v>0</v>
      </c>
      <c r="AH248" s="170">
        <f t="shared" ca="1" si="50"/>
        <v>0</v>
      </c>
      <c r="AI248" s="170">
        <f ca="1">SUMIFS(Аренда!AH$25:AH$47,Аренда!$F$25:$F$47,$F248,Аренда!$G$25:$G$47,"Арендная и концессионная плата, лизинговые платежи")</f>
        <v>0</v>
      </c>
      <c r="AJ248" s="170">
        <f ca="1">SUMIFS(Аренда!AI$25:AI$47,Аренда!$F$25:$F$47,$F248,Аренда!$G$25:$G$47,"Арендная и концессионная плата, лизинговые платежи")</f>
        <v>0</v>
      </c>
      <c r="AK248" s="170">
        <f ca="1">SUMIFS(Аренда!AJ$25:AJ$47,Аренда!$F$25:$F$47,$F248,Аренда!$G$25:$G$47,"Арендная и концессионная плата, лизинговые платежи")</f>
        <v>0</v>
      </c>
      <c r="AL248" s="170">
        <f ca="1">SUMIFS(Аренда!AK$25:AK$47,Аренда!$F$25:$F$47,$F248,Аренда!$G$25:$G$47,"Арендная и концессионная плата, лизинговые платежи")</f>
        <v>0</v>
      </c>
      <c r="AM248" s="170">
        <f ca="1">SUMIFS(Аренда!AL$25:AL$47,Аренда!$F$25:$F$47,$F248,Аренда!$G$25:$G$47,"Арендная и концессионная плата, лизинговые платежи")</f>
        <v>0</v>
      </c>
      <c r="AN248" s="170">
        <f ca="1">SUMIFS(Аренда!AM$25:AM$47,Аренда!$F$25:$F$47,$F248,Аренда!$G$25:$G$47,"Арендная и концессионная плата, лизинговые платежи")</f>
        <v>0</v>
      </c>
      <c r="AO248" s="170">
        <f ca="1">SUMIFS(Аренда!AN$25:AN$47,Аренда!$F$25:$F$47,$F248,Аренда!$G$25:$G$47,"Арендная и концессионная плата, лизинговые платежи")</f>
        <v>0</v>
      </c>
      <c r="AP248" s="170">
        <f ca="1">SUMIFS(Аренда!AO$25:AO$47,Аренда!$F$25:$F$47,$F248,Аренда!$G$25:$G$47,"Арендная и концессионная плата, лизинговые платежи")</f>
        <v>0</v>
      </c>
      <c r="AQ248" s="170">
        <f ca="1">SUMIFS(Аренда!AP$25:AP$47,Аренда!$F$25:$F$47,$F248,Аренда!$G$25:$G$47,"Арендная и концессионная плата, лизинговые платежи")</f>
        <v>0</v>
      </c>
      <c r="AR248" s="170">
        <f ca="1">SUMIFS(Аренда!AQ$25:AQ$47,Аренда!$F$25:$F$47,$F248,Аренда!$G$25:$G$47,"Арендная и концессионная плата, лизинговые платежи")</f>
        <v>0</v>
      </c>
      <c r="AS248" s="170">
        <f ca="1">SUMIFS(Аренда!AR$25:AR$47,Аренда!$F$25:$F$47,$F248,Аренда!$G$25:$G$47,"Арендная и концессионная плата, лизинговые платежи")</f>
        <v>0</v>
      </c>
      <c r="AT248" s="170">
        <f ca="1">SUMIFS(Аренда!AS$25:AS$47,Аренда!$F$25:$F$47,$F248,Аренда!$G$25:$G$47,"Арендная и концессионная плата, лизинговые платежи")</f>
        <v>0</v>
      </c>
      <c r="AU248" s="170">
        <f ca="1">SUMIFS(Аренда!AT$25:AT$47,Аренда!$F$25:$F$47,$F248,Аренда!$G$25:$G$47,"Арендная и концессионная плата, лизинговые платежи")</f>
        <v>0</v>
      </c>
      <c r="AV248" s="170">
        <f ca="1">SUMIFS(Аренда!AU$25:AU$47,Аренда!$F$25:$F$47,$F248,Аренда!$G$25:$G$47,"Арендная и концессионная плата, лизинговые платежи")</f>
        <v>0</v>
      </c>
      <c r="AW248" s="170">
        <f ca="1">SUMIFS(Аренда!AV$25:AV$47,Аренда!$F$25:$F$47,$F248,Аренда!$G$25:$G$47,"Арендная и концессионная плата, лизинговые платежи")</f>
        <v>0</v>
      </c>
      <c r="AX248" s="170">
        <f ca="1">SUMIFS(Аренда!AW$25:AW$47,Аренда!$F$25:$F$47,$F248,Аренда!$G$25:$G$47,"Арендная и концессионная плата, лизинговые платежи")</f>
        <v>0</v>
      </c>
      <c r="AY248" s="170">
        <f ca="1">SUMIFS(Аренда!AX$25:AX$47,Аренда!$F$25:$F$47,$F248,Аренда!$G$25:$G$47,"Арендная и концессионная плата, лизинговые платежи")</f>
        <v>0</v>
      </c>
      <c r="AZ248" s="170">
        <f ca="1">SUMIFS(Аренда!AY$25:AY$47,Аренда!$F$25:$F$47,$F248,Аренда!$G$25:$G$47,"Арендная и концессионная плата, лизинговые платежи")</f>
        <v>0</v>
      </c>
      <c r="BA248" s="170">
        <f ca="1">SUMIFS(Аренда!AZ$25:AZ$47,Аренда!$F$25:$F$47,$F248,Аренда!$G$25:$G$47,"Арендная и концессионная плата, лизинговые платежи")</f>
        <v>0</v>
      </c>
      <c r="BB248" s="170">
        <f ca="1">SUMIFS(Аренда!BA$25:BA$47,Аренда!$F$25:$F$47,$F248,Аренда!$G$25:$G$47,"Арендная и концессионная плата, лизинговые платежи")</f>
        <v>0</v>
      </c>
      <c r="BC248" s="170">
        <f ca="1">SUMIFS(Аренда!BB$25:BB$47,Аренда!$F$25:$F$47,$F248,Аренда!$G$25:$G$47,"Арендная и концессионная плата, лизинговые платежи")</f>
        <v>0</v>
      </c>
      <c r="BD248" s="170">
        <f t="shared" ca="1" si="52"/>
        <v>0</v>
      </c>
      <c r="BE248" s="170">
        <f t="shared" ca="1" si="53"/>
        <v>0</v>
      </c>
      <c r="BF248" s="170">
        <f t="shared" ca="1" si="54"/>
        <v>0</v>
      </c>
      <c r="BG248" s="170">
        <f t="shared" ca="1" si="55"/>
        <v>0</v>
      </c>
      <c r="BH248" s="170">
        <f t="shared" ca="1" si="56"/>
        <v>0</v>
      </c>
      <c r="BI248" s="170">
        <f t="shared" ca="1" si="57"/>
        <v>0</v>
      </c>
      <c r="BJ248" s="170">
        <f t="shared" ca="1" si="58"/>
        <v>0</v>
      </c>
      <c r="BK248" s="170">
        <f t="shared" ca="1" si="59"/>
        <v>0</v>
      </c>
      <c r="BL248" s="170">
        <f t="shared" ca="1" si="60"/>
        <v>0</v>
      </c>
      <c r="BM248" s="170">
        <f t="shared" ca="1" si="61"/>
        <v>0</v>
      </c>
      <c r="BN248" s="195"/>
      <c r="BO248" s="599" t="str">
        <f ca="1">IF(IFERROR(INDEX(Аренда!$K$26:$L$47,MATCH($F248&amp;"komm",Аренда!$K$26:$K$47,0),2),"")=0,"",IFERROR(INDEX(Аренда!$K$26:$L$47,MATCH($F248&amp;"komm",Аренда!$K$26:$K$47,0),2),""))</f>
        <v/>
      </c>
      <c r="BP248" s="195"/>
      <c r="BS248" s="694" t="s">
        <v>2111</v>
      </c>
    </row>
    <row r="249" spans="2:75" ht="14.25" customHeight="1">
      <c r="B249" s="328" t="b">
        <f>STATUS_GO="да"</f>
        <v>1</v>
      </c>
      <c r="E249" s="505">
        <v>15</v>
      </c>
      <c r="F249" s="3" t="str" cm="1">
        <f t="array" aca="1" ref="F249" ca="1">OFFSET(E249,-1,1)</f>
        <v>1</v>
      </c>
      <c r="I249" s="72" t="s">
        <v>2112</v>
      </c>
      <c r="K249" s="72" t="s">
        <v>2112</v>
      </c>
      <c r="L249" s="25"/>
      <c r="M249" s="25"/>
      <c r="T249" s="351" t="b" cm="1">
        <f t="array" aca="1" ref="T249" ca="1">T248</f>
        <v>1</v>
      </c>
      <c r="X249" s="1024"/>
      <c r="Z249" s="1008"/>
      <c r="AB249" s="133" t="s">
        <v>1554</v>
      </c>
      <c r="AC249" s="127" t="s">
        <v>2113</v>
      </c>
      <c r="AD249" s="7" t="s">
        <v>859</v>
      </c>
      <c r="AE249" s="128"/>
      <c r="AF249" s="128"/>
      <c r="AG249" s="128"/>
      <c r="AH249" s="170">
        <f t="shared" si="50"/>
        <v>0</v>
      </c>
      <c r="AI249" s="128"/>
      <c r="AJ249" s="128"/>
      <c r="AK249" s="128"/>
      <c r="AL249" s="128"/>
      <c r="AM249" s="128"/>
      <c r="AN249" s="128"/>
      <c r="AO249" s="128"/>
      <c r="AP249" s="128"/>
      <c r="AQ249" s="128"/>
      <c r="AR249" s="128"/>
      <c r="AS249" s="128"/>
      <c r="AT249" s="128"/>
      <c r="AU249" s="128"/>
      <c r="AV249" s="128"/>
      <c r="AW249" s="128"/>
      <c r="AX249" s="128"/>
      <c r="AY249" s="128"/>
      <c r="AZ249" s="128"/>
      <c r="BA249" s="128"/>
      <c r="BB249" s="128"/>
      <c r="BC249" s="128"/>
      <c r="BD249" s="170">
        <f t="shared" si="52"/>
        <v>0</v>
      </c>
      <c r="BE249" s="170">
        <f t="shared" si="53"/>
        <v>0</v>
      </c>
      <c r="BF249" s="170">
        <f t="shared" si="54"/>
        <v>0</v>
      </c>
      <c r="BG249" s="170">
        <f t="shared" si="55"/>
        <v>0</v>
      </c>
      <c r="BH249" s="170">
        <f t="shared" si="56"/>
        <v>0</v>
      </c>
      <c r="BI249" s="170">
        <f t="shared" si="57"/>
        <v>0</v>
      </c>
      <c r="BJ249" s="170">
        <f t="shared" si="58"/>
        <v>0</v>
      </c>
      <c r="BK249" s="170">
        <f t="shared" si="59"/>
        <v>0</v>
      </c>
      <c r="BL249" s="170">
        <f t="shared" si="60"/>
        <v>0</v>
      </c>
      <c r="BM249" s="170">
        <f t="shared" si="61"/>
        <v>0</v>
      </c>
      <c r="BN249" s="195"/>
      <c r="BO249" s="195"/>
      <c r="BP249" s="195"/>
      <c r="BS249" s="694" t="s">
        <v>2114</v>
      </c>
    </row>
    <row r="250" spans="2:75" ht="14.25" customHeight="1">
      <c r="B250" s="328" t="b">
        <f>STATUS_GO="да"</f>
        <v>1</v>
      </c>
      <c r="E250" s="505">
        <v>15</v>
      </c>
      <c r="F250" s="3" t="str" cm="1">
        <f t="array" aca="1" ref="F250" ca="1">OFFSET(E250,-1,1)</f>
        <v>1</v>
      </c>
      <c r="G250" s="72" t="s">
        <v>1496</v>
      </c>
      <c r="I250" s="72" t="s">
        <v>2115</v>
      </c>
      <c r="K250" s="72" t="s">
        <v>2115</v>
      </c>
      <c r="L250" s="25"/>
      <c r="M250" s="25"/>
      <c r="T250" s="351" t="b" cm="1">
        <f t="array" aca="1" ref="T250" ca="1">T249</f>
        <v>1</v>
      </c>
      <c r="X250" s="1024"/>
      <c r="Z250" s="1008"/>
      <c r="AB250" s="133" t="s">
        <v>2116</v>
      </c>
      <c r="AC250" s="134" t="s">
        <v>1496</v>
      </c>
      <c r="AD250" s="7" t="s">
        <v>859</v>
      </c>
      <c r="AE250" s="128"/>
      <c r="AF250" s="128"/>
      <c r="AG250" s="128"/>
      <c r="AH250" s="170">
        <f t="shared" si="50"/>
        <v>0</v>
      </c>
      <c r="AI250" s="128"/>
      <c r="AJ250" s="128"/>
      <c r="AK250" s="128"/>
      <c r="AL250" s="128"/>
      <c r="AM250" s="128"/>
      <c r="AN250" s="128"/>
      <c r="AO250" s="128"/>
      <c r="AP250" s="128"/>
      <c r="AQ250" s="128"/>
      <c r="AR250" s="128"/>
      <c r="AS250" s="128"/>
      <c r="AT250" s="128"/>
      <c r="AU250" s="128"/>
      <c r="AV250" s="128"/>
      <c r="AW250" s="128"/>
      <c r="AX250" s="128"/>
      <c r="AY250" s="128"/>
      <c r="AZ250" s="128"/>
      <c r="BA250" s="128"/>
      <c r="BB250" s="128"/>
      <c r="BC250" s="128"/>
      <c r="BD250" s="170">
        <f t="shared" si="52"/>
        <v>0</v>
      </c>
      <c r="BE250" s="170">
        <f t="shared" si="53"/>
        <v>0</v>
      </c>
      <c r="BF250" s="170">
        <f t="shared" si="54"/>
        <v>0</v>
      </c>
      <c r="BG250" s="170">
        <f t="shared" si="55"/>
        <v>0</v>
      </c>
      <c r="BH250" s="170">
        <f t="shared" si="56"/>
        <v>0</v>
      </c>
      <c r="BI250" s="170">
        <f t="shared" si="57"/>
        <v>0</v>
      </c>
      <c r="BJ250" s="170">
        <f t="shared" si="58"/>
        <v>0</v>
      </c>
      <c r="BK250" s="170">
        <f t="shared" si="59"/>
        <v>0</v>
      </c>
      <c r="BL250" s="170">
        <f t="shared" si="60"/>
        <v>0</v>
      </c>
      <c r="BM250" s="170">
        <f t="shared" si="61"/>
        <v>0</v>
      </c>
      <c r="BN250" s="195"/>
      <c r="BO250" s="599" t="str">
        <f ca="1">IF(IFERROR(INDEX('Сбытовые расходы ГО'!$K$26:$M$51,MATCH($F250&amp;"komm",'Сбытовые расходы ГО'!$K$26:$K$51,0),2),"")=0,"",IFERROR(INDEX('Сбытовые расходы ГО'!$K$26:$M$51,MATCH($F250&amp;"komm",'Сбытовые расходы ГО'!$K$26:$K$51,0),2),""))</f>
        <v/>
      </c>
      <c r="BP250" s="195"/>
      <c r="BS250" s="694" t="s">
        <v>2117</v>
      </c>
    </row>
    <row r="251" spans="2:75" ht="14.25" customHeight="1">
      <c r="E251" s="505">
        <v>15</v>
      </c>
      <c r="F251" s="3" t="str" cm="1">
        <f t="array" aca="1" ref="F251" ca="1">OFFSET(E251,-1,1)</f>
        <v>1</v>
      </c>
      <c r="G251" s="72" t="s">
        <v>1501</v>
      </c>
      <c r="I251" s="72" t="s">
        <v>2118</v>
      </c>
      <c r="K251" s="72" t="s">
        <v>2118</v>
      </c>
      <c r="L251" s="25"/>
      <c r="M251" s="25"/>
      <c r="T251" s="351" t="b" cm="1">
        <f t="array" aca="1" ref="T251" ca="1">T250</f>
        <v>1</v>
      </c>
      <c r="X251" s="1024"/>
      <c r="Z251" s="1008"/>
      <c r="AB251" s="133" t="s">
        <v>1559</v>
      </c>
      <c r="AC251" s="127" t="s">
        <v>1501</v>
      </c>
      <c r="AD251" s="7" t="s">
        <v>859</v>
      </c>
      <c r="AE251" s="128"/>
      <c r="AF251" s="128"/>
      <c r="AG251" s="128"/>
      <c r="AH251" s="170">
        <f t="shared" si="50"/>
        <v>0</v>
      </c>
      <c r="AI251" s="128"/>
      <c r="AJ251" s="128">
        <f ca="1">SUMIFS(Экономия_корр!AE$25:AE$43,Экономия_корр!$F$25:$F$43,$F251,Экономия_корр!$AC$25:$AC$43,"Экономия расходов с учетом ИПЦ")</f>
        <v>0</v>
      </c>
      <c r="AK251" s="128">
        <f ca="1">SUMIFS(Экономия_корр!AF$25:AF$43,Экономия_корр!$F$25:$F$43,$F251,Экономия_корр!$AC$25:$AC$43,"Экономия расходов с учетом ИПЦ")</f>
        <v>0</v>
      </c>
      <c r="AL251" s="128">
        <f ca="1">SUMIFS(Экономия_корр!AG$25:AG$43,Экономия_корр!$F$25:$F$43,$F251,Экономия_корр!$AC$25:$AC$43,"Экономия расходов с учетом ИПЦ")</f>
        <v>0</v>
      </c>
      <c r="AM251" s="128">
        <f ca="1">SUMIFS(Экономия_корр!AH$25:AH$43,Экономия_корр!$F$25:$F$43,$F251,Экономия_корр!$AC$25:$AC$43,"Экономия расходов с учетом ИПЦ")</f>
        <v>0</v>
      </c>
      <c r="AN251" s="128">
        <f ca="1">SUMIFS(Экономия_корр!AI$25:AI$43,Экономия_корр!$F$25:$F$43,$F251,Экономия_корр!$AC$25:$AC$43,"Экономия расходов с учетом ИПЦ")</f>
        <v>0</v>
      </c>
      <c r="AO251" s="128">
        <f ca="1">SUMIFS(Экономия_корр!AJ$25:AJ$43,Экономия_корр!$F$25:$F$43,$F251,Экономия_корр!$AC$25:$AC$43,"Экономия расходов с учетом ИПЦ")</f>
        <v>0</v>
      </c>
      <c r="AP251" s="128">
        <f ca="1">SUMIFS(Экономия_корр!AK$25:AK$43,Экономия_корр!$F$25:$F$43,$F251,Экономия_корр!$AC$25:$AC$43,"Экономия расходов с учетом ИПЦ")</f>
        <v>0</v>
      </c>
      <c r="AQ251" s="128">
        <f ca="1">SUMIFS(Экономия_корр!AL$25:AL$43,Экономия_корр!$F$25:$F$43,$F251,Экономия_корр!$AC$25:$AC$43,"Экономия расходов с учетом ИПЦ")</f>
        <v>0</v>
      </c>
      <c r="AR251" s="128">
        <f ca="1">SUMIFS(Экономия_корр!AM$25:AM$43,Экономия_корр!$F$25:$F$43,$F251,Экономия_корр!$AC$25:$AC$43,"Экономия расходов с учетом ИПЦ")</f>
        <v>0</v>
      </c>
      <c r="AS251" s="128">
        <f ca="1">SUMIFS(Экономия_корр!AN$25:AN$43,Экономия_корр!$F$25:$F$43,$F251,Экономия_корр!$AC$25:$AC$43,"Экономия расходов с учетом ИПЦ")</f>
        <v>0</v>
      </c>
      <c r="AT251" s="128">
        <f ca="1">SUMIFS(Экономия_корр!AO$25:AO$43,Экономия_корр!$F$25:$F$43,$F251,Экономия_корр!$AC$25:$AC$43,"Экономия расходов с учетом ИПЦ")</f>
        <v>0</v>
      </c>
      <c r="AU251" s="128">
        <f ca="1">SUMIFS(Экономия_корр!AP$25:AP$43,Экономия_корр!$F$25:$F$43,$F251,Экономия_корр!$AC$25:$AC$43,"Экономия расходов с учетом ИПЦ")</f>
        <v>0</v>
      </c>
      <c r="AV251" s="128">
        <f ca="1">SUMIFS(Экономия_корр!AQ$25:AQ$43,Экономия_корр!$F$25:$F$43,$F251,Экономия_корр!$AC$25:$AC$43,"Экономия расходов с учетом ИПЦ")</f>
        <v>0</v>
      </c>
      <c r="AW251" s="128">
        <f ca="1">SUMIFS(Экономия_корр!AR$25:AR$43,Экономия_корр!$F$25:$F$43,$F251,Экономия_корр!$AC$25:$AC$43,"Экономия расходов с учетом ИПЦ")</f>
        <v>0</v>
      </c>
      <c r="AX251" s="128">
        <f ca="1">SUMIFS(Экономия_корр!AS$25:AS$43,Экономия_корр!$F$25:$F$43,$F251,Экономия_корр!$AC$25:$AC$43,"Экономия расходов с учетом ИПЦ")</f>
        <v>0</v>
      </c>
      <c r="AY251" s="128">
        <f ca="1">SUMIFS(Экономия_корр!AT$25:AT$43,Экономия_корр!$F$25:$F$43,$F251,Экономия_корр!$AC$25:$AC$43,"Экономия расходов с учетом ИПЦ")</f>
        <v>0</v>
      </c>
      <c r="AZ251" s="128">
        <f ca="1">SUMIFS(Экономия_корр!AU$25:AU$43,Экономия_корр!$F$25:$F$43,$F251,Экономия_корр!$AC$25:$AC$43,"Экономия расходов с учетом ИПЦ")</f>
        <v>0</v>
      </c>
      <c r="BA251" s="128">
        <f ca="1">SUMIFS(Экономия_корр!AV$25:AV$43,Экономия_корр!$F$25:$F$43,$F251,Экономия_корр!$AC$25:$AC$43,"Экономия расходов с учетом ИПЦ")</f>
        <v>0</v>
      </c>
      <c r="BB251" s="128">
        <f ca="1">SUMIFS(Экономия_корр!AW$25:AW$43,Экономия_корр!$F$25:$F$43,$F251,Экономия_корр!$AC$25:$AC$43,"Экономия расходов с учетом ИПЦ")</f>
        <v>0</v>
      </c>
      <c r="BC251" s="128">
        <f ca="1">SUMIFS(Экономия_корр!AX$25:AX$43,Экономия_корр!$F$25:$F$43,$F251,Экономия_корр!$AC$25:$AC$43,"Экономия расходов с учетом ИПЦ")</f>
        <v>0</v>
      </c>
      <c r="BD251" s="170">
        <f t="shared" si="52"/>
        <v>0</v>
      </c>
      <c r="BE251" s="170">
        <f t="shared" ca="1" si="53"/>
        <v>0</v>
      </c>
      <c r="BF251" s="170">
        <f t="shared" ca="1" si="54"/>
        <v>0</v>
      </c>
      <c r="BG251" s="170">
        <f t="shared" ca="1" si="55"/>
        <v>0</v>
      </c>
      <c r="BH251" s="170">
        <f t="shared" ca="1" si="56"/>
        <v>0</v>
      </c>
      <c r="BI251" s="170">
        <f t="shared" ca="1" si="57"/>
        <v>0</v>
      </c>
      <c r="BJ251" s="170">
        <f t="shared" ca="1" si="58"/>
        <v>0</v>
      </c>
      <c r="BK251" s="170">
        <f t="shared" ca="1" si="59"/>
        <v>0</v>
      </c>
      <c r="BL251" s="170">
        <f t="shared" ca="1" si="60"/>
        <v>0</v>
      </c>
      <c r="BM251" s="170">
        <f t="shared" ca="1" si="61"/>
        <v>0</v>
      </c>
      <c r="BN251" s="195"/>
      <c r="BO251" s="195"/>
      <c r="BP251" s="195"/>
      <c r="BS251" s="694" t="s">
        <v>2119</v>
      </c>
    </row>
    <row r="252" spans="2:75" ht="14.25" customHeight="1">
      <c r="E252" s="505">
        <v>15</v>
      </c>
      <c r="F252" s="3" t="str" cm="1">
        <f t="array" aca="1" ref="F252" ca="1">OFFSET(E252,-1,1)</f>
        <v>1</v>
      </c>
      <c r="G252" s="72" t="s">
        <v>1506</v>
      </c>
      <c r="I252" s="72" t="s">
        <v>2120</v>
      </c>
      <c r="K252" s="72" t="s">
        <v>2120</v>
      </c>
      <c r="L252" s="25"/>
      <c r="M252" s="25"/>
      <c r="T252" s="351" t="b" cm="1">
        <f t="array" aca="1" ref="T252" ca="1">T251</f>
        <v>1</v>
      </c>
      <c r="X252" s="1024"/>
      <c r="Z252" s="1008"/>
      <c r="AB252" s="133" t="s">
        <v>2121</v>
      </c>
      <c r="AC252" s="127" t="s">
        <v>1506</v>
      </c>
      <c r="AD252" s="7" t="s">
        <v>859</v>
      </c>
      <c r="AE252" s="128"/>
      <c r="AF252" s="128"/>
      <c r="AG252" s="128"/>
      <c r="AH252" s="170">
        <f t="shared" si="50"/>
        <v>0</v>
      </c>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70">
        <f t="shared" si="52"/>
        <v>0</v>
      </c>
      <c r="BE252" s="170">
        <f t="shared" si="53"/>
        <v>0</v>
      </c>
      <c r="BF252" s="170">
        <f t="shared" si="54"/>
        <v>0</v>
      </c>
      <c r="BG252" s="170">
        <f t="shared" si="55"/>
        <v>0</v>
      </c>
      <c r="BH252" s="170">
        <f t="shared" si="56"/>
        <v>0</v>
      </c>
      <c r="BI252" s="170">
        <f t="shared" si="57"/>
        <v>0</v>
      </c>
      <c r="BJ252" s="170">
        <f t="shared" si="58"/>
        <v>0</v>
      </c>
      <c r="BK252" s="170">
        <f t="shared" si="59"/>
        <v>0</v>
      </c>
      <c r="BL252" s="170">
        <f t="shared" si="60"/>
        <v>0</v>
      </c>
      <c r="BM252" s="170">
        <f t="shared" si="61"/>
        <v>0</v>
      </c>
      <c r="BN252" s="195"/>
      <c r="BO252" s="195"/>
      <c r="BP252" s="195"/>
      <c r="BS252" s="694" t="s">
        <v>1857</v>
      </c>
    </row>
    <row r="253" spans="2:75" ht="14.25" customHeight="1">
      <c r="E253" s="505">
        <v>15</v>
      </c>
      <c r="F253" s="3" t="str" cm="1">
        <f t="array" aca="1" ref="F253" ca="1">OFFSET(E253,-1,1)</f>
        <v>1</v>
      </c>
      <c r="G253" s="72" t="s">
        <v>1511</v>
      </c>
      <c r="I253" s="72" t="s">
        <v>2122</v>
      </c>
      <c r="K253" s="72" t="s">
        <v>2122</v>
      </c>
      <c r="L253" s="25"/>
      <c r="M253" s="25"/>
      <c r="T253" s="351" t="b" cm="1">
        <f t="array" aca="1" ref="T253" ca="1">T252</f>
        <v>1</v>
      </c>
      <c r="X253" s="1024"/>
      <c r="Z253" s="1008"/>
      <c r="AB253" s="133" t="s">
        <v>1578</v>
      </c>
      <c r="AC253" s="127" t="s">
        <v>1511</v>
      </c>
      <c r="AD253" s="7" t="s">
        <v>859</v>
      </c>
      <c r="AE253" s="128"/>
      <c r="AF253" s="128"/>
      <c r="AG253" s="128"/>
      <c r="AH253" s="170">
        <f t="shared" si="50"/>
        <v>0</v>
      </c>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70">
        <f t="shared" si="52"/>
        <v>0</v>
      </c>
      <c r="BE253" s="170">
        <f t="shared" si="53"/>
        <v>0</v>
      </c>
      <c r="BF253" s="170">
        <f t="shared" si="54"/>
        <v>0</v>
      </c>
      <c r="BG253" s="170">
        <f t="shared" si="55"/>
        <v>0</v>
      </c>
      <c r="BH253" s="170">
        <f t="shared" si="56"/>
        <v>0</v>
      </c>
      <c r="BI253" s="170">
        <f t="shared" si="57"/>
        <v>0</v>
      </c>
      <c r="BJ253" s="170">
        <f t="shared" si="58"/>
        <v>0</v>
      </c>
      <c r="BK253" s="170">
        <f t="shared" si="59"/>
        <v>0</v>
      </c>
      <c r="BL253" s="170">
        <f t="shared" si="60"/>
        <v>0</v>
      </c>
      <c r="BM253" s="170">
        <f t="shared" si="61"/>
        <v>0</v>
      </c>
      <c r="BN253" s="195"/>
      <c r="BO253" s="195"/>
      <c r="BP253" s="195"/>
      <c r="BS253" s="694" t="s">
        <v>2123</v>
      </c>
    </row>
    <row r="254" spans="2:75" ht="14.25" customHeight="1">
      <c r="E254" s="505">
        <v>15</v>
      </c>
      <c r="F254" s="3" t="str" cm="1">
        <f t="array" aca="1" ref="F254" ca="1">OFFSET(E254,-1,1)</f>
        <v>1</v>
      </c>
      <c r="G254" s="72" t="s">
        <v>1516</v>
      </c>
      <c r="I254" s="72" t="s">
        <v>2124</v>
      </c>
      <c r="K254" s="72" t="s">
        <v>2124</v>
      </c>
      <c r="L254" s="25"/>
      <c r="M254" s="25"/>
      <c r="T254" s="351" t="b" cm="1">
        <f t="array" aca="1" ref="T254" ca="1">T253</f>
        <v>1</v>
      </c>
      <c r="X254" s="1024"/>
      <c r="Z254" s="1008"/>
      <c r="AB254" s="133" t="s">
        <v>1582</v>
      </c>
      <c r="AC254" s="127" t="s">
        <v>1516</v>
      </c>
      <c r="AD254" s="7" t="s">
        <v>859</v>
      </c>
      <c r="AE254" s="170">
        <f>SUM(AE255,AE256)</f>
        <v>0</v>
      </c>
      <c r="AF254" s="170">
        <f>SUM(AF255,AF256)</f>
        <v>0</v>
      </c>
      <c r="AG254" s="170">
        <f>SUM(AG255,AG256)</f>
        <v>0</v>
      </c>
      <c r="AH254" s="170">
        <f t="shared" si="50"/>
        <v>0</v>
      </c>
      <c r="AI254" s="170">
        <f t="shared" ref="AI254:BC254" si="64">SUM(AI255,AI256)</f>
        <v>0</v>
      </c>
      <c r="AJ254" s="170">
        <f t="shared" si="64"/>
        <v>0</v>
      </c>
      <c r="AK254" s="170">
        <f t="shared" si="64"/>
        <v>0</v>
      </c>
      <c r="AL254" s="170">
        <f t="shared" si="64"/>
        <v>0</v>
      </c>
      <c r="AM254" s="170">
        <f t="shared" si="64"/>
        <v>0</v>
      </c>
      <c r="AN254" s="170">
        <f t="shared" si="64"/>
        <v>0</v>
      </c>
      <c r="AO254" s="170">
        <f t="shared" si="64"/>
        <v>0</v>
      </c>
      <c r="AP254" s="170">
        <f t="shared" si="64"/>
        <v>0</v>
      </c>
      <c r="AQ254" s="170">
        <f t="shared" si="64"/>
        <v>0</v>
      </c>
      <c r="AR254" s="170">
        <f t="shared" si="64"/>
        <v>0</v>
      </c>
      <c r="AS254" s="170">
        <f t="shared" si="64"/>
        <v>0</v>
      </c>
      <c r="AT254" s="170">
        <f t="shared" si="64"/>
        <v>0</v>
      </c>
      <c r="AU254" s="170">
        <f t="shared" si="64"/>
        <v>0</v>
      </c>
      <c r="AV254" s="170">
        <f t="shared" si="64"/>
        <v>0</v>
      </c>
      <c r="AW254" s="170">
        <f t="shared" si="64"/>
        <v>0</v>
      </c>
      <c r="AX254" s="170">
        <f t="shared" si="64"/>
        <v>0</v>
      </c>
      <c r="AY254" s="170">
        <f t="shared" si="64"/>
        <v>0</v>
      </c>
      <c r="AZ254" s="170">
        <f t="shared" si="64"/>
        <v>0</v>
      </c>
      <c r="BA254" s="170">
        <f t="shared" si="64"/>
        <v>0</v>
      </c>
      <c r="BB254" s="170">
        <f t="shared" si="64"/>
        <v>0</v>
      </c>
      <c r="BC254" s="170">
        <f t="shared" si="64"/>
        <v>0</v>
      </c>
      <c r="BD254" s="170">
        <f t="shared" si="52"/>
        <v>0</v>
      </c>
      <c r="BE254" s="170">
        <f t="shared" si="53"/>
        <v>0</v>
      </c>
      <c r="BF254" s="170">
        <f t="shared" si="54"/>
        <v>0</v>
      </c>
      <c r="BG254" s="170">
        <f t="shared" si="55"/>
        <v>0</v>
      </c>
      <c r="BH254" s="170">
        <f t="shared" si="56"/>
        <v>0</v>
      </c>
      <c r="BI254" s="170">
        <f t="shared" si="57"/>
        <v>0</v>
      </c>
      <c r="BJ254" s="170">
        <f t="shared" si="58"/>
        <v>0</v>
      </c>
      <c r="BK254" s="170">
        <f t="shared" si="59"/>
        <v>0</v>
      </c>
      <c r="BL254" s="170">
        <f t="shared" si="60"/>
        <v>0</v>
      </c>
      <c r="BM254" s="170">
        <f t="shared" si="61"/>
        <v>0</v>
      </c>
      <c r="BN254" s="195"/>
      <c r="BO254" s="195"/>
      <c r="BP254" s="195"/>
      <c r="BS254" s="694" t="s">
        <v>2125</v>
      </c>
    </row>
    <row r="255" spans="2:75" ht="14.25" customHeight="1">
      <c r="E255" s="505">
        <v>15</v>
      </c>
      <c r="F255" s="3" t="str" cm="1">
        <f t="array" aca="1" ref="F255" ca="1">OFFSET(E255,-1,1)</f>
        <v>1</v>
      </c>
      <c r="I255" s="72" t="s">
        <v>2126</v>
      </c>
      <c r="K255" s="72" t="s">
        <v>2126</v>
      </c>
      <c r="L255" s="25"/>
      <c r="M255" s="25"/>
      <c r="T255" s="351" t="b" cm="1">
        <f t="array" aca="1" ref="T255" ca="1">T254</f>
        <v>1</v>
      </c>
      <c r="X255" s="1024"/>
      <c r="Z255" s="1008"/>
      <c r="AB255" s="133" t="s">
        <v>2127</v>
      </c>
      <c r="AC255" s="134" t="s">
        <v>2128</v>
      </c>
      <c r="AD255" s="7" t="s">
        <v>859</v>
      </c>
      <c r="AE255" s="128"/>
      <c r="AF255" s="128"/>
      <c r="AG255" s="128"/>
      <c r="AH255" s="170">
        <f t="shared" si="50"/>
        <v>0</v>
      </c>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c r="BC255" s="128"/>
      <c r="BD255" s="170">
        <f t="shared" si="52"/>
        <v>0</v>
      </c>
      <c r="BE255" s="170">
        <f t="shared" si="53"/>
        <v>0</v>
      </c>
      <c r="BF255" s="170">
        <f t="shared" si="54"/>
        <v>0</v>
      </c>
      <c r="BG255" s="170">
        <f t="shared" si="55"/>
        <v>0</v>
      </c>
      <c r="BH255" s="170">
        <f t="shared" si="56"/>
        <v>0</v>
      </c>
      <c r="BI255" s="170">
        <f t="shared" si="57"/>
        <v>0</v>
      </c>
      <c r="BJ255" s="170">
        <f t="shared" si="58"/>
        <v>0</v>
      </c>
      <c r="BK255" s="170">
        <f t="shared" si="59"/>
        <v>0</v>
      </c>
      <c r="BL255" s="170">
        <f t="shared" si="60"/>
        <v>0</v>
      </c>
      <c r="BM255" s="170">
        <f t="shared" si="61"/>
        <v>0</v>
      </c>
      <c r="BN255" s="195"/>
      <c r="BO255" s="195"/>
      <c r="BP255" s="195"/>
      <c r="BS255" s="694" t="s">
        <v>1282</v>
      </c>
    </row>
    <row r="256" spans="2:75" ht="14.25" customHeight="1">
      <c r="E256" s="505">
        <v>15</v>
      </c>
      <c r="F256" s="3" t="str" cm="1">
        <f t="array" aca="1" ref="F256" ca="1">OFFSET(E256,-1,1)</f>
        <v>1</v>
      </c>
      <c r="I256" s="72" t="s">
        <v>2129</v>
      </c>
      <c r="K256" s="72" t="s">
        <v>2129</v>
      </c>
      <c r="L256" s="25" t="s">
        <v>948</v>
      </c>
      <c r="M256" s="25"/>
      <c r="T256" s="351" t="b" cm="1">
        <f t="array" aca="1" ref="T256" ca="1">T255</f>
        <v>1</v>
      </c>
      <c r="X256" s="1024"/>
      <c r="Z256" s="1008"/>
      <c r="AB256" s="133" t="s">
        <v>2130</v>
      </c>
      <c r="AC256" s="134" t="s">
        <v>2131</v>
      </c>
      <c r="AD256" s="7" t="s">
        <v>859</v>
      </c>
      <c r="AE256" s="128"/>
      <c r="AF256" s="128"/>
      <c r="AG256" s="128"/>
      <c r="AH256" s="170">
        <f t="shared" si="50"/>
        <v>0</v>
      </c>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70">
        <f t="shared" si="52"/>
        <v>0</v>
      </c>
      <c r="BE256" s="170">
        <f t="shared" si="53"/>
        <v>0</v>
      </c>
      <c r="BF256" s="170">
        <f t="shared" si="54"/>
        <v>0</v>
      </c>
      <c r="BG256" s="170">
        <f t="shared" si="55"/>
        <v>0</v>
      </c>
      <c r="BH256" s="170">
        <f t="shared" si="56"/>
        <v>0</v>
      </c>
      <c r="BI256" s="170">
        <f t="shared" si="57"/>
        <v>0</v>
      </c>
      <c r="BJ256" s="170">
        <f t="shared" si="58"/>
        <v>0</v>
      </c>
      <c r="BK256" s="170">
        <f t="shared" si="59"/>
        <v>0</v>
      </c>
      <c r="BL256" s="170">
        <f t="shared" si="60"/>
        <v>0</v>
      </c>
      <c r="BM256" s="170">
        <f t="shared" si="61"/>
        <v>0</v>
      </c>
      <c r="BN256" s="195"/>
      <c r="BO256" s="195"/>
      <c r="BP256" s="195"/>
      <c r="BS256" s="694" t="s">
        <v>2132</v>
      </c>
    </row>
    <row r="257" spans="1:75" ht="21.75" customHeight="1">
      <c r="E257" s="505">
        <v>22.5</v>
      </c>
      <c r="F257" s="3" t="str" cm="1">
        <f t="array" aca="1" ref="F257" ca="1">OFFSET(E257,-1,1)</f>
        <v>1</v>
      </c>
      <c r="G257" s="72" t="s">
        <v>1521</v>
      </c>
      <c r="I257" s="72" t="s">
        <v>2133</v>
      </c>
      <c r="K257" s="72" t="s">
        <v>2133</v>
      </c>
      <c r="L257" s="25"/>
      <c r="M257" s="25"/>
      <c r="T257" s="351" t="b" cm="1">
        <f t="array" aca="1" ref="T257" ca="1">T256</f>
        <v>1</v>
      </c>
      <c r="X257" s="1024"/>
      <c r="Z257" s="1008"/>
      <c r="AB257" s="133" t="s">
        <v>1585</v>
      </c>
      <c r="AC257" s="127" t="s">
        <v>2134</v>
      </c>
      <c r="AD257" s="7" t="s">
        <v>859</v>
      </c>
      <c r="AE257" s="128"/>
      <c r="AF257" s="128"/>
      <c r="AG257" s="128"/>
      <c r="AH257" s="170">
        <f t="shared" si="50"/>
        <v>0</v>
      </c>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c r="BC257" s="128"/>
      <c r="BD257" s="170">
        <f t="shared" si="52"/>
        <v>0</v>
      </c>
      <c r="BE257" s="170">
        <f t="shared" si="53"/>
        <v>0</v>
      </c>
      <c r="BF257" s="170">
        <f t="shared" si="54"/>
        <v>0</v>
      </c>
      <c r="BG257" s="170">
        <f t="shared" si="55"/>
        <v>0</v>
      </c>
      <c r="BH257" s="170">
        <f t="shared" si="56"/>
        <v>0</v>
      </c>
      <c r="BI257" s="170">
        <f t="shared" si="57"/>
        <v>0</v>
      </c>
      <c r="BJ257" s="170">
        <f t="shared" si="58"/>
        <v>0</v>
      </c>
      <c r="BK257" s="170">
        <f t="shared" si="59"/>
        <v>0</v>
      </c>
      <c r="BL257" s="170">
        <f t="shared" si="60"/>
        <v>0</v>
      </c>
      <c r="BM257" s="170">
        <f t="shared" si="61"/>
        <v>0</v>
      </c>
      <c r="BN257" s="195"/>
      <c r="BO257" s="195"/>
      <c r="BP257" s="195"/>
      <c r="BS257" s="694" t="s">
        <v>2135</v>
      </c>
    </row>
    <row r="258" spans="1:75" s="903" customFormat="1" ht="20.25" customHeight="1">
      <c r="A258" s="76"/>
      <c r="B258" s="331"/>
      <c r="C258" s="76"/>
      <c r="D258" s="76"/>
      <c r="E258" s="509">
        <v>21</v>
      </c>
      <c r="F258" s="3" t="str" cm="1">
        <f t="array" aca="1" ref="F258" ca="1">OFFSET(E258,-1,1)</f>
        <v>1</v>
      </c>
      <c r="G258" s="72" t="s">
        <v>2136</v>
      </c>
      <c r="H258" s="72"/>
      <c r="I258" s="72" t="s">
        <v>323</v>
      </c>
      <c r="J258" s="76"/>
      <c r="K258" s="72" t="s">
        <v>323</v>
      </c>
      <c r="L258" s="27" t="s">
        <v>1378</v>
      </c>
      <c r="M258" s="27"/>
      <c r="N258" s="76"/>
      <c r="O258" s="76"/>
      <c r="P258" s="76"/>
      <c r="Q258" s="76"/>
      <c r="R258" s="76"/>
      <c r="S258" s="76"/>
      <c r="T258" s="351" t="b" cm="1">
        <f t="array" aca="1" ref="T258" ca="1">T257</f>
        <v>1</v>
      </c>
      <c r="U258" s="76"/>
      <c r="V258" s="76"/>
      <c r="W258" s="76"/>
      <c r="X258" s="1024"/>
      <c r="Y258" s="76"/>
      <c r="Z258" s="1008"/>
      <c r="AA258" s="76"/>
      <c r="AB258" s="131" t="s">
        <v>319</v>
      </c>
      <c r="AC258" s="125" t="s">
        <v>2137</v>
      </c>
      <c r="AD258" s="124" t="s">
        <v>859</v>
      </c>
      <c r="AE258" s="126">
        <f ca="1">SUMIFS(ЭЭ!AE$25:AE$74,ЭЭ!$F$25:$F$74,$F258,ЭЭ!$AC$25:$AC$74,"Всего по тарифу")</f>
        <v>4821.1499999999996</v>
      </c>
      <c r="AF258" s="126">
        <f ca="1">SUMIFS(ЭЭ!AF$25:AF$74,ЭЭ!$F$25:$F$74,$F258,ЭЭ!$AC$25:$AC$74,"Всего по тарифу")</f>
        <v>11407.5</v>
      </c>
      <c r="AG258" s="126">
        <f ca="1">SUMIFS(ЭЭ!AG$25:AG$74,ЭЭ!$F$25:$F$74,$F258,ЭЭ!$AC$25:$AC$74,"Всего по тарифу")</f>
        <v>11407.5</v>
      </c>
      <c r="AH258" s="126">
        <f t="shared" ca="1" si="50"/>
        <v>0</v>
      </c>
      <c r="AI258" s="126">
        <f ca="1">SUMIFS(ЭЭ!AH$25:AH$74,ЭЭ!$F$25:$F$74,$F258,ЭЭ!$AC$25:$AC$74,"Всего по тарифу")</f>
        <v>99499.73</v>
      </c>
      <c r="AJ258" s="126">
        <f ca="1">SUMIFS(ЭЭ!AI$25:AI$74,ЭЭ!$F$25:$F$74,$F258,ЭЭ!$AC$25:$AC$74,"Всего по тарифу")</f>
        <v>116563.89</v>
      </c>
      <c r="AK258" s="126">
        <f ca="1">SUMIFS(ЭЭ!AJ$25:AJ$74,ЭЭ!$F$25:$F$74,$F258,ЭЭ!$AC$25:$AC$74,"Всего по тарифу")</f>
        <v>127171.20999999999</v>
      </c>
      <c r="AL258" s="126">
        <f ca="1">SUMIFS(ЭЭ!AK$25:AK$74,ЭЭ!$F$25:$F$74,$F258,ЭЭ!$AC$25:$AC$74,"Всего по тарифу")</f>
        <v>133402.6</v>
      </c>
      <c r="AM258" s="126">
        <f ca="1">SUMIFS(ЭЭ!AL$25:AL$74,ЭЭ!$F$25:$F$74,$F258,ЭЭ!$AC$25:$AC$74,"Всего по тарифу")</f>
        <v>0</v>
      </c>
      <c r="AN258" s="126">
        <f ca="1">SUMIFS(ЭЭ!AM$25:AM$74,ЭЭ!$F$25:$F$74,$F258,ЭЭ!$AC$25:$AC$74,"Всего по тарифу")</f>
        <v>0</v>
      </c>
      <c r="AO258" s="126">
        <f ca="1">SUMIFS(ЭЭ!AN$25:AN$74,ЭЭ!$F$25:$F$74,$F258,ЭЭ!$AC$25:$AC$74,"Всего по тарифу")</f>
        <v>0</v>
      </c>
      <c r="AP258" s="126">
        <f ca="1">SUMIFS(ЭЭ!AO$25:AO$74,ЭЭ!$F$25:$F$74,$F258,ЭЭ!$AC$25:$AC$74,"Всего по тарифу")</f>
        <v>0</v>
      </c>
      <c r="AQ258" s="126">
        <f ca="1">SUMIFS(ЭЭ!AP$25:AP$74,ЭЭ!$F$25:$F$74,$F258,ЭЭ!$AC$25:$AC$74,"Всего по тарифу")</f>
        <v>0</v>
      </c>
      <c r="AR258" s="126">
        <f ca="1">SUMIFS(ЭЭ!AQ$25:AQ$74,ЭЭ!$F$25:$F$74,$F258,ЭЭ!$AC$25:$AC$74,"Всего по тарифу")</f>
        <v>0</v>
      </c>
      <c r="AS258" s="126">
        <f ca="1">SUMIFS(ЭЭ!AR$25:AR$74,ЭЭ!$F$25:$F$74,$F258,ЭЭ!$AC$25:$AC$74,"Всего по тарифу")</f>
        <v>0</v>
      </c>
      <c r="AT258" s="126">
        <f ca="1">SUMIFS(ЭЭ!AS$25:AS$74,ЭЭ!$F$25:$F$74,$F258,ЭЭ!$AC$25:$AC$74,"Всего по тарифу")</f>
        <v>116149.25</v>
      </c>
      <c r="AU258" s="126">
        <f ca="1">SUMIFS(ЭЭ!AT$25:AT$74,ЭЭ!$F$25:$F$74,$F258,ЭЭ!$AC$25:$AC$74,"Всего по тарифу")</f>
        <v>126718.84</v>
      </c>
      <c r="AV258" s="126">
        <f ca="1">SUMIFS(ЭЭ!AU$25:AU$74,ЭЭ!$F$25:$F$74,$F258,ЭЭ!$AC$25:$AC$74,"Всего по тарифу")</f>
        <v>132928.06</v>
      </c>
      <c r="AW258" s="126">
        <f ca="1">SUMIFS(ЭЭ!AV$25:AV$74,ЭЭ!$F$25:$F$74,$F258,ЭЭ!$AC$25:$AC$74,"Всего по тарифу")</f>
        <v>0</v>
      </c>
      <c r="AX258" s="126">
        <f ca="1">SUMIFS(ЭЭ!AW$25:AW$74,ЭЭ!$F$25:$F$74,$F258,ЭЭ!$AC$25:$AC$74,"Всего по тарифу")</f>
        <v>0</v>
      </c>
      <c r="AY258" s="126">
        <f ca="1">SUMIFS(ЭЭ!AX$25:AX$74,ЭЭ!$F$25:$F$74,$F258,ЭЭ!$AC$25:$AC$74,"Всего по тарифу")</f>
        <v>0</v>
      </c>
      <c r="AZ258" s="126">
        <f ca="1">SUMIFS(ЭЭ!AY$25:AY$74,ЭЭ!$F$25:$F$74,$F258,ЭЭ!$AC$25:$AC$74,"Всего по тарифу")</f>
        <v>0</v>
      </c>
      <c r="BA258" s="126">
        <f ca="1">SUMIFS(ЭЭ!AZ$25:AZ$74,ЭЭ!$F$25:$F$74,$F258,ЭЭ!$AC$25:$AC$74,"Всего по тарифу")</f>
        <v>0</v>
      </c>
      <c r="BB258" s="126">
        <f ca="1">SUMIFS(ЭЭ!BA$25:BA$74,ЭЭ!$F$25:$F$74,$F258,ЭЭ!$AC$25:$AC$74,"Всего по тарифу")</f>
        <v>0</v>
      </c>
      <c r="BC258" s="126">
        <f ca="1">SUMIFS(ЭЭ!BB$25:BB$74,ЭЭ!$F$25:$F$74,$F258,ЭЭ!$AC$25:$AC$74,"Всего по тарифу")</f>
        <v>0</v>
      </c>
      <c r="BD258" s="126">
        <f t="shared" ca="1" si="52"/>
        <v>16.733231336406647</v>
      </c>
      <c r="BE258" s="126">
        <f t="shared" ca="1" si="53"/>
        <v>9.1000071029300642</v>
      </c>
      <c r="BF258" s="126">
        <f t="shared" ca="1" si="54"/>
        <v>4.8999975062903047</v>
      </c>
      <c r="BG258" s="126">
        <f t="shared" ca="1" si="55"/>
        <v>-100</v>
      </c>
      <c r="BH258" s="126">
        <f t="shared" ca="1" si="56"/>
        <v>0</v>
      </c>
      <c r="BI258" s="126">
        <f t="shared" ca="1" si="57"/>
        <v>0</v>
      </c>
      <c r="BJ258" s="126">
        <f t="shared" ca="1" si="58"/>
        <v>0</v>
      </c>
      <c r="BK258" s="126">
        <f t="shared" ca="1" si="59"/>
        <v>0</v>
      </c>
      <c r="BL258" s="126">
        <f t="shared" ca="1" si="60"/>
        <v>0</v>
      </c>
      <c r="BM258" s="126">
        <f t="shared" ca="1" si="61"/>
        <v>0</v>
      </c>
      <c r="BN258" s="195"/>
      <c r="BO258" s="599" t="str">
        <f ca="1">IF(IFERROR(INDEX(ЭЭ!$K$26:$L$74,MATCH($F258&amp;"komm",ЭЭ!$K$26:$K$74,0),2),"")=0,"",IFERROR(INDEX(ЭЭ!$K$26:$L$74,MATCH($F258&amp;"komm",ЭЭ!$K$26:$K$74,0),2),""))</f>
        <v>1) Пункты 22 - 23 Основ ценообразования  2)  П. 16, 20, 33 Методических указаний ФСТ России № 1746-э.</v>
      </c>
      <c r="BP258" s="195"/>
      <c r="BQ258" s="76"/>
      <c r="BR258" s="76"/>
      <c r="BS258" s="700" t="s">
        <v>1751</v>
      </c>
      <c r="BT258" s="700"/>
      <c r="BU258" s="700"/>
      <c r="BV258" s="509"/>
      <c r="BW258" s="509"/>
    </row>
    <row r="259" spans="1:75" s="903" customFormat="1" ht="21.75" customHeight="1">
      <c r="A259" s="76"/>
      <c r="B259" s="76" t="b">
        <f>method_reg="Метод индексации"</f>
        <v>1</v>
      </c>
      <c r="C259" s="76"/>
      <c r="D259" s="76"/>
      <c r="E259" s="509">
        <v>22.5</v>
      </c>
      <c r="F259" s="3" t="str" cm="1">
        <f t="array" aca="1" ref="F259" ca="1">OFFSET(E259,-1,1)</f>
        <v>1</v>
      </c>
      <c r="G259" s="72" t="s">
        <v>1543</v>
      </c>
      <c r="H259" s="72"/>
      <c r="I259" s="72" t="s">
        <v>325</v>
      </c>
      <c r="J259" s="76"/>
      <c r="K259" s="72" t="s">
        <v>325</v>
      </c>
      <c r="L259" s="27" t="s">
        <v>324</v>
      </c>
      <c r="M259" s="27"/>
      <c r="N259" s="76"/>
      <c r="O259" s="76"/>
      <c r="P259" s="76"/>
      <c r="Q259" s="76"/>
      <c r="R259" s="76"/>
      <c r="S259" s="76"/>
      <c r="T259" s="351" t="b" cm="1">
        <f t="array" aca="1" ref="T259" ca="1">T258</f>
        <v>1</v>
      </c>
      <c r="U259" s="76"/>
      <c r="V259" s="76"/>
      <c r="W259" s="76"/>
      <c r="X259" s="1024"/>
      <c r="Y259" s="76"/>
      <c r="Z259" s="1008"/>
      <c r="AA259" s="76"/>
      <c r="AB259" s="131" t="s">
        <v>438</v>
      </c>
      <c r="AC259" s="125" t="s">
        <v>2138</v>
      </c>
      <c r="AD259" s="124" t="s">
        <v>859</v>
      </c>
      <c r="AE259" s="126">
        <f ca="1">SUMIFS(Амортизация!AE$25:AE$125,Амортизация!$F$25:$F$125,$F259,Амортизация!$AC$25:$AC$125,"Сумма амортизационных отчислений")</f>
        <v>0</v>
      </c>
      <c r="AF259" s="126">
        <f ca="1">SUMIFS(Амортизация!AF$25:AF$125,Амортизация!$F$25:$F$125,$F259,Амортизация!$AC$25:$AC$125,"Сумма амортизационных отчислений")</f>
        <v>0</v>
      </c>
      <c r="AG259" s="126">
        <f ca="1">SUMIFS(Амортизация!AG$25:AG$125,Амортизация!$F$25:$F$125,$F259,Амортизация!$AC$25:$AC$125,"Сумма амортизационных отчислений")</f>
        <v>0</v>
      </c>
      <c r="AH259" s="126">
        <f t="shared" ca="1" si="50"/>
        <v>0</v>
      </c>
      <c r="AI259" s="126">
        <f ca="1">SUMIFS(Амортизация!AH$25:AH$125,Амортизация!$F$25:$F$125,$F259,Амортизация!$AC$25:$AC$125,"Сумма амортизационных отчислений")</f>
        <v>0</v>
      </c>
      <c r="AJ259" s="126">
        <f ca="1">SUMIFS(Амортизация!AI$25:AI$125,Амортизация!$F$25:$F$125,$F259,Амортизация!$AC$25:$AC$125,"Сумма амортизационных отчислений")</f>
        <v>0</v>
      </c>
      <c r="AK259" s="126">
        <f ca="1">SUMIFS(Амортизация!AJ$25:AJ$125,Амортизация!$F$25:$F$125,$F259,Амортизация!$AC$25:$AC$125,"Сумма амортизационных отчислений")</f>
        <v>0</v>
      </c>
      <c r="AL259" s="126">
        <f ca="1">SUMIFS(Амортизация!AK$25:AK$125,Амортизация!$F$25:$F$125,$F259,Амортизация!$AC$25:$AC$125,"Сумма амортизационных отчислений")</f>
        <v>0</v>
      </c>
      <c r="AM259" s="126">
        <f ca="1">SUMIFS(Амортизация!AL$25:AL$125,Амортизация!$F$25:$F$125,$F259,Амортизация!$AC$25:$AC$125,"Сумма амортизационных отчислений")</f>
        <v>0</v>
      </c>
      <c r="AN259" s="126">
        <f ca="1">SUMIFS(Амортизация!AM$25:AM$125,Амортизация!$F$25:$F$125,$F259,Амортизация!$AC$25:$AC$125,"Сумма амортизационных отчислений")</f>
        <v>0</v>
      </c>
      <c r="AO259" s="126">
        <f ca="1">SUMIFS(Амортизация!AN$25:AN$125,Амортизация!$F$25:$F$125,$F259,Амортизация!$AC$25:$AC$125,"Сумма амортизационных отчислений")</f>
        <v>0</v>
      </c>
      <c r="AP259" s="126">
        <f ca="1">SUMIFS(Амортизация!AO$25:AO$125,Амортизация!$F$25:$F$125,$F259,Амортизация!$AC$25:$AC$125,"Сумма амортизационных отчислений")</f>
        <v>0</v>
      </c>
      <c r="AQ259" s="126">
        <f ca="1">SUMIFS(Амортизация!AP$25:AP$125,Амортизация!$F$25:$F$125,$F259,Амортизация!$AC$25:$AC$125,"Сумма амортизационных отчислений")</f>
        <v>0</v>
      </c>
      <c r="AR259" s="126">
        <f ca="1">SUMIFS(Амортизация!AQ$25:AQ$125,Амортизация!$F$25:$F$125,$F259,Амортизация!$AC$25:$AC$125,"Сумма амортизационных отчислений")</f>
        <v>0</v>
      </c>
      <c r="AS259" s="126">
        <f ca="1">SUMIFS(Амортизация!AR$25:AR$125,Амортизация!$F$25:$F$125,$F259,Амортизация!$AC$25:$AC$125,"Сумма амортизационных отчислений")</f>
        <v>0</v>
      </c>
      <c r="AT259" s="126">
        <f ca="1">SUMIFS(Амортизация!AS$25:AS$125,Амортизация!$F$25:$F$125,$F259,Амортизация!$AC$25:$AC$125,"Сумма амортизационных отчислений")</f>
        <v>0</v>
      </c>
      <c r="AU259" s="126">
        <f ca="1">SUMIFS(Амортизация!AT$25:AT$125,Амортизация!$F$25:$F$125,$F259,Амортизация!$AC$25:$AC$125,"Сумма амортизационных отчислений")</f>
        <v>0</v>
      </c>
      <c r="AV259" s="126">
        <f ca="1">SUMIFS(Амортизация!AU$25:AU$125,Амортизация!$F$25:$F$125,$F259,Амортизация!$AC$25:$AC$125,"Сумма амортизационных отчислений")</f>
        <v>0</v>
      </c>
      <c r="AW259" s="126">
        <f ca="1">SUMIFS(Амортизация!AV$25:AV$125,Амортизация!$F$25:$F$125,$F259,Амортизация!$AC$25:$AC$125,"Сумма амортизационных отчислений")</f>
        <v>0</v>
      </c>
      <c r="AX259" s="126">
        <f ca="1">SUMIFS(Амортизация!AW$25:AW$125,Амортизация!$F$25:$F$125,$F259,Амортизация!$AC$25:$AC$125,"Сумма амортизационных отчислений")</f>
        <v>0</v>
      </c>
      <c r="AY259" s="126">
        <f ca="1">SUMIFS(Амортизация!AX$25:AX$125,Амортизация!$F$25:$F$125,$F259,Амортизация!$AC$25:$AC$125,"Сумма амортизационных отчислений")</f>
        <v>0</v>
      </c>
      <c r="AZ259" s="126">
        <f ca="1">SUMIFS(Амортизация!AY$25:AY$125,Амортизация!$F$25:$F$125,$F259,Амортизация!$AC$25:$AC$125,"Сумма амортизационных отчислений")</f>
        <v>0</v>
      </c>
      <c r="BA259" s="126">
        <f ca="1">SUMIFS(Амортизация!AZ$25:AZ$125,Амортизация!$F$25:$F$125,$F259,Амортизация!$AC$25:$AC$125,"Сумма амортизационных отчислений")</f>
        <v>0</v>
      </c>
      <c r="BB259" s="126">
        <f ca="1">SUMIFS(Амортизация!BA$25:BA$125,Амортизация!$F$25:$F$125,$F259,Амортизация!$AC$25:$AC$125,"Сумма амортизационных отчислений")</f>
        <v>0</v>
      </c>
      <c r="BC259" s="126">
        <f ca="1">SUMIFS(Амортизация!BB$25:BB$125,Амортизация!$F$25:$F$125,$F259,Амортизация!$AC$25:$AC$125,"Сумма амортизационных отчислений")</f>
        <v>0</v>
      </c>
      <c r="BD259" s="126">
        <f t="shared" ca="1" si="52"/>
        <v>0</v>
      </c>
      <c r="BE259" s="126">
        <f t="shared" ca="1" si="53"/>
        <v>0</v>
      </c>
      <c r="BF259" s="126">
        <f t="shared" ca="1" si="54"/>
        <v>0</v>
      </c>
      <c r="BG259" s="126">
        <f t="shared" ca="1" si="55"/>
        <v>0</v>
      </c>
      <c r="BH259" s="126">
        <f t="shared" ca="1" si="56"/>
        <v>0</v>
      </c>
      <c r="BI259" s="126">
        <f t="shared" ca="1" si="57"/>
        <v>0</v>
      </c>
      <c r="BJ259" s="126">
        <f t="shared" ca="1" si="58"/>
        <v>0</v>
      </c>
      <c r="BK259" s="126">
        <f t="shared" ca="1" si="59"/>
        <v>0</v>
      </c>
      <c r="BL259" s="126">
        <f t="shared" ca="1" si="60"/>
        <v>0</v>
      </c>
      <c r="BM259" s="126">
        <f t="shared" ca="1" si="61"/>
        <v>0</v>
      </c>
      <c r="BN259" s="195"/>
      <c r="BO259" s="599" t="str">
        <f ca="1">IF(IFERROR(INDEX(Амортизация!$K$26:$L$125,MATCH($F259&amp;"komm",Амортизация!$K$26:$K$125,0),2),"")=0,"",IFERROR(INDEX(Амортизация!$K$26:$L$125,MATCH($F259&amp;"komm",Амортизация!$K$26:$K$125,0),2),""))</f>
        <v/>
      </c>
      <c r="BP259" s="195"/>
      <c r="BQ259" s="76"/>
      <c r="BR259" s="76"/>
      <c r="BS259" s="700" t="s">
        <v>1242</v>
      </c>
      <c r="BT259" s="700"/>
      <c r="BU259" s="700"/>
      <c r="BV259" s="509"/>
      <c r="BW259" s="509"/>
    </row>
    <row r="260" spans="1:75" ht="14.25" customHeight="1">
      <c r="B260" s="328" t="b" cm="1">
        <f t="array" ref="B260">B259</f>
        <v>1</v>
      </c>
      <c r="E260" s="505">
        <v>15</v>
      </c>
      <c r="F260" s="3" t="str" cm="1">
        <f t="array" aca="1" ref="F260" ca="1">OFFSET(E260,-1,1)</f>
        <v>1</v>
      </c>
      <c r="I260" s="72" t="s">
        <v>587</v>
      </c>
      <c r="K260" s="72" t="s">
        <v>587</v>
      </c>
      <c r="L260" s="25" t="s">
        <v>601</v>
      </c>
      <c r="M260" s="25"/>
      <c r="T260" s="351" t="b" cm="1">
        <f t="array" aca="1" ref="T260" ca="1">T259</f>
        <v>1</v>
      </c>
      <c r="X260" s="1024"/>
      <c r="Z260" s="1008"/>
      <c r="AB260" s="133" t="s">
        <v>722</v>
      </c>
      <c r="AC260" s="127" t="s">
        <v>1844</v>
      </c>
      <c r="AD260" s="7" t="s">
        <v>859</v>
      </c>
      <c r="AE260" s="128">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28">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28">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70">
        <f t="shared" ca="1" si="50"/>
        <v>0</v>
      </c>
      <c r="AI260" s="128">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28">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28">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28">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28">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28">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28">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28">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28">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28">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28">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28">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28">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28">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28">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28">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28">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28">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28">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28">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28">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70">
        <f t="shared" ca="1" si="52"/>
        <v>0</v>
      </c>
      <c r="BE260" s="170">
        <f t="shared" ca="1" si="53"/>
        <v>0</v>
      </c>
      <c r="BF260" s="170">
        <f t="shared" ca="1" si="54"/>
        <v>0</v>
      </c>
      <c r="BG260" s="170">
        <f t="shared" ca="1" si="55"/>
        <v>0</v>
      </c>
      <c r="BH260" s="170">
        <f t="shared" ca="1" si="56"/>
        <v>0</v>
      </c>
      <c r="BI260" s="170">
        <f t="shared" ca="1" si="57"/>
        <v>0</v>
      </c>
      <c r="BJ260" s="170">
        <f t="shared" ca="1" si="58"/>
        <v>0</v>
      </c>
      <c r="BK260" s="170">
        <f t="shared" ca="1" si="59"/>
        <v>0</v>
      </c>
      <c r="BL260" s="170">
        <f t="shared" ca="1" si="60"/>
        <v>0</v>
      </c>
      <c r="BM260" s="170">
        <f t="shared" ca="1" si="61"/>
        <v>0</v>
      </c>
      <c r="BN260" s="195"/>
      <c r="BO260" s="195"/>
      <c r="BP260" s="195"/>
      <c r="BS260" s="694" t="s">
        <v>1845</v>
      </c>
    </row>
    <row r="261" spans="1:75" s="903" customFormat="1" ht="20.25" customHeight="1">
      <c r="A261" s="76"/>
      <c r="B261" s="328" t="b" cm="1">
        <f t="array" ref="B261">B260</f>
        <v>1</v>
      </c>
      <c r="C261" s="76"/>
      <c r="D261" s="76"/>
      <c r="E261" s="509">
        <v>21</v>
      </c>
      <c r="F261" s="3" t="str" cm="1">
        <f t="array" aca="1" ref="F261" ca="1">OFFSET(E261,-1,1)</f>
        <v>1</v>
      </c>
      <c r="G261" s="72" t="s">
        <v>1547</v>
      </c>
      <c r="H261" s="72"/>
      <c r="I261" s="72" t="s">
        <v>324</v>
      </c>
      <c r="J261" s="76"/>
      <c r="K261" s="72" t="s">
        <v>324</v>
      </c>
      <c r="L261" s="27" t="s">
        <v>613</v>
      </c>
      <c r="M261" s="27"/>
      <c r="N261" s="76"/>
      <c r="O261" s="76"/>
      <c r="P261" s="76"/>
      <c r="Q261" s="76"/>
      <c r="R261" s="76"/>
      <c r="S261" s="76"/>
      <c r="T261" s="351" t="b" cm="1">
        <f t="array" aca="1" ref="T261" ca="1">T260</f>
        <v>1</v>
      </c>
      <c r="U261" s="76"/>
      <c r="V261" s="76"/>
      <c r="W261" s="76"/>
      <c r="X261" s="1024"/>
      <c r="Y261" s="76"/>
      <c r="Z261" s="1008"/>
      <c r="AA261" s="76"/>
      <c r="AB261" s="131" t="s">
        <v>440</v>
      </c>
      <c r="AC261" s="125" t="s">
        <v>1547</v>
      </c>
      <c r="AD261" s="147" t="s">
        <v>859</v>
      </c>
      <c r="AE261" s="126">
        <f ca="1">AE262+AE263+AE264+AE265</f>
        <v>0</v>
      </c>
      <c r="AF261" s="126">
        <f ca="1">AF262+AF263+AF264+AF265</f>
        <v>0</v>
      </c>
      <c r="AG261" s="126">
        <f ca="1">AG262+AG263+AG264+AG265</f>
        <v>0</v>
      </c>
      <c r="AH261" s="126">
        <f t="shared" ca="1" si="50"/>
        <v>0</v>
      </c>
      <c r="AI261" s="126">
        <f t="shared" ref="AI261:BC261" ca="1" si="65">AI262+AI263+AI264+AI265</f>
        <v>0</v>
      </c>
      <c r="AJ261" s="126">
        <f t="shared" ca="1" si="65"/>
        <v>0</v>
      </c>
      <c r="AK261" s="126">
        <f t="shared" ca="1" si="65"/>
        <v>0</v>
      </c>
      <c r="AL261" s="126">
        <f t="shared" ca="1" si="65"/>
        <v>0</v>
      </c>
      <c r="AM261" s="126">
        <f t="shared" ca="1" si="65"/>
        <v>0</v>
      </c>
      <c r="AN261" s="126">
        <f t="shared" ca="1" si="65"/>
        <v>0</v>
      </c>
      <c r="AO261" s="126">
        <f t="shared" ca="1" si="65"/>
        <v>0</v>
      </c>
      <c r="AP261" s="126">
        <f t="shared" ca="1" si="65"/>
        <v>0</v>
      </c>
      <c r="AQ261" s="126">
        <f t="shared" ca="1" si="65"/>
        <v>0</v>
      </c>
      <c r="AR261" s="126">
        <f t="shared" ca="1" si="65"/>
        <v>0</v>
      </c>
      <c r="AS261" s="126">
        <f t="shared" ca="1" si="65"/>
        <v>0</v>
      </c>
      <c r="AT261" s="126">
        <f t="shared" ca="1" si="65"/>
        <v>0</v>
      </c>
      <c r="AU261" s="126">
        <f t="shared" ca="1" si="65"/>
        <v>0</v>
      </c>
      <c r="AV261" s="126">
        <f t="shared" ca="1" si="65"/>
        <v>0</v>
      </c>
      <c r="AW261" s="126">
        <f t="shared" ca="1" si="65"/>
        <v>0</v>
      </c>
      <c r="AX261" s="126">
        <f t="shared" ca="1" si="65"/>
        <v>0</v>
      </c>
      <c r="AY261" s="126">
        <f t="shared" ca="1" si="65"/>
        <v>0</v>
      </c>
      <c r="AZ261" s="126">
        <f t="shared" ca="1" si="65"/>
        <v>0</v>
      </c>
      <c r="BA261" s="126">
        <f t="shared" ca="1" si="65"/>
        <v>0</v>
      </c>
      <c r="BB261" s="126">
        <f t="shared" ca="1" si="65"/>
        <v>0</v>
      </c>
      <c r="BC261" s="126">
        <f t="shared" ca="1" si="65"/>
        <v>0</v>
      </c>
      <c r="BD261" s="126">
        <f t="shared" ca="1" si="52"/>
        <v>0</v>
      </c>
      <c r="BE261" s="126">
        <f t="shared" ca="1" si="53"/>
        <v>0</v>
      </c>
      <c r="BF261" s="126">
        <f t="shared" ca="1" si="54"/>
        <v>0</v>
      </c>
      <c r="BG261" s="126">
        <f t="shared" ca="1" si="55"/>
        <v>0</v>
      </c>
      <c r="BH261" s="126">
        <f t="shared" ca="1" si="56"/>
        <v>0</v>
      </c>
      <c r="BI261" s="126">
        <f t="shared" ca="1" si="57"/>
        <v>0</v>
      </c>
      <c r="BJ261" s="126">
        <f t="shared" ca="1" si="58"/>
        <v>0</v>
      </c>
      <c r="BK261" s="126">
        <f t="shared" ca="1" si="59"/>
        <v>0</v>
      </c>
      <c r="BL261" s="126">
        <f t="shared" ca="1" si="60"/>
        <v>0</v>
      </c>
      <c r="BM261" s="126">
        <f t="shared" ca="1" si="61"/>
        <v>0</v>
      </c>
      <c r="BN261" s="195"/>
      <c r="BO261" s="195"/>
      <c r="BP261" s="195"/>
      <c r="BQ261" s="76"/>
      <c r="BR261" s="76"/>
      <c r="BS261" s="693" t="s">
        <v>1551</v>
      </c>
      <c r="BT261" s="700"/>
      <c r="BU261" s="700"/>
      <c r="BV261" s="509"/>
      <c r="BW261" s="509"/>
    </row>
    <row r="262" spans="1:75" ht="14.25" customHeight="1">
      <c r="B262" s="328" t="b" cm="1">
        <f t="array" ref="B262">B261</f>
        <v>1</v>
      </c>
      <c r="E262" s="505">
        <v>15</v>
      </c>
      <c r="F262" s="3" t="str" cm="1">
        <f t="array" aca="1" ref="F262" ca="1">OFFSET(E262,-1,1)</f>
        <v>1</v>
      </c>
      <c r="I262" s="72" t="s">
        <v>601</v>
      </c>
      <c r="K262" s="72" t="s">
        <v>601</v>
      </c>
      <c r="L262" s="25"/>
      <c r="M262" s="25"/>
      <c r="T262" s="351" t="b" cm="1">
        <f t="array" aca="1" ref="T262" ca="1">T261</f>
        <v>1</v>
      </c>
      <c r="X262" s="1024"/>
      <c r="Z262" s="1008"/>
      <c r="AB262" s="133" t="s">
        <v>729</v>
      </c>
      <c r="AC262" s="127" t="s">
        <v>2139</v>
      </c>
      <c r="AD262" s="7" t="s">
        <v>859</v>
      </c>
      <c r="AE262" s="128">
        <f ca="1">SUMIFS('ИП + источники'!AF$27:AF$87,'ИП + источники'!$F$27:$F$87,$F262,'ИП + источники'!$AC$27:$AC$87,"погашение займов и кредитов из нормативной прибыли")</f>
        <v>0</v>
      </c>
      <c r="AF262" s="128">
        <f ca="1">SUMIFS('ИП + источники'!AG$27:AG$87,'ИП + источники'!$F$27:$F$87,$F262,'ИП + источники'!$AC$27:$AC$87,"погашение займов и кредитов из нормативной прибыли")</f>
        <v>0</v>
      </c>
      <c r="AG262" s="128">
        <f ca="1">SUMIFS('ИП + источники'!AH$27:AH$87,'ИП + источники'!$F$27:$F$87,$F262,'ИП + источники'!$AC$27:$AC$87,"погашение займов и кредитов из нормативной прибыли")</f>
        <v>0</v>
      </c>
      <c r="AH262" s="170">
        <f t="shared" ca="1" si="50"/>
        <v>0</v>
      </c>
      <c r="AI262" s="128">
        <f ca="1">SUMIFS('ИП + источники'!AJ$27:AJ$87,'ИП + источники'!$F$27:$F$87,$F262,'ИП + источники'!$AC$27:$AC$87,"погашение займов и кредитов из нормативной прибыли")</f>
        <v>0</v>
      </c>
      <c r="AJ262" s="128">
        <f ca="1">SUMIFS('ИП + источники'!AK$27:AK$87,'ИП + источники'!$F$27:$F$87,$F262,'ИП + источники'!$AC$27:$AC$87,"погашение займов и кредитов из нормативной прибыли")</f>
        <v>0</v>
      </c>
      <c r="AK262" s="128">
        <f ca="1">SUMIFS('ИП + источники'!AL$27:AL$87,'ИП + источники'!$F$27:$F$87,$F262,'ИП + источники'!$AC$27:$AC$87,"погашение займов и кредитов из нормативной прибыли")</f>
        <v>0</v>
      </c>
      <c r="AL262" s="128">
        <f ca="1">SUMIFS('ИП + источники'!AM$27:AM$87,'ИП + источники'!$F$27:$F$87,$F262,'ИП + источники'!$AC$27:$AC$87,"погашение займов и кредитов из нормативной прибыли")</f>
        <v>0</v>
      </c>
      <c r="AM262" s="128">
        <f ca="1">SUMIFS('ИП + источники'!AN$27:AN$87,'ИП + источники'!$F$27:$F$87,$F262,'ИП + источники'!$AC$27:$AC$87,"погашение займов и кредитов из нормативной прибыли")</f>
        <v>0</v>
      </c>
      <c r="AN262" s="128">
        <f ca="1">SUMIFS('ИП + источники'!AO$27:AO$87,'ИП + источники'!$F$27:$F$87,$F262,'ИП + источники'!$AC$27:$AC$87,"погашение займов и кредитов из нормативной прибыли")</f>
        <v>0</v>
      </c>
      <c r="AO262" s="128">
        <f ca="1">SUMIFS('ИП + источники'!AP$27:AP$87,'ИП + источники'!$F$27:$F$87,$F262,'ИП + источники'!$AC$27:$AC$87,"погашение займов и кредитов из нормативной прибыли")</f>
        <v>0</v>
      </c>
      <c r="AP262" s="128">
        <f ca="1">SUMIFS('ИП + источники'!AQ$27:AQ$87,'ИП + источники'!$F$27:$F$87,$F262,'ИП + источники'!$AC$27:$AC$87,"погашение займов и кредитов из нормативной прибыли")</f>
        <v>0</v>
      </c>
      <c r="AQ262" s="128">
        <f ca="1">SUMIFS('ИП + источники'!AR$27:AR$87,'ИП + источники'!$F$27:$F$87,$F262,'ИП + источники'!$AC$27:$AC$87,"погашение займов и кредитов из нормативной прибыли")</f>
        <v>0</v>
      </c>
      <c r="AR262" s="128">
        <f ca="1">SUMIFS('ИП + источники'!AS$27:AS$87,'ИП + источники'!$F$27:$F$87,$F262,'ИП + источники'!$AC$27:$AC$87,"погашение займов и кредитов из нормативной прибыли")</f>
        <v>0</v>
      </c>
      <c r="AS262" s="128">
        <f ca="1">SUMIFS('ИП + источники'!AT$27:AT$87,'ИП + источники'!$F$27:$F$87,$F262,'ИП + источники'!$AC$27:$AC$87,"погашение займов и кредитов из нормативной прибыли")</f>
        <v>0</v>
      </c>
      <c r="AT262" s="128">
        <f ca="1">SUMIFS('ИП + источники'!AU$27:AU$87,'ИП + источники'!$F$27:$F$87,$F262,'ИП + источники'!$AC$27:$AC$87,"погашение займов и кредитов из нормативной прибыли")</f>
        <v>0</v>
      </c>
      <c r="AU262" s="128">
        <f ca="1">SUMIFS('ИП + источники'!AV$27:AV$87,'ИП + источники'!$F$27:$F$87,$F262,'ИП + источники'!$AC$27:$AC$87,"погашение займов и кредитов из нормативной прибыли")</f>
        <v>0</v>
      </c>
      <c r="AV262" s="128">
        <f ca="1">SUMIFS('ИП + источники'!AW$27:AW$87,'ИП + источники'!$F$27:$F$87,$F262,'ИП + источники'!$AC$27:$AC$87,"погашение займов и кредитов из нормативной прибыли")</f>
        <v>0</v>
      </c>
      <c r="AW262" s="128">
        <f ca="1">SUMIFS('ИП + источники'!AX$27:AX$87,'ИП + источники'!$F$27:$F$87,$F262,'ИП + источники'!$AC$27:$AC$87,"погашение займов и кредитов из нормативной прибыли")</f>
        <v>0</v>
      </c>
      <c r="AX262" s="128">
        <f ca="1">SUMIFS('ИП + источники'!AY$27:AY$87,'ИП + источники'!$F$27:$F$87,$F262,'ИП + источники'!$AC$27:$AC$87,"погашение займов и кредитов из нормативной прибыли")</f>
        <v>0</v>
      </c>
      <c r="AY262" s="128">
        <f ca="1">SUMIFS('ИП + источники'!AZ$27:AZ$87,'ИП + источники'!$F$27:$F$87,$F262,'ИП + источники'!$AC$27:$AC$87,"погашение займов и кредитов из нормативной прибыли")</f>
        <v>0</v>
      </c>
      <c r="AZ262" s="128">
        <f ca="1">SUMIFS('ИП + источники'!BA$27:BA$87,'ИП + источники'!$F$27:$F$87,$F262,'ИП + источники'!$AC$27:$AC$87,"погашение займов и кредитов из нормативной прибыли")</f>
        <v>0</v>
      </c>
      <c r="BA262" s="128">
        <f ca="1">SUMIFS('ИП + источники'!BB$27:BB$87,'ИП + источники'!$F$27:$F$87,$F262,'ИП + источники'!$AC$27:$AC$87,"погашение займов и кредитов из нормативной прибыли")</f>
        <v>0</v>
      </c>
      <c r="BB262" s="128">
        <f ca="1">SUMIFS('ИП + источники'!BC$27:BC$87,'ИП + источники'!$F$27:$F$87,$F262,'ИП + источники'!$AC$27:$AC$87,"погашение займов и кредитов из нормативной прибыли")</f>
        <v>0</v>
      </c>
      <c r="BC262" s="128">
        <f ca="1">SUMIFS('ИП + источники'!BD$27:BD$87,'ИП + источники'!$F$27:$F$87,$F262,'ИП + источники'!$AC$27:$AC$87,"погашение займов и кредитов из нормативной прибыли")</f>
        <v>0</v>
      </c>
      <c r="BD262" s="170">
        <f t="shared" ca="1" si="52"/>
        <v>0</v>
      </c>
      <c r="BE262" s="170">
        <f t="shared" ca="1" si="53"/>
        <v>0</v>
      </c>
      <c r="BF262" s="170">
        <f t="shared" ca="1" si="54"/>
        <v>0</v>
      </c>
      <c r="BG262" s="170">
        <f t="shared" ca="1" si="55"/>
        <v>0</v>
      </c>
      <c r="BH262" s="170">
        <f t="shared" ca="1" si="56"/>
        <v>0</v>
      </c>
      <c r="BI262" s="170">
        <f t="shared" ca="1" si="57"/>
        <v>0</v>
      </c>
      <c r="BJ262" s="170">
        <f t="shared" ca="1" si="58"/>
        <v>0</v>
      </c>
      <c r="BK262" s="170">
        <f t="shared" ca="1" si="59"/>
        <v>0</v>
      </c>
      <c r="BL262" s="170">
        <f t="shared" ca="1" si="60"/>
        <v>0</v>
      </c>
      <c r="BM262" s="170">
        <f t="shared" ca="1" si="61"/>
        <v>0</v>
      </c>
      <c r="BN262" s="195"/>
      <c r="BO262" s="599" t="str">
        <f ca="1">IF(IFERROR(INDEX('ИП + источники'!$K$28:$L$87,MATCH($F262&amp;"2komm",'ИП + источники'!$K$28:$K$87,0),2),"")=0,"",IFERROR(INDEX('ИП + источники'!$K$28:$L$87,MATCH($F262&amp;"2komm",'ИП + источники'!$K$28:$K$87,0),2),""))</f>
        <v/>
      </c>
      <c r="BP262" s="195"/>
      <c r="BS262" s="694" t="s">
        <v>2140</v>
      </c>
    </row>
    <row r="263" spans="1:75" ht="14.25" customHeight="1">
      <c r="B263" s="328" t="b" cm="1">
        <f t="array" ref="B263">B262</f>
        <v>1</v>
      </c>
      <c r="E263" s="505">
        <v>15</v>
      </c>
      <c r="F263" s="3" t="str" cm="1">
        <f t="array" aca="1" ref="F263" ca="1">OFFSET(E263,-1,1)</f>
        <v>1</v>
      </c>
      <c r="I263" s="72" t="s">
        <v>605</v>
      </c>
      <c r="K263" s="72" t="s">
        <v>605</v>
      </c>
      <c r="L263" s="25"/>
      <c r="M263" s="25"/>
      <c r="T263" s="351" t="b" cm="1">
        <f t="array" aca="1" ref="T263" ca="1">T262</f>
        <v>1</v>
      </c>
      <c r="X263" s="1024"/>
      <c r="Z263" s="1008"/>
      <c r="AB263" s="133" t="s">
        <v>732</v>
      </c>
      <c r="AC263" s="127" t="s">
        <v>2141</v>
      </c>
      <c r="AD263" s="7" t="s">
        <v>859</v>
      </c>
      <c r="AE263" s="128">
        <f ca="1">SUMIFS('ИП + источники'!AF$27:AF$87,'ИП + источники'!$F$27:$F$87,$F263,'ИП + источники'!$AC$27:$AC$87,"уплата процентов по кредитам из нормативной прибыли")</f>
        <v>0</v>
      </c>
      <c r="AF263" s="128">
        <f ca="1">SUMIFS('ИП + источники'!AG$27:AG$87,'ИП + источники'!$F$27:$F$87,$F263,'ИП + источники'!$AC$27:$AC$87,"уплата процентов по кредитам из нормативной прибыли")</f>
        <v>0</v>
      </c>
      <c r="AG263" s="128">
        <f ca="1">SUMIFS('ИП + источники'!AH$27:AH$87,'ИП + источники'!$F$27:$F$87,$F263,'ИП + источники'!$AC$27:$AC$87,"уплата процентов по кредитам из нормативной прибыли")</f>
        <v>0</v>
      </c>
      <c r="AH263" s="170">
        <f t="shared" ca="1" si="50"/>
        <v>0</v>
      </c>
      <c r="AI263" s="128">
        <f ca="1">SUMIFS('ИП + источники'!AJ$27:AJ$87,'ИП + источники'!$F$27:$F$87,$F263,'ИП + источники'!$AC$27:$AC$87,"уплата процентов по кредитам из нормативной прибыли")</f>
        <v>0</v>
      </c>
      <c r="AJ263" s="128">
        <f ca="1">SUMIFS('ИП + источники'!AK$27:AK$87,'ИП + источники'!$F$27:$F$87,$F263,'ИП + источники'!$AC$27:$AC$87,"уплата процентов по кредитам из нормативной прибыли")</f>
        <v>0</v>
      </c>
      <c r="AK263" s="128">
        <f ca="1">SUMIFS('ИП + источники'!AL$27:AL$87,'ИП + источники'!$F$27:$F$87,$F263,'ИП + источники'!$AC$27:$AC$87,"уплата процентов по кредитам из нормативной прибыли")</f>
        <v>0</v>
      </c>
      <c r="AL263" s="128">
        <f ca="1">SUMIFS('ИП + источники'!AM$27:AM$87,'ИП + источники'!$F$27:$F$87,$F263,'ИП + источники'!$AC$27:$AC$87,"уплата процентов по кредитам из нормативной прибыли")</f>
        <v>0</v>
      </c>
      <c r="AM263" s="128">
        <f ca="1">SUMIFS('ИП + источники'!AN$27:AN$87,'ИП + источники'!$F$27:$F$87,$F263,'ИП + источники'!$AC$27:$AC$87,"уплата процентов по кредитам из нормативной прибыли")</f>
        <v>0</v>
      </c>
      <c r="AN263" s="128">
        <f ca="1">SUMIFS('ИП + источники'!AO$27:AO$87,'ИП + источники'!$F$27:$F$87,$F263,'ИП + источники'!$AC$27:$AC$87,"уплата процентов по кредитам из нормативной прибыли")</f>
        <v>0</v>
      </c>
      <c r="AO263" s="128">
        <f ca="1">SUMIFS('ИП + источники'!AP$27:AP$87,'ИП + источники'!$F$27:$F$87,$F263,'ИП + источники'!$AC$27:$AC$87,"уплата процентов по кредитам из нормативной прибыли")</f>
        <v>0</v>
      </c>
      <c r="AP263" s="128">
        <f ca="1">SUMIFS('ИП + источники'!AQ$27:AQ$87,'ИП + источники'!$F$27:$F$87,$F263,'ИП + источники'!$AC$27:$AC$87,"уплата процентов по кредитам из нормативной прибыли")</f>
        <v>0</v>
      </c>
      <c r="AQ263" s="128">
        <f ca="1">SUMIFS('ИП + источники'!AR$27:AR$87,'ИП + источники'!$F$27:$F$87,$F263,'ИП + источники'!$AC$27:$AC$87,"уплата процентов по кредитам из нормативной прибыли")</f>
        <v>0</v>
      </c>
      <c r="AR263" s="128">
        <f ca="1">SUMIFS('ИП + источники'!AS$27:AS$87,'ИП + источники'!$F$27:$F$87,$F263,'ИП + источники'!$AC$27:$AC$87,"уплата процентов по кредитам из нормативной прибыли")</f>
        <v>0</v>
      </c>
      <c r="AS263" s="128">
        <f ca="1">SUMIFS('ИП + источники'!AT$27:AT$87,'ИП + источники'!$F$27:$F$87,$F263,'ИП + источники'!$AC$27:$AC$87,"уплата процентов по кредитам из нормативной прибыли")</f>
        <v>0</v>
      </c>
      <c r="AT263" s="128">
        <f ca="1">SUMIFS('ИП + источники'!AU$27:AU$87,'ИП + источники'!$F$27:$F$87,$F263,'ИП + источники'!$AC$27:$AC$87,"уплата процентов по кредитам из нормативной прибыли")</f>
        <v>0</v>
      </c>
      <c r="AU263" s="128">
        <f ca="1">SUMIFS('ИП + источники'!AV$27:AV$87,'ИП + источники'!$F$27:$F$87,$F263,'ИП + источники'!$AC$27:$AC$87,"уплата процентов по кредитам из нормативной прибыли")</f>
        <v>0</v>
      </c>
      <c r="AV263" s="128">
        <f ca="1">SUMIFS('ИП + источники'!AW$27:AW$87,'ИП + источники'!$F$27:$F$87,$F263,'ИП + источники'!$AC$27:$AC$87,"уплата процентов по кредитам из нормативной прибыли")</f>
        <v>0</v>
      </c>
      <c r="AW263" s="128">
        <f ca="1">SUMIFS('ИП + источники'!AX$27:AX$87,'ИП + источники'!$F$27:$F$87,$F263,'ИП + источники'!$AC$27:$AC$87,"уплата процентов по кредитам из нормативной прибыли")</f>
        <v>0</v>
      </c>
      <c r="AX263" s="128">
        <f ca="1">SUMIFS('ИП + источники'!AY$27:AY$87,'ИП + источники'!$F$27:$F$87,$F263,'ИП + источники'!$AC$27:$AC$87,"уплата процентов по кредитам из нормативной прибыли")</f>
        <v>0</v>
      </c>
      <c r="AY263" s="128">
        <f ca="1">SUMIFS('ИП + источники'!AZ$27:AZ$87,'ИП + источники'!$F$27:$F$87,$F263,'ИП + источники'!$AC$27:$AC$87,"уплата процентов по кредитам из нормативной прибыли")</f>
        <v>0</v>
      </c>
      <c r="AZ263" s="128">
        <f ca="1">SUMIFS('ИП + источники'!BA$27:BA$87,'ИП + источники'!$F$27:$F$87,$F263,'ИП + источники'!$AC$27:$AC$87,"уплата процентов по кредитам из нормативной прибыли")</f>
        <v>0</v>
      </c>
      <c r="BA263" s="128">
        <f ca="1">SUMIFS('ИП + источники'!BB$27:BB$87,'ИП + источники'!$F$27:$F$87,$F263,'ИП + источники'!$AC$27:$AC$87,"уплата процентов по кредитам из нормативной прибыли")</f>
        <v>0</v>
      </c>
      <c r="BB263" s="128">
        <f ca="1">SUMIFS('ИП + источники'!BC$27:BC$87,'ИП + источники'!$F$27:$F$87,$F263,'ИП + источники'!$AC$27:$AC$87,"уплата процентов по кредитам из нормативной прибыли")</f>
        <v>0</v>
      </c>
      <c r="BC263" s="128">
        <f ca="1">SUMIFS('ИП + источники'!BD$27:BD$87,'ИП + источники'!$F$27:$F$87,$F263,'ИП + источники'!$AC$27:$AC$87,"уплата процентов по кредитам из нормативной прибыли")</f>
        <v>0</v>
      </c>
      <c r="BD263" s="170">
        <f t="shared" ca="1" si="52"/>
        <v>0</v>
      </c>
      <c r="BE263" s="170">
        <f t="shared" ca="1" si="53"/>
        <v>0</v>
      </c>
      <c r="BF263" s="170">
        <f t="shared" ca="1" si="54"/>
        <v>0</v>
      </c>
      <c r="BG263" s="170">
        <f t="shared" ca="1" si="55"/>
        <v>0</v>
      </c>
      <c r="BH263" s="170">
        <f t="shared" ca="1" si="56"/>
        <v>0</v>
      </c>
      <c r="BI263" s="170">
        <f t="shared" ca="1" si="57"/>
        <v>0</v>
      </c>
      <c r="BJ263" s="170">
        <f t="shared" ca="1" si="58"/>
        <v>0</v>
      </c>
      <c r="BK263" s="170">
        <f t="shared" ca="1" si="59"/>
        <v>0</v>
      </c>
      <c r="BL263" s="170">
        <f t="shared" ca="1" si="60"/>
        <v>0</v>
      </c>
      <c r="BM263" s="170">
        <f t="shared" ca="1" si="61"/>
        <v>0</v>
      </c>
      <c r="BN263" s="195"/>
      <c r="BO263" s="599" t="str">
        <f ca="1">IF(IFERROR(INDEX('ИП + источники'!$K$28:$L$87,MATCH($F263&amp;"3komm",'ИП + источники'!$K$28:$K$87,0),2),"")=0,"",IFERROR(INDEX('ИП + источники'!$K$28:$L$87,MATCH($F263&amp;"3komm",'ИП + источники'!$K$28:$K$87,0),2),""))</f>
        <v/>
      </c>
      <c r="BP263" s="195"/>
      <c r="BS263" s="694" t="s">
        <v>2142</v>
      </c>
    </row>
    <row r="264" spans="1:75" ht="14.25" customHeight="1">
      <c r="B264" s="328" t="b" cm="1">
        <f t="array" ref="B264">B263</f>
        <v>1</v>
      </c>
      <c r="E264" s="505">
        <v>15</v>
      </c>
      <c r="F264" s="3" t="str" cm="1">
        <f t="array" aca="1" ref="F264" ca="1">OFFSET(E264,-1,1)</f>
        <v>1</v>
      </c>
      <c r="I264" s="72" t="s">
        <v>817</v>
      </c>
      <c r="K264" s="72" t="s">
        <v>817</v>
      </c>
      <c r="L264" s="25" t="s">
        <v>620</v>
      </c>
      <c r="M264" s="25"/>
      <c r="T264" s="351" t="b" cm="1">
        <f t="array" aca="1" ref="T264" ca="1">T263</f>
        <v>1</v>
      </c>
      <c r="X264" s="1024"/>
      <c r="Z264" s="1008"/>
      <c r="AB264" s="133" t="s">
        <v>991</v>
      </c>
      <c r="AC264" s="127" t="s">
        <v>2143</v>
      </c>
      <c r="AD264" s="7" t="s">
        <v>859</v>
      </c>
      <c r="AE264" s="128">
        <f ca="1">SUMIFS('ИП + источники'!AF$27:AF$87,'ИП + источники'!$F$27:$F$87,$F264,'ИП + источники'!$AC$27:$AC$87,"Прибыль на капвложения")</f>
        <v>0</v>
      </c>
      <c r="AF264" s="128">
        <f ca="1">SUMIFS('ИП + источники'!AG$27:AG$87,'ИП + источники'!$F$27:$F$87,$F264,'ИП + источники'!$AC$27:$AC$87,"Прибыль на капвложения")</f>
        <v>0</v>
      </c>
      <c r="AG264" s="128">
        <f ca="1">SUMIFS('ИП + источники'!AH$27:AH$87,'ИП + источники'!$F$27:$F$87,$F264,'ИП + источники'!$AC$27:$AC$87,"Прибыль на капвложения")</f>
        <v>0</v>
      </c>
      <c r="AH264" s="170">
        <f t="shared" ca="1" si="50"/>
        <v>0</v>
      </c>
      <c r="AI264" s="128">
        <f ca="1">SUMIFS('ИП + источники'!AJ$27:AJ$87,'ИП + источники'!$F$27:$F$87,$F264,'ИП + источники'!$AC$27:$AC$87,"Прибыль на капвложения")</f>
        <v>0</v>
      </c>
      <c r="AJ264" s="128">
        <f ca="1">SUMIFS('ИП + источники'!AK$27:AK$87,'ИП + источники'!$F$27:$F$87,$F264,'ИП + источники'!$AC$27:$AC$87,"Прибыль на капвложения")</f>
        <v>0</v>
      </c>
      <c r="AK264" s="128">
        <f ca="1">SUMIFS('ИП + источники'!AL$27:AL$87,'ИП + источники'!$F$27:$F$87,$F264,'ИП + источники'!$AC$27:$AC$87,"Прибыль на капвложения")</f>
        <v>0</v>
      </c>
      <c r="AL264" s="128">
        <f ca="1">SUMIFS('ИП + источники'!AM$27:AM$87,'ИП + источники'!$F$27:$F$87,$F264,'ИП + источники'!$AC$27:$AC$87,"Прибыль на капвложения")</f>
        <v>0</v>
      </c>
      <c r="AM264" s="128">
        <f ca="1">SUMIFS('ИП + источники'!AN$27:AN$87,'ИП + источники'!$F$27:$F$87,$F264,'ИП + источники'!$AC$27:$AC$87,"Прибыль на капвложения")</f>
        <v>0</v>
      </c>
      <c r="AN264" s="128">
        <f ca="1">SUMIFS('ИП + источники'!AO$27:AO$87,'ИП + источники'!$F$27:$F$87,$F264,'ИП + источники'!$AC$27:$AC$87,"Прибыль на капвложения")</f>
        <v>0</v>
      </c>
      <c r="AO264" s="128">
        <f ca="1">SUMIFS('ИП + источники'!AP$27:AP$87,'ИП + источники'!$F$27:$F$87,$F264,'ИП + источники'!$AC$27:$AC$87,"Прибыль на капвложения")</f>
        <v>0</v>
      </c>
      <c r="AP264" s="128">
        <f ca="1">SUMIFS('ИП + источники'!AQ$27:AQ$87,'ИП + источники'!$F$27:$F$87,$F264,'ИП + источники'!$AC$27:$AC$87,"Прибыль на капвложения")</f>
        <v>0</v>
      </c>
      <c r="AQ264" s="128">
        <f ca="1">SUMIFS('ИП + источники'!AR$27:AR$87,'ИП + источники'!$F$27:$F$87,$F264,'ИП + источники'!$AC$27:$AC$87,"Прибыль на капвложения")</f>
        <v>0</v>
      </c>
      <c r="AR264" s="128">
        <f ca="1">SUMIFS('ИП + источники'!AS$27:AS$87,'ИП + источники'!$F$27:$F$87,$F264,'ИП + источники'!$AC$27:$AC$87,"Прибыль на капвложения")</f>
        <v>0</v>
      </c>
      <c r="AS264" s="128">
        <f ca="1">SUMIFS('ИП + источники'!AT$27:AT$87,'ИП + источники'!$F$27:$F$87,$F264,'ИП + источники'!$AC$27:$AC$87,"Прибыль на капвложения")</f>
        <v>0</v>
      </c>
      <c r="AT264" s="128">
        <f ca="1">SUMIFS('ИП + источники'!AU$27:AU$87,'ИП + источники'!$F$27:$F$87,$F264,'ИП + источники'!$AC$27:$AC$87,"Прибыль на капвложения")</f>
        <v>0</v>
      </c>
      <c r="AU264" s="128">
        <f ca="1">SUMIFS('ИП + источники'!AV$27:AV$87,'ИП + источники'!$F$27:$F$87,$F264,'ИП + источники'!$AC$27:$AC$87,"Прибыль на капвложения")</f>
        <v>0</v>
      </c>
      <c r="AV264" s="128">
        <f ca="1">SUMIFS('ИП + источники'!AW$27:AW$87,'ИП + источники'!$F$27:$F$87,$F264,'ИП + источники'!$AC$27:$AC$87,"Прибыль на капвложения")</f>
        <v>0</v>
      </c>
      <c r="AW264" s="128">
        <f ca="1">SUMIFS('ИП + источники'!AX$27:AX$87,'ИП + источники'!$F$27:$F$87,$F264,'ИП + источники'!$AC$27:$AC$87,"Прибыль на капвложения")</f>
        <v>0</v>
      </c>
      <c r="AX264" s="128">
        <f ca="1">SUMIFS('ИП + источники'!AY$27:AY$87,'ИП + источники'!$F$27:$F$87,$F264,'ИП + источники'!$AC$27:$AC$87,"Прибыль на капвложения")</f>
        <v>0</v>
      </c>
      <c r="AY264" s="128">
        <f ca="1">SUMIFS('ИП + источники'!AZ$27:AZ$87,'ИП + источники'!$F$27:$F$87,$F264,'ИП + источники'!$AC$27:$AC$87,"Прибыль на капвложения")</f>
        <v>0</v>
      </c>
      <c r="AZ264" s="128">
        <f ca="1">SUMIFS('ИП + источники'!BA$27:BA$87,'ИП + источники'!$F$27:$F$87,$F264,'ИП + источники'!$AC$27:$AC$87,"Прибыль на капвложения")</f>
        <v>0</v>
      </c>
      <c r="BA264" s="128">
        <f ca="1">SUMIFS('ИП + источники'!BB$27:BB$87,'ИП + источники'!$F$27:$F$87,$F264,'ИП + источники'!$AC$27:$AC$87,"Прибыль на капвложения")</f>
        <v>0</v>
      </c>
      <c r="BB264" s="128">
        <f ca="1">SUMIFS('ИП + источники'!BC$27:BC$87,'ИП + источники'!$F$27:$F$87,$F264,'ИП + источники'!$AC$27:$AC$87,"Прибыль на капвложения")</f>
        <v>0</v>
      </c>
      <c r="BC264" s="128">
        <f ca="1">SUMIFS('ИП + источники'!BD$27:BD$87,'ИП + источники'!$F$27:$F$87,$F264,'ИП + источники'!$AC$27:$AC$87,"Прибыль на капвложения")</f>
        <v>0</v>
      </c>
      <c r="BD264" s="170">
        <f t="shared" ca="1" si="52"/>
        <v>0</v>
      </c>
      <c r="BE264" s="170">
        <f t="shared" ca="1" si="53"/>
        <v>0</v>
      </c>
      <c r="BF264" s="170">
        <f t="shared" ca="1" si="54"/>
        <v>0</v>
      </c>
      <c r="BG264" s="170">
        <f t="shared" ca="1" si="55"/>
        <v>0</v>
      </c>
      <c r="BH264" s="170">
        <f t="shared" ca="1" si="56"/>
        <v>0</v>
      </c>
      <c r="BI264" s="170">
        <f t="shared" ca="1" si="57"/>
        <v>0</v>
      </c>
      <c r="BJ264" s="170">
        <f t="shared" ca="1" si="58"/>
        <v>0</v>
      </c>
      <c r="BK264" s="170">
        <f t="shared" ca="1" si="59"/>
        <v>0</v>
      </c>
      <c r="BL264" s="170">
        <f t="shared" ca="1" si="60"/>
        <v>0</v>
      </c>
      <c r="BM264" s="170">
        <f t="shared" ca="1" si="61"/>
        <v>0</v>
      </c>
      <c r="BN264" s="195"/>
      <c r="BO264" s="599" t="str">
        <f ca="1">IF(IFERROR(INDEX('ИП + источники'!$K$28:$L$87,MATCH($F264&amp;"1komm",'ИП + источники'!$K$28:$K$87,0),2),"")=0,"",IFERROR(INDEX('ИП + источники'!$K$28:$L$87,MATCH($F264&amp;"1komm",'ИП + источники'!$K$28:$K$87,0),2),""))</f>
        <v/>
      </c>
      <c r="BP264" s="195"/>
      <c r="BS264" s="694" t="s">
        <v>1852</v>
      </c>
    </row>
    <row r="265" spans="1:75" ht="21.75" customHeight="1">
      <c r="B265" s="328" t="b" cm="1">
        <f t="array" ref="B265">B264</f>
        <v>1</v>
      </c>
      <c r="E265" s="505">
        <v>22.5</v>
      </c>
      <c r="F265" s="3" t="str" cm="1">
        <f t="array" aca="1" ref="F265" ca="1">OFFSET(E265,-1,1)</f>
        <v>1</v>
      </c>
      <c r="G265" s="72" t="s">
        <v>2144</v>
      </c>
      <c r="I265" s="72" t="s">
        <v>993</v>
      </c>
      <c r="K265" s="72" t="s">
        <v>993</v>
      </c>
      <c r="L265" s="25" t="s">
        <v>624</v>
      </c>
      <c r="M265" s="25"/>
      <c r="T265" s="351" t="b" cm="1">
        <f t="array" aca="1" ref="T265" ca="1">T264</f>
        <v>1</v>
      </c>
      <c r="X265" s="1024"/>
      <c r="Z265" s="1008"/>
      <c r="AB265" s="133" t="s">
        <v>994</v>
      </c>
      <c r="AC265" s="127" t="s">
        <v>2145</v>
      </c>
      <c r="AD265" s="7" t="s">
        <v>859</v>
      </c>
      <c r="AE265" s="128"/>
      <c r="AF265" s="128"/>
      <c r="AG265" s="128"/>
      <c r="AH265" s="170">
        <f t="shared" si="50"/>
        <v>0</v>
      </c>
      <c r="AI265" s="128"/>
      <c r="AJ265" s="128"/>
      <c r="AK265" s="128"/>
      <c r="AL265" s="128"/>
      <c r="AM265" s="128"/>
      <c r="AN265" s="128"/>
      <c r="AO265" s="128"/>
      <c r="AP265" s="128"/>
      <c r="AQ265" s="128"/>
      <c r="AR265" s="128"/>
      <c r="AS265" s="128"/>
      <c r="AT265" s="128"/>
      <c r="AU265" s="128"/>
      <c r="AV265" s="128"/>
      <c r="AW265" s="128"/>
      <c r="AX265" s="128"/>
      <c r="AY265" s="128"/>
      <c r="AZ265" s="128"/>
      <c r="BA265" s="128"/>
      <c r="BB265" s="128"/>
      <c r="BC265" s="128"/>
      <c r="BD265" s="170">
        <f t="shared" si="52"/>
        <v>0</v>
      </c>
      <c r="BE265" s="170">
        <f t="shared" si="53"/>
        <v>0</v>
      </c>
      <c r="BF265" s="170">
        <f t="shared" si="54"/>
        <v>0</v>
      </c>
      <c r="BG265" s="170">
        <f t="shared" si="55"/>
        <v>0</v>
      </c>
      <c r="BH265" s="170">
        <f t="shared" si="56"/>
        <v>0</v>
      </c>
      <c r="BI265" s="170">
        <f t="shared" si="57"/>
        <v>0</v>
      </c>
      <c r="BJ265" s="170">
        <f t="shared" si="58"/>
        <v>0</v>
      </c>
      <c r="BK265" s="170">
        <f t="shared" si="59"/>
        <v>0</v>
      </c>
      <c r="BL265" s="170">
        <f t="shared" si="60"/>
        <v>0</v>
      </c>
      <c r="BM265" s="170">
        <f t="shared" si="61"/>
        <v>0</v>
      </c>
      <c r="BN265" s="195"/>
      <c r="BO265" s="195"/>
      <c r="BP265" s="195"/>
      <c r="BS265" s="694" t="s">
        <v>2146</v>
      </c>
    </row>
    <row r="266" spans="1:75" ht="14.25" customHeight="1">
      <c r="B266" s="328" t="b">
        <f>AND(method_reg="Метод индексации",STATUS_GO="да")</f>
        <v>1</v>
      </c>
      <c r="E266" s="505">
        <v>15</v>
      </c>
      <c r="F266" s="3" t="str" cm="1">
        <f t="array" aca="1" ref="F266" ca="1">OFFSET(E266,-1,1)</f>
        <v>1</v>
      </c>
      <c r="G266" s="72" t="s">
        <v>1855</v>
      </c>
      <c r="I266" s="72" t="s">
        <v>557</v>
      </c>
      <c r="K266" s="72" t="s">
        <v>557</v>
      </c>
      <c r="L266" s="25" t="s">
        <v>628</v>
      </c>
      <c r="M266" s="25"/>
      <c r="T266" s="351" t="b" cm="1">
        <f t="array" aca="1" ref="T266" ca="1">T265</f>
        <v>1</v>
      </c>
      <c r="X266" s="1024"/>
      <c r="Z266" s="1008"/>
      <c r="AB266" s="133" t="s">
        <v>442</v>
      </c>
      <c r="AC266" s="345" t="s">
        <v>1855</v>
      </c>
      <c r="AD266" s="7" t="s">
        <v>859</v>
      </c>
      <c r="AE266" s="128"/>
      <c r="AF266" s="128"/>
      <c r="AG266" s="128"/>
      <c r="AH266" s="170">
        <f t="shared" si="50"/>
        <v>0</v>
      </c>
      <c r="AI266" s="128"/>
      <c r="AJ266" s="128"/>
      <c r="AK266" s="128"/>
      <c r="AL266" s="128"/>
      <c r="AM266" s="128"/>
      <c r="AN266" s="128"/>
      <c r="AO266" s="128"/>
      <c r="AP266" s="128"/>
      <c r="AQ266" s="128"/>
      <c r="AR266" s="128"/>
      <c r="AS266" s="128"/>
      <c r="AT266" s="128"/>
      <c r="AU266" s="128"/>
      <c r="AV266" s="128"/>
      <c r="AW266" s="128"/>
      <c r="AX266" s="128"/>
      <c r="AY266" s="128"/>
      <c r="AZ266" s="128"/>
      <c r="BA266" s="128"/>
      <c r="BB266" s="128"/>
      <c r="BC266" s="128"/>
      <c r="BD266" s="170">
        <f t="shared" si="52"/>
        <v>0</v>
      </c>
      <c r="BE266" s="170">
        <f t="shared" si="53"/>
        <v>0</v>
      </c>
      <c r="BF266" s="170">
        <f t="shared" si="54"/>
        <v>0</v>
      </c>
      <c r="BG266" s="170">
        <f t="shared" si="55"/>
        <v>0</v>
      </c>
      <c r="BH266" s="170">
        <f t="shared" si="56"/>
        <v>0</v>
      </c>
      <c r="BI266" s="170">
        <f t="shared" si="57"/>
        <v>0</v>
      </c>
      <c r="BJ266" s="170">
        <f t="shared" si="58"/>
        <v>0</v>
      </c>
      <c r="BK266" s="170">
        <f t="shared" si="59"/>
        <v>0</v>
      </c>
      <c r="BL266" s="170">
        <f t="shared" si="60"/>
        <v>0</v>
      </c>
      <c r="BM266" s="170">
        <f t="shared" si="61"/>
        <v>0</v>
      </c>
      <c r="BN266" s="195"/>
      <c r="BO266" s="195"/>
      <c r="BP266" s="195"/>
      <c r="BS266" s="694" t="s">
        <v>1856</v>
      </c>
    </row>
    <row r="267" spans="1:75" ht="14.25" hidden="1" customHeight="1">
      <c r="B267" s="642" t="b">
        <f>method_reg="Метод обеспечения доходности инвестированного капитала"</f>
        <v>0</v>
      </c>
      <c r="E267" s="505">
        <v>15</v>
      </c>
      <c r="F267" s="3" t="str" cm="1">
        <f t="array" aca="1" ref="F267" ca="1">OFFSET(E267,-1,1)</f>
        <v>1</v>
      </c>
      <c r="K267" s="25" t="s">
        <v>325</v>
      </c>
      <c r="L267" s="25"/>
      <c r="M267" s="25"/>
      <c r="T267" s="351" t="b" cm="1">
        <f t="array" aca="1" ref="T267" ca="1">T266</f>
        <v>1</v>
      </c>
      <c r="X267" s="1024"/>
      <c r="Z267" s="1008"/>
      <c r="AB267" s="131" t="s">
        <v>438</v>
      </c>
      <c r="AC267" s="132" t="s">
        <v>2147</v>
      </c>
      <c r="AD267" s="124" t="s">
        <v>859</v>
      </c>
      <c r="AE267" s="773"/>
      <c r="AF267" s="773"/>
      <c r="AG267" s="773"/>
      <c r="AH267" s="126">
        <f t="shared" si="50"/>
        <v>0</v>
      </c>
      <c r="AI267" s="773"/>
      <c r="AJ267" s="138"/>
      <c r="AK267" s="138"/>
      <c r="AL267" s="138"/>
      <c r="AM267" s="773"/>
      <c r="AN267" s="773"/>
      <c r="AO267" s="773"/>
      <c r="AP267" s="773"/>
      <c r="AQ267" s="773"/>
      <c r="AR267" s="773"/>
      <c r="AS267" s="773"/>
      <c r="AT267" s="138"/>
      <c r="AU267" s="138"/>
      <c r="AV267" s="138"/>
      <c r="AW267" s="773"/>
      <c r="AX267" s="773"/>
      <c r="AY267" s="773"/>
      <c r="AZ267" s="773"/>
      <c r="BA267" s="773"/>
      <c r="BB267" s="773"/>
      <c r="BC267" s="773"/>
      <c r="BD267" s="126">
        <f t="shared" si="52"/>
        <v>0</v>
      </c>
      <c r="BE267" s="126">
        <f t="shared" si="53"/>
        <v>0</v>
      </c>
      <c r="BF267" s="126">
        <f t="shared" si="54"/>
        <v>0</v>
      </c>
      <c r="BG267" s="126">
        <f t="shared" si="55"/>
        <v>0</v>
      </c>
      <c r="BH267" s="126">
        <f t="shared" si="56"/>
        <v>0</v>
      </c>
      <c r="BI267" s="126">
        <f t="shared" si="57"/>
        <v>0</v>
      </c>
      <c r="BJ267" s="126">
        <f t="shared" si="58"/>
        <v>0</v>
      </c>
      <c r="BK267" s="126">
        <f t="shared" si="59"/>
        <v>0</v>
      </c>
      <c r="BL267" s="126">
        <f t="shared" si="60"/>
        <v>0</v>
      </c>
      <c r="BM267" s="126">
        <f t="shared" si="61"/>
        <v>0</v>
      </c>
      <c r="BN267" s="776"/>
      <c r="BO267" s="776"/>
      <c r="BP267" s="776"/>
      <c r="BS267" s="694" t="s">
        <v>2148</v>
      </c>
    </row>
    <row r="268" spans="1:75" ht="14.25" hidden="1" customHeight="1">
      <c r="B268" s="642" t="b" cm="1">
        <f t="array" ref="B268">B267</f>
        <v>0</v>
      </c>
      <c r="E268" s="505">
        <v>15</v>
      </c>
      <c r="F268" s="3" t="str" cm="1">
        <f t="array" aca="1" ref="F268" ca="1">OFFSET(E268,-1,1)</f>
        <v>1</v>
      </c>
      <c r="K268" s="25" t="s">
        <v>587</v>
      </c>
      <c r="L268" s="25"/>
      <c r="M268" s="25"/>
      <c r="T268" s="351" t="b" cm="1">
        <f t="array" aca="1" ref="T268" ca="1">T267</f>
        <v>1</v>
      </c>
      <c r="X268" s="1024"/>
      <c r="Z268" s="1008"/>
      <c r="AB268" s="133" t="s">
        <v>722</v>
      </c>
      <c r="AC268" s="127" t="s">
        <v>2149</v>
      </c>
      <c r="AD268" s="7" t="s">
        <v>859</v>
      </c>
      <c r="AE268" s="777"/>
      <c r="AF268" s="777"/>
      <c r="AG268" s="777"/>
      <c r="AH268" s="540"/>
      <c r="AI268" s="777"/>
      <c r="AJ268" s="128"/>
      <c r="AK268" s="128"/>
      <c r="AL268" s="128"/>
      <c r="AM268" s="777"/>
      <c r="AN268" s="777"/>
      <c r="AO268" s="777"/>
      <c r="AP268" s="777"/>
      <c r="AQ268" s="777"/>
      <c r="AR268" s="777"/>
      <c r="AS268" s="777"/>
      <c r="AT268" s="128"/>
      <c r="AU268" s="128"/>
      <c r="AV268" s="128"/>
      <c r="AW268" s="777"/>
      <c r="AX268" s="777"/>
      <c r="AY268" s="777"/>
      <c r="AZ268" s="777"/>
      <c r="BA268" s="777"/>
      <c r="BB268" s="777"/>
      <c r="BC268" s="777"/>
      <c r="BD268" s="540"/>
      <c r="BE268" s="540"/>
      <c r="BF268" s="540"/>
      <c r="BG268" s="540"/>
      <c r="BH268" s="540"/>
      <c r="BI268" s="540"/>
      <c r="BJ268" s="540"/>
      <c r="BK268" s="540"/>
      <c r="BL268" s="540"/>
      <c r="BM268" s="540"/>
      <c r="BN268" s="774"/>
      <c r="BO268" s="774"/>
      <c r="BP268" s="774"/>
      <c r="BS268" s="694" t="s">
        <v>2150</v>
      </c>
    </row>
    <row r="269" spans="1:75" ht="14.25" hidden="1" customHeight="1">
      <c r="B269" s="642" t="b" cm="1">
        <f t="array" ref="B269">B268</f>
        <v>0</v>
      </c>
      <c r="E269" s="505">
        <v>15</v>
      </c>
      <c r="F269" s="3" t="str" cm="1">
        <f t="array" aca="1" ref="F269" ca="1">OFFSET(E269,-1,1)</f>
        <v>1</v>
      </c>
      <c r="K269" s="25" t="s">
        <v>591</v>
      </c>
      <c r="L269" s="25"/>
      <c r="M269" s="25"/>
      <c r="T269" s="351" t="b" cm="1">
        <f t="array" aca="1" ref="T269" ca="1">T268</f>
        <v>1</v>
      </c>
      <c r="X269" s="1024"/>
      <c r="Z269" s="1008"/>
      <c r="AB269" s="133" t="s">
        <v>725</v>
      </c>
      <c r="AC269" s="127" t="s">
        <v>2151</v>
      </c>
      <c r="AD269" s="7" t="s">
        <v>2152</v>
      </c>
      <c r="AE269" s="777"/>
      <c r="AF269" s="777"/>
      <c r="AG269" s="777"/>
      <c r="AH269" s="540"/>
      <c r="AI269" s="777"/>
      <c r="AJ269" s="128"/>
      <c r="AK269" s="128"/>
      <c r="AL269" s="128"/>
      <c r="AM269" s="777"/>
      <c r="AN269" s="777"/>
      <c r="AO269" s="777"/>
      <c r="AP269" s="777"/>
      <c r="AQ269" s="777"/>
      <c r="AR269" s="777"/>
      <c r="AS269" s="777"/>
      <c r="AT269" s="128"/>
      <c r="AU269" s="128"/>
      <c r="AV269" s="128"/>
      <c r="AW269" s="777"/>
      <c r="AX269" s="777"/>
      <c r="AY269" s="777"/>
      <c r="AZ269" s="777"/>
      <c r="BA269" s="777"/>
      <c r="BB269" s="777"/>
      <c r="BC269" s="777"/>
      <c r="BD269" s="540"/>
      <c r="BE269" s="540"/>
      <c r="BF269" s="540"/>
      <c r="BG269" s="540"/>
      <c r="BH269" s="540"/>
      <c r="BI269" s="540"/>
      <c r="BJ269" s="540"/>
      <c r="BK269" s="540"/>
      <c r="BL269" s="540"/>
      <c r="BM269" s="540"/>
      <c r="BN269" s="774"/>
      <c r="BO269" s="774"/>
      <c r="BP269" s="774"/>
      <c r="BS269" s="694" t="s">
        <v>2153</v>
      </c>
    </row>
    <row r="270" spans="1:75" ht="14.25" hidden="1" customHeight="1">
      <c r="B270" s="642" t="b" cm="1">
        <f t="array" ref="B270">B269</f>
        <v>0</v>
      </c>
      <c r="E270" s="505">
        <v>15</v>
      </c>
      <c r="F270" s="3" t="str" cm="1">
        <f t="array" aca="1" ref="F270" ca="1">OFFSET(E270,-1,1)</f>
        <v>1</v>
      </c>
      <c r="K270" s="25" t="s">
        <v>324</v>
      </c>
      <c r="L270" s="25"/>
      <c r="M270" s="25"/>
      <c r="T270" s="351" t="b" cm="1">
        <f t="array" aca="1" ref="T270" ca="1">T269</f>
        <v>1</v>
      </c>
      <c r="X270" s="1024"/>
      <c r="Z270" s="1008"/>
      <c r="AB270" s="131" t="s">
        <v>440</v>
      </c>
      <c r="AC270" s="132" t="s">
        <v>2154</v>
      </c>
      <c r="AD270" s="124" t="s">
        <v>859</v>
      </c>
      <c r="AE270" s="773"/>
      <c r="AF270" s="773"/>
      <c r="AG270" s="773"/>
      <c r="AH270" s="126">
        <f>AG270-AF270</f>
        <v>0</v>
      </c>
      <c r="AI270" s="773"/>
      <c r="AJ270" s="138"/>
      <c r="AK270" s="138"/>
      <c r="AL270" s="138"/>
      <c r="AM270" s="773"/>
      <c r="AN270" s="773"/>
      <c r="AO270" s="773"/>
      <c r="AP270" s="773"/>
      <c r="AQ270" s="773"/>
      <c r="AR270" s="773"/>
      <c r="AS270" s="773"/>
      <c r="AT270" s="138"/>
      <c r="AU270" s="138"/>
      <c r="AV270" s="138"/>
      <c r="AW270" s="773"/>
      <c r="AX270" s="773"/>
      <c r="AY270" s="773"/>
      <c r="AZ270" s="773"/>
      <c r="BA270" s="773"/>
      <c r="BB270" s="773"/>
      <c r="BC270" s="773"/>
      <c r="BD270" s="126">
        <f>IF(AI270=0,0,(AT270-AI270)/AI270*100)</f>
        <v>0</v>
      </c>
      <c r="BE270" s="126">
        <f t="shared" ref="BE270:BM270" si="66">IF(AT270=0,0,(AU270-AT270)/AT270*100)</f>
        <v>0</v>
      </c>
      <c r="BF270" s="126">
        <f t="shared" si="66"/>
        <v>0</v>
      </c>
      <c r="BG270" s="126">
        <f t="shared" si="66"/>
        <v>0</v>
      </c>
      <c r="BH270" s="126">
        <f t="shared" si="66"/>
        <v>0</v>
      </c>
      <c r="BI270" s="126">
        <f t="shared" si="66"/>
        <v>0</v>
      </c>
      <c r="BJ270" s="126">
        <f t="shared" si="66"/>
        <v>0</v>
      </c>
      <c r="BK270" s="126">
        <f t="shared" si="66"/>
        <v>0</v>
      </c>
      <c r="BL270" s="126">
        <f t="shared" si="66"/>
        <v>0</v>
      </c>
      <c r="BM270" s="126">
        <f t="shared" si="66"/>
        <v>0</v>
      </c>
      <c r="BN270" s="776"/>
      <c r="BO270" s="776"/>
      <c r="BP270" s="776"/>
      <c r="BS270" s="694" t="s">
        <v>2155</v>
      </c>
    </row>
    <row r="271" spans="1:75" ht="14.25" hidden="1" customHeight="1">
      <c r="B271" s="642" t="b" cm="1">
        <f t="array" ref="B271">B270</f>
        <v>0</v>
      </c>
      <c r="E271" s="505">
        <v>15</v>
      </c>
      <c r="F271" s="3" t="str" cm="1">
        <f t="array" aca="1" ref="F271" ca="1">OFFSET(E271,-1,1)</f>
        <v>1</v>
      </c>
      <c r="K271" s="25" t="s">
        <v>601</v>
      </c>
      <c r="L271" s="25"/>
      <c r="M271" s="25"/>
      <c r="T271" s="351" t="b" cm="1">
        <f t="array" aca="1" ref="T271" ca="1">T270</f>
        <v>1</v>
      </c>
      <c r="X271" s="1024"/>
      <c r="Z271" s="1008"/>
      <c r="AB271" s="133" t="s">
        <v>729</v>
      </c>
      <c r="AC271" s="127" t="s">
        <v>2156</v>
      </c>
      <c r="AD271" s="7" t="s">
        <v>859</v>
      </c>
      <c r="AE271" s="777"/>
      <c r="AF271" s="777"/>
      <c r="AG271" s="777"/>
      <c r="AH271" s="540"/>
      <c r="AI271" s="777"/>
      <c r="AJ271" s="128"/>
      <c r="AK271" s="128"/>
      <c r="AL271" s="128"/>
      <c r="AM271" s="777"/>
      <c r="AN271" s="777"/>
      <c r="AO271" s="777"/>
      <c r="AP271" s="777"/>
      <c r="AQ271" s="777"/>
      <c r="AR271" s="777"/>
      <c r="AS271" s="777"/>
      <c r="AT271" s="128"/>
      <c r="AU271" s="128"/>
      <c r="AV271" s="128"/>
      <c r="AW271" s="777"/>
      <c r="AX271" s="777"/>
      <c r="AY271" s="777"/>
      <c r="AZ271" s="777"/>
      <c r="BA271" s="777"/>
      <c r="BB271" s="777"/>
      <c r="BC271" s="777"/>
      <c r="BD271" s="540"/>
      <c r="BE271" s="540"/>
      <c r="BF271" s="540"/>
      <c r="BG271" s="540"/>
      <c r="BH271" s="540"/>
      <c r="BI271" s="540"/>
      <c r="BJ271" s="540"/>
      <c r="BK271" s="540"/>
      <c r="BL271" s="540"/>
      <c r="BM271" s="540"/>
      <c r="BN271" s="774"/>
      <c r="BO271" s="774"/>
      <c r="BP271" s="774"/>
      <c r="BS271" s="694" t="s">
        <v>2157</v>
      </c>
    </row>
    <row r="272" spans="1:75" ht="14.25" hidden="1" customHeight="1">
      <c r="B272" s="642" t="b" cm="1">
        <f t="array" ref="B272">B271</f>
        <v>0</v>
      </c>
      <c r="E272" s="505">
        <v>15</v>
      </c>
      <c r="F272" s="3" t="str" cm="1">
        <f t="array" aca="1" ref="F272" ca="1">OFFSET(E272,-1,1)</f>
        <v>1</v>
      </c>
      <c r="K272" s="25" t="s">
        <v>605</v>
      </c>
      <c r="L272" s="25"/>
      <c r="M272" s="25"/>
      <c r="T272" s="351" t="b" cm="1">
        <f t="array" aca="1" ref="T272" ca="1">T271</f>
        <v>1</v>
      </c>
      <c r="X272" s="1024"/>
      <c r="Z272" s="1008"/>
      <c r="AB272" s="133" t="s">
        <v>732</v>
      </c>
      <c r="AC272" s="127" t="s">
        <v>2158</v>
      </c>
      <c r="AD272" s="7" t="s">
        <v>501</v>
      </c>
      <c r="AE272" s="777"/>
      <c r="AF272" s="777"/>
      <c r="AG272" s="777"/>
      <c r="AH272" s="540"/>
      <c r="AI272" s="777"/>
      <c r="AJ272" s="128"/>
      <c r="AK272" s="128"/>
      <c r="AL272" s="128"/>
      <c r="AM272" s="777"/>
      <c r="AN272" s="777"/>
      <c r="AO272" s="777"/>
      <c r="AP272" s="777"/>
      <c r="AQ272" s="777"/>
      <c r="AR272" s="777"/>
      <c r="AS272" s="777"/>
      <c r="AT272" s="128"/>
      <c r="AU272" s="128"/>
      <c r="AV272" s="128"/>
      <c r="AW272" s="777"/>
      <c r="AX272" s="777"/>
      <c r="AY272" s="777"/>
      <c r="AZ272" s="777"/>
      <c r="BA272" s="777"/>
      <c r="BB272" s="777"/>
      <c r="BC272" s="777"/>
      <c r="BD272" s="540"/>
      <c r="BE272" s="540"/>
      <c r="BF272" s="540"/>
      <c r="BG272" s="540"/>
      <c r="BH272" s="540"/>
      <c r="BI272" s="540"/>
      <c r="BJ272" s="540"/>
      <c r="BK272" s="540"/>
      <c r="BL272" s="540"/>
      <c r="BM272" s="540"/>
      <c r="BN272" s="774"/>
      <c r="BO272" s="774"/>
      <c r="BP272" s="774"/>
      <c r="BS272" s="694" t="s">
        <v>2159</v>
      </c>
    </row>
    <row r="273" spans="1:75" ht="14.25" hidden="1" customHeight="1">
      <c r="B273" s="642" t="b" cm="1">
        <f t="array" ref="B273">B272</f>
        <v>0</v>
      </c>
      <c r="E273" s="505">
        <v>15</v>
      </c>
      <c r="F273" s="3" t="str" cm="1">
        <f t="array" aca="1" ref="F273" ca="1">OFFSET(E273,-1,1)</f>
        <v>1</v>
      </c>
      <c r="K273" s="25" t="s">
        <v>817</v>
      </c>
      <c r="L273" s="25"/>
      <c r="M273" s="25"/>
      <c r="T273" s="351" t="b" cm="1">
        <f t="array" aca="1" ref="T273" ca="1">T272</f>
        <v>1</v>
      </c>
      <c r="X273" s="1024"/>
      <c r="Z273" s="1008"/>
      <c r="AB273" s="133" t="s">
        <v>991</v>
      </c>
      <c r="AC273" s="127" t="s">
        <v>2160</v>
      </c>
      <c r="AD273" s="7" t="s">
        <v>859</v>
      </c>
      <c r="AE273" s="777"/>
      <c r="AF273" s="777"/>
      <c r="AG273" s="777"/>
      <c r="AH273" s="540"/>
      <c r="AI273" s="777"/>
      <c r="AJ273" s="128"/>
      <c r="AK273" s="128"/>
      <c r="AL273" s="128"/>
      <c r="AM273" s="777"/>
      <c r="AN273" s="777"/>
      <c r="AO273" s="777"/>
      <c r="AP273" s="777"/>
      <c r="AQ273" s="777"/>
      <c r="AR273" s="777"/>
      <c r="AS273" s="777"/>
      <c r="AT273" s="128"/>
      <c r="AU273" s="128"/>
      <c r="AV273" s="128"/>
      <c r="AW273" s="777"/>
      <c r="AX273" s="777"/>
      <c r="AY273" s="777"/>
      <c r="AZ273" s="777"/>
      <c r="BA273" s="777"/>
      <c r="BB273" s="777"/>
      <c r="BC273" s="777"/>
      <c r="BD273" s="540"/>
      <c r="BE273" s="540"/>
      <c r="BF273" s="540"/>
      <c r="BG273" s="540"/>
      <c r="BH273" s="540"/>
      <c r="BI273" s="540"/>
      <c r="BJ273" s="540"/>
      <c r="BK273" s="540"/>
      <c r="BL273" s="540"/>
      <c r="BM273" s="540"/>
      <c r="BN273" s="774"/>
      <c r="BO273" s="774"/>
      <c r="BP273" s="774"/>
      <c r="BS273" s="694" t="s">
        <v>2161</v>
      </c>
    </row>
    <row r="274" spans="1:75" ht="14.25" hidden="1" customHeight="1">
      <c r="B274" s="642" t="b" cm="1">
        <f t="array" ref="B274">B273</f>
        <v>0</v>
      </c>
      <c r="E274" s="505">
        <v>15</v>
      </c>
      <c r="F274" s="3" t="str" cm="1">
        <f t="array" aca="1" ref="F274" ca="1">OFFSET(E274,-1,1)</f>
        <v>1</v>
      </c>
      <c r="K274" s="25" t="s">
        <v>993</v>
      </c>
      <c r="L274" s="25"/>
      <c r="M274" s="25"/>
      <c r="T274" s="351" t="b" cm="1">
        <f t="array" aca="1" ref="T274" ca="1">T273</f>
        <v>1</v>
      </c>
      <c r="X274" s="1024"/>
      <c r="Z274" s="1008"/>
      <c r="AB274" s="133" t="s">
        <v>994</v>
      </c>
      <c r="AC274" s="127" t="s">
        <v>2162</v>
      </c>
      <c r="AD274" s="7" t="s">
        <v>859</v>
      </c>
      <c r="AE274" s="777"/>
      <c r="AF274" s="777"/>
      <c r="AG274" s="777"/>
      <c r="AH274" s="540"/>
      <c r="AI274" s="777"/>
      <c r="AJ274" s="128"/>
      <c r="AK274" s="128"/>
      <c r="AL274" s="128"/>
      <c r="AM274" s="777"/>
      <c r="AN274" s="777"/>
      <c r="AO274" s="777"/>
      <c r="AP274" s="777"/>
      <c r="AQ274" s="777"/>
      <c r="AR274" s="777"/>
      <c r="AS274" s="777"/>
      <c r="AT274" s="128"/>
      <c r="AU274" s="128"/>
      <c r="AV274" s="128"/>
      <c r="AW274" s="777"/>
      <c r="AX274" s="777"/>
      <c r="AY274" s="777"/>
      <c r="AZ274" s="777"/>
      <c r="BA274" s="777"/>
      <c r="BB274" s="777"/>
      <c r="BC274" s="777"/>
      <c r="BD274" s="540"/>
      <c r="BE274" s="540"/>
      <c r="BF274" s="540"/>
      <c r="BG274" s="540"/>
      <c r="BH274" s="540"/>
      <c r="BI274" s="540"/>
      <c r="BJ274" s="540"/>
      <c r="BK274" s="540"/>
      <c r="BL274" s="540"/>
      <c r="BM274" s="540"/>
      <c r="BN274" s="774"/>
      <c r="BO274" s="774"/>
      <c r="BP274" s="774"/>
      <c r="BS274" s="694" t="s">
        <v>2163</v>
      </c>
    </row>
    <row r="275" spans="1:75" ht="14.25" hidden="1" customHeight="1">
      <c r="B275" s="642" t="b" cm="1">
        <f t="array" ref="B275">B274</f>
        <v>0</v>
      </c>
      <c r="E275" s="505">
        <v>15</v>
      </c>
      <c r="F275" s="3" t="str" cm="1">
        <f t="array" aca="1" ref="F275" ca="1">OFFSET(E275,-1,1)</f>
        <v>1</v>
      </c>
      <c r="K275" s="25" t="s">
        <v>2164</v>
      </c>
      <c r="L275" s="25"/>
      <c r="M275" s="25"/>
      <c r="T275" s="351" t="b" cm="1">
        <f t="array" aca="1" ref="T275" ca="1">T274</f>
        <v>1</v>
      </c>
      <c r="X275" s="1024"/>
      <c r="Z275" s="1008"/>
      <c r="AB275" s="133" t="s">
        <v>2165</v>
      </c>
      <c r="AC275" s="134" t="s">
        <v>2166</v>
      </c>
      <c r="AD275" s="7" t="s">
        <v>501</v>
      </c>
      <c r="AE275" s="777"/>
      <c r="AF275" s="777"/>
      <c r="AG275" s="777"/>
      <c r="AH275" s="540"/>
      <c r="AI275" s="777"/>
      <c r="AJ275" s="128"/>
      <c r="AK275" s="128"/>
      <c r="AL275" s="128"/>
      <c r="AM275" s="777"/>
      <c r="AN275" s="777"/>
      <c r="AO275" s="777"/>
      <c r="AP275" s="777"/>
      <c r="AQ275" s="777"/>
      <c r="AR275" s="777"/>
      <c r="AS275" s="777"/>
      <c r="AT275" s="128"/>
      <c r="AU275" s="128"/>
      <c r="AV275" s="128"/>
      <c r="AW275" s="777"/>
      <c r="AX275" s="777"/>
      <c r="AY275" s="777"/>
      <c r="AZ275" s="777"/>
      <c r="BA275" s="777"/>
      <c r="BB275" s="777"/>
      <c r="BC275" s="777"/>
      <c r="BD275" s="540"/>
      <c r="BE275" s="540"/>
      <c r="BF275" s="540"/>
      <c r="BG275" s="540"/>
      <c r="BH275" s="540"/>
      <c r="BI275" s="540"/>
      <c r="BJ275" s="540"/>
      <c r="BK275" s="540"/>
      <c r="BL275" s="540"/>
      <c r="BM275" s="540"/>
      <c r="BN275" s="774"/>
      <c r="BO275" s="774"/>
      <c r="BP275" s="774"/>
      <c r="BS275" s="694" t="s">
        <v>2167</v>
      </c>
    </row>
    <row r="276" spans="1:75" ht="14.25" hidden="1" customHeight="1">
      <c r="B276" s="642" t="b" cm="1">
        <f t="array" ref="B276">B275</f>
        <v>0</v>
      </c>
      <c r="E276" s="505">
        <v>15</v>
      </c>
      <c r="F276" s="3" t="str" cm="1">
        <f t="array" aca="1" ref="F276" ca="1">OFFSET(E276,-1,1)</f>
        <v>1</v>
      </c>
      <c r="K276" s="25" t="s">
        <v>996</v>
      </c>
      <c r="L276" s="25"/>
      <c r="M276" s="25"/>
      <c r="T276" s="351" t="b" cm="1">
        <f t="array" aca="1" ref="T276" ca="1">T275</f>
        <v>1</v>
      </c>
      <c r="X276" s="1024"/>
      <c r="Z276" s="1008"/>
      <c r="AB276" s="133" t="s">
        <v>997</v>
      </c>
      <c r="AC276" s="127" t="s">
        <v>2168</v>
      </c>
      <c r="AD276" s="7" t="s">
        <v>501</v>
      </c>
      <c r="AE276" s="777"/>
      <c r="AF276" s="777"/>
      <c r="AG276" s="777"/>
      <c r="AH276" s="540"/>
      <c r="AI276" s="777"/>
      <c r="AJ276" s="128"/>
      <c r="AK276" s="128"/>
      <c r="AL276" s="128"/>
      <c r="AM276" s="777"/>
      <c r="AN276" s="777"/>
      <c r="AO276" s="777"/>
      <c r="AP276" s="777"/>
      <c r="AQ276" s="777"/>
      <c r="AR276" s="777"/>
      <c r="AS276" s="777"/>
      <c r="AT276" s="128"/>
      <c r="AU276" s="128"/>
      <c r="AV276" s="128"/>
      <c r="AW276" s="777"/>
      <c r="AX276" s="777"/>
      <c r="AY276" s="777"/>
      <c r="AZ276" s="777"/>
      <c r="BA276" s="777"/>
      <c r="BB276" s="777"/>
      <c r="BC276" s="777"/>
      <c r="BD276" s="540"/>
      <c r="BE276" s="540"/>
      <c r="BF276" s="540"/>
      <c r="BG276" s="540"/>
      <c r="BH276" s="540"/>
      <c r="BI276" s="540"/>
      <c r="BJ276" s="540"/>
      <c r="BK276" s="540"/>
      <c r="BL276" s="540"/>
      <c r="BM276" s="540"/>
      <c r="BN276" s="774"/>
      <c r="BO276" s="774"/>
      <c r="BP276" s="774"/>
      <c r="BS276" s="694" t="s">
        <v>2169</v>
      </c>
    </row>
    <row r="277" spans="1:75" ht="14.25" hidden="1" customHeight="1">
      <c r="B277" s="642" t="b" cm="1">
        <f t="array" ref="B277">B276</f>
        <v>0</v>
      </c>
      <c r="E277" s="505">
        <v>15</v>
      </c>
      <c r="F277" s="3" t="str" cm="1">
        <f t="array" aca="1" ref="F277" ca="1">OFFSET(E277,-1,1)</f>
        <v>1</v>
      </c>
      <c r="K277" s="25" t="s">
        <v>2170</v>
      </c>
      <c r="L277" s="25"/>
      <c r="M277" s="25"/>
      <c r="T277" s="351" t="b" cm="1">
        <f t="array" aca="1" ref="T277" ca="1">T276</f>
        <v>1</v>
      </c>
      <c r="X277" s="1024"/>
      <c r="Z277" s="1008"/>
      <c r="AB277" s="133" t="s">
        <v>2171</v>
      </c>
      <c r="AC277" s="134" t="s">
        <v>2172</v>
      </c>
      <c r="AD277" s="7" t="s">
        <v>501</v>
      </c>
      <c r="AE277" s="777"/>
      <c r="AF277" s="777"/>
      <c r="AG277" s="777"/>
      <c r="AH277" s="540"/>
      <c r="AI277" s="777"/>
      <c r="AJ277" s="128"/>
      <c r="AK277" s="128"/>
      <c r="AL277" s="128"/>
      <c r="AM277" s="777"/>
      <c r="AN277" s="777"/>
      <c r="AO277" s="777"/>
      <c r="AP277" s="777"/>
      <c r="AQ277" s="777"/>
      <c r="AR277" s="777"/>
      <c r="AS277" s="777"/>
      <c r="AT277" s="128"/>
      <c r="AU277" s="128"/>
      <c r="AV277" s="128"/>
      <c r="AW277" s="777"/>
      <c r="AX277" s="777"/>
      <c r="AY277" s="777"/>
      <c r="AZ277" s="777"/>
      <c r="BA277" s="777"/>
      <c r="BB277" s="777"/>
      <c r="BC277" s="777"/>
      <c r="BD277" s="540"/>
      <c r="BE277" s="540"/>
      <c r="BF277" s="540"/>
      <c r="BG277" s="540"/>
      <c r="BH277" s="540"/>
      <c r="BI277" s="540"/>
      <c r="BJ277" s="540"/>
      <c r="BK277" s="540"/>
      <c r="BL277" s="540"/>
      <c r="BM277" s="540"/>
      <c r="BN277" s="774"/>
      <c r="BO277" s="774"/>
      <c r="BP277" s="774"/>
      <c r="BS277" s="694" t="s">
        <v>2173</v>
      </c>
    </row>
    <row r="278" spans="1:75" ht="14.25" hidden="1" customHeight="1">
      <c r="B278" s="642" t="b" cm="1">
        <f t="array" ref="B278">B277</f>
        <v>0</v>
      </c>
      <c r="E278" s="505">
        <v>15</v>
      </c>
      <c r="F278" s="3" t="str" cm="1">
        <f t="array" aca="1" ref="F278" ca="1">OFFSET(E278,-1,1)</f>
        <v>1</v>
      </c>
      <c r="K278" s="25" t="s">
        <v>2174</v>
      </c>
      <c r="L278" s="25"/>
      <c r="M278" s="25"/>
      <c r="T278" s="351" t="b" cm="1">
        <f t="array" aca="1" ref="T278" ca="1">T277</f>
        <v>1</v>
      </c>
      <c r="X278" s="1024"/>
      <c r="Z278" s="1008"/>
      <c r="AB278" s="133" t="s">
        <v>2175</v>
      </c>
      <c r="AC278" s="134" t="s">
        <v>2176</v>
      </c>
      <c r="AD278" s="7" t="s">
        <v>501</v>
      </c>
      <c r="AE278" s="777"/>
      <c r="AF278" s="777"/>
      <c r="AG278" s="777"/>
      <c r="AH278" s="540"/>
      <c r="AI278" s="777"/>
      <c r="AJ278" s="128"/>
      <c r="AK278" s="128"/>
      <c r="AL278" s="128"/>
      <c r="AM278" s="777"/>
      <c r="AN278" s="777"/>
      <c r="AO278" s="777"/>
      <c r="AP278" s="777"/>
      <c r="AQ278" s="777"/>
      <c r="AR278" s="777"/>
      <c r="AS278" s="777"/>
      <c r="AT278" s="128"/>
      <c r="AU278" s="128"/>
      <c r="AV278" s="128"/>
      <c r="AW278" s="777"/>
      <c r="AX278" s="777"/>
      <c r="AY278" s="777"/>
      <c r="AZ278" s="777"/>
      <c r="BA278" s="777"/>
      <c r="BB278" s="777"/>
      <c r="BC278" s="777"/>
      <c r="BD278" s="540"/>
      <c r="BE278" s="540"/>
      <c r="BF278" s="540"/>
      <c r="BG278" s="540"/>
      <c r="BH278" s="540"/>
      <c r="BI278" s="540"/>
      <c r="BJ278" s="540"/>
      <c r="BK278" s="540"/>
      <c r="BL278" s="540"/>
      <c r="BM278" s="540"/>
      <c r="BN278" s="774"/>
      <c r="BO278" s="774"/>
      <c r="BP278" s="774"/>
      <c r="BS278" s="694" t="s">
        <v>2177</v>
      </c>
    </row>
    <row r="279" spans="1:75" s="903" customFormat="1" ht="20.25" customHeight="1">
      <c r="A279" s="76"/>
      <c r="B279" s="331"/>
      <c r="C279" s="76"/>
      <c r="D279" s="27" t="str">
        <f>IF(B278,"6","7")</f>
        <v>7</v>
      </c>
      <c r="E279" s="509">
        <v>21</v>
      </c>
      <c r="F279" s="3" t="str" cm="1">
        <f t="array" aca="1" ref="F279" ca="1">OFFSET(E279,-1,1)</f>
        <v>1</v>
      </c>
      <c r="G279" s="72" t="s">
        <v>2178</v>
      </c>
      <c r="H279" s="72"/>
      <c r="I279" s="278" t="s">
        <v>2179</v>
      </c>
      <c r="J279" s="76"/>
      <c r="K279" s="278" t="s">
        <v>2179</v>
      </c>
      <c r="L279" s="27"/>
      <c r="M279" s="27"/>
      <c r="N279" s="76"/>
      <c r="O279" s="76"/>
      <c r="P279" s="76"/>
      <c r="Q279" s="76"/>
      <c r="R279" s="76"/>
      <c r="S279" s="76"/>
      <c r="T279" s="351" t="b" cm="1">
        <f t="array" aca="1" ref="T279" ca="1">T278</f>
        <v>1</v>
      </c>
      <c r="U279" s="76"/>
      <c r="V279" s="76"/>
      <c r="W279" s="76"/>
      <c r="X279" s="1024"/>
      <c r="Y279" s="76"/>
      <c r="Z279" s="1008"/>
      <c r="AA279" s="76"/>
      <c r="AB279" s="124" t="str" cm="1">
        <f t="array" ref="AB279">D279</f>
        <v>7</v>
      </c>
      <c r="AC279" s="132" t="s">
        <v>1632</v>
      </c>
      <c r="AD279" s="124" t="s">
        <v>859</v>
      </c>
      <c r="AE279" s="138"/>
      <c r="AF279" s="138"/>
      <c r="AG279" s="138"/>
      <c r="AH279" s="126">
        <f>AG279-AF279</f>
        <v>0</v>
      </c>
      <c r="AI279" s="138"/>
      <c r="AJ279" s="128">
        <f ca="1">SUMIFS('Корректировка НВВ'!$AF$25:$AF$129,'Корректировка НВВ'!$F$25:$F$129,$F279,'Корректировка НВВ'!$I$25:$I$129,$G279)</f>
        <v>841.61</v>
      </c>
      <c r="AK279" s="138"/>
      <c r="AL279" s="138"/>
      <c r="AM279" s="138"/>
      <c r="AN279" s="138"/>
      <c r="AO279" s="138"/>
      <c r="AP279" s="138"/>
      <c r="AQ279" s="138"/>
      <c r="AR279" s="138"/>
      <c r="AS279" s="138"/>
      <c r="AT279" s="128">
        <f ca="1">SUMIFS('Корректировка НВВ'!$AG$25:$AG$129,'Корректировка НВВ'!$F$25:$F$129,$F279,'Корректировка НВВ'!$I$25:$I$129,$G279)</f>
        <v>12305.45</v>
      </c>
      <c r="AU279" s="138"/>
      <c r="AV279" s="138"/>
      <c r="AW279" s="138"/>
      <c r="AX279" s="138"/>
      <c r="AY279" s="138"/>
      <c r="AZ279" s="138"/>
      <c r="BA279" s="138"/>
      <c r="BB279" s="138"/>
      <c r="BC279" s="138"/>
      <c r="BD279" s="126">
        <f>IF(AI279=0,0,(AT279-AI279)/AI279*100)</f>
        <v>0</v>
      </c>
      <c r="BE279" s="126">
        <f t="shared" ref="BE279:BM279" ca="1" si="67">IF(AT279=0,0,(AU279-AT279)/AT279*100)</f>
        <v>-100</v>
      </c>
      <c r="BF279" s="126">
        <f t="shared" si="67"/>
        <v>0</v>
      </c>
      <c r="BG279" s="126">
        <f t="shared" si="67"/>
        <v>0</v>
      </c>
      <c r="BH279" s="126">
        <f t="shared" si="67"/>
        <v>0</v>
      </c>
      <c r="BI279" s="126">
        <f t="shared" si="67"/>
        <v>0</v>
      </c>
      <c r="BJ279" s="126">
        <f t="shared" si="67"/>
        <v>0</v>
      </c>
      <c r="BK279" s="126">
        <f t="shared" si="67"/>
        <v>0</v>
      </c>
      <c r="BL279" s="126">
        <f t="shared" si="67"/>
        <v>0</v>
      </c>
      <c r="BM279" s="126">
        <f t="shared" si="67"/>
        <v>0</v>
      </c>
      <c r="BN279" s="554"/>
      <c r="BO279" s="599" t="str">
        <f ca="1">IF(IFERROR(INDEX('Корректировка НВВ'!$K$26:$L$129,MATCH($F279&amp;"11komm",'Корректировка НВВ'!$K$26:$K$129,0),2),"")=0,"",IFERROR(INDEX('Корректировка НВВ'!$K$26:$L$129,MATCH($F279&amp;"11komm",'Корректировка НВВ'!$K$26:$K$129,0),2),""))</f>
        <v/>
      </c>
      <c r="BP279" s="554"/>
      <c r="BQ279" s="76"/>
      <c r="BR279" s="76"/>
      <c r="BS279" s="700" t="s">
        <v>2180</v>
      </c>
      <c r="BT279" s="700"/>
      <c r="BU279" s="700"/>
      <c r="BV279" s="509"/>
      <c r="BW279" s="509"/>
    </row>
    <row r="280" spans="1:75" ht="14.25" customHeight="1">
      <c r="D280" s="25" t="str" cm="1">
        <f t="array" ref="D280">D279</f>
        <v>7</v>
      </c>
      <c r="E280" s="505">
        <v>15</v>
      </c>
      <c r="F280" s="3" t="str" cm="1">
        <f t="array" aca="1" ref="F280" ca="1">OFFSET(E280,-1,1)</f>
        <v>1</v>
      </c>
      <c r="L280" s="25"/>
      <c r="M280" s="25"/>
      <c r="T280" s="351" t="b" cm="1">
        <f t="array" aca="1" ref="T280" ca="1">T279</f>
        <v>1</v>
      </c>
      <c r="X280" s="1024"/>
      <c r="Z280" s="1008"/>
      <c r="AB280" s="7"/>
      <c r="AC280" s="345" t="s">
        <v>2181</v>
      </c>
      <c r="AD280" s="7"/>
      <c r="AE280" s="540"/>
      <c r="AF280" s="540"/>
      <c r="AG280" s="540"/>
      <c r="AH280" s="540"/>
      <c r="AI280" s="540"/>
      <c r="AJ280" s="540"/>
      <c r="AK280" s="540"/>
      <c r="AL280" s="540"/>
      <c r="AM280" s="540"/>
      <c r="AN280" s="540"/>
      <c r="AO280" s="540"/>
      <c r="AP280" s="540"/>
      <c r="AQ280" s="540"/>
      <c r="AR280" s="540"/>
      <c r="AS280" s="540"/>
      <c r="AT280" s="540"/>
      <c r="AU280" s="540"/>
      <c r="AV280" s="540"/>
      <c r="AW280" s="540"/>
      <c r="AX280" s="540"/>
      <c r="AY280" s="540"/>
      <c r="AZ280" s="540"/>
      <c r="BA280" s="540"/>
      <c r="BB280" s="540"/>
      <c r="BC280" s="540"/>
      <c r="BD280" s="540"/>
      <c r="BE280" s="540"/>
      <c r="BF280" s="540"/>
      <c r="BG280" s="540"/>
      <c r="BH280" s="540"/>
      <c r="BI280" s="540"/>
      <c r="BJ280" s="540"/>
      <c r="BK280" s="540"/>
      <c r="BL280" s="540"/>
      <c r="BM280" s="540"/>
      <c r="BN280" s="384"/>
      <c r="BO280" s="384"/>
      <c r="BP280" s="384"/>
    </row>
    <row r="281" spans="1:75" ht="21.75" customHeight="1">
      <c r="D281" s="25" t="str" cm="1">
        <f t="array" ref="D281">D280</f>
        <v>7</v>
      </c>
      <c r="E281" s="505">
        <v>22.5</v>
      </c>
      <c r="F281" s="3" t="str" cm="1">
        <f t="array" aca="1" ref="F281" ca="1">OFFSET(E281,-1,1)</f>
        <v>1</v>
      </c>
      <c r="G281" s="72" t="s">
        <v>364</v>
      </c>
      <c r="I281" s="72" t="s">
        <v>560</v>
      </c>
      <c r="K281" s="72" t="s">
        <v>560</v>
      </c>
      <c r="L281" s="25"/>
      <c r="M281" s="25"/>
      <c r="T281" s="351" t="b" cm="1">
        <f t="array" aca="1" ref="T281" ca="1">T280</f>
        <v>1</v>
      </c>
      <c r="X281" s="1024"/>
      <c r="Z281" s="1008"/>
      <c r="AB281" s="7" t="str">
        <f>D281&amp;".1"</f>
        <v>7.1</v>
      </c>
      <c r="AC281" s="127" t="s">
        <v>2182</v>
      </c>
      <c r="AD281" s="7" t="s">
        <v>859</v>
      </c>
      <c r="AE281" s="128"/>
      <c r="AF281" s="128"/>
      <c r="AG281" s="128"/>
      <c r="AH281" s="170">
        <f t="shared" ref="AH281:AH294" si="68">AG281-AF281</f>
        <v>0</v>
      </c>
      <c r="AI281" s="128"/>
      <c r="AJ281" s="128">
        <f ca="1">SUMIFS('Корректировка НВВ'!$AF$25:$AF$129,'Корректировка НВВ'!$F$25:$F$129,$F281,'Корректировка НВВ'!$I$25:$I$129,$G281)</f>
        <v>0</v>
      </c>
      <c r="AK281" s="128"/>
      <c r="AL281" s="128"/>
      <c r="AM281" s="128"/>
      <c r="AN281" s="128"/>
      <c r="AO281" s="128"/>
      <c r="AP281" s="128"/>
      <c r="AQ281" s="128"/>
      <c r="AR281" s="128"/>
      <c r="AS281" s="128"/>
      <c r="AT281" s="128">
        <f ca="1">SUMIFS('Корректировка НВВ'!$AG$25:$AG$129,'Корректировка НВВ'!$F$25:$F$129,$F281,'Корректировка НВВ'!$I$25:$I$129,$G281)</f>
        <v>0</v>
      </c>
      <c r="AU281" s="128"/>
      <c r="AV281" s="128"/>
      <c r="AW281" s="128"/>
      <c r="AX281" s="128"/>
      <c r="AY281" s="128"/>
      <c r="AZ281" s="128"/>
      <c r="BA281" s="128"/>
      <c r="BB281" s="128"/>
      <c r="BC281" s="128"/>
      <c r="BD281" s="540"/>
      <c r="BE281" s="540"/>
      <c r="BF281" s="540"/>
      <c r="BG281" s="540"/>
      <c r="BH281" s="540"/>
      <c r="BI281" s="540"/>
      <c r="BJ281" s="540"/>
      <c r="BK281" s="540"/>
      <c r="BL281" s="540"/>
      <c r="BM281" s="540"/>
      <c r="BN281" s="195"/>
      <c r="BO281" s="599" t="str">
        <f ca="1">IF(IFERROR(INDEX('Корректировка НВВ'!$K$26:$L$129,MATCH($F281&amp;"1komm",'Корректировка НВВ'!$K$26:$K$129,0),2),"")=0,"",IFERROR(INDEX('Корректировка НВВ'!$K$26:$L$129,MATCH($F281&amp;"1komm",'Корректировка НВВ'!$K$26:$K$129,0),2),""))</f>
        <v/>
      </c>
      <c r="BP281" s="195"/>
      <c r="BS281" s="694" t="s">
        <v>2183</v>
      </c>
    </row>
    <row r="282" spans="1:75" ht="98.25" customHeight="1">
      <c r="D282" s="25" t="str" cm="1">
        <f t="array" ref="D282">D281</f>
        <v>7</v>
      </c>
      <c r="E282" s="505">
        <v>101.25</v>
      </c>
      <c r="F282" s="3" t="str" cm="1">
        <f t="array" aca="1" ref="F282" ca="1">OFFSET(E282,-1,1)</f>
        <v>1</v>
      </c>
      <c r="G282" s="72" t="s">
        <v>2184</v>
      </c>
      <c r="I282" s="72" t="s">
        <v>613</v>
      </c>
      <c r="K282" s="72" t="s">
        <v>613</v>
      </c>
      <c r="L282" s="25"/>
      <c r="M282" s="25"/>
      <c r="T282" s="351" t="b" cm="1">
        <f t="array" aca="1" ref="T282" ca="1">T281</f>
        <v>1</v>
      </c>
      <c r="X282" s="1024"/>
      <c r="Z282" s="1008"/>
      <c r="AB282" s="7" t="str">
        <f>D282&amp;".2"</f>
        <v>7.2</v>
      </c>
      <c r="AC282" s="127" t="s">
        <v>2185</v>
      </c>
      <c r="AD282" s="7" t="s">
        <v>859</v>
      </c>
      <c r="AE282" s="128"/>
      <c r="AF282" s="128"/>
      <c r="AG282" s="128"/>
      <c r="AH282" s="170">
        <f t="shared" si="68"/>
        <v>0</v>
      </c>
      <c r="AI282" s="128"/>
      <c r="AJ282" s="128">
        <f ca="1">SUMIFS('Корректировка НВВ'!$AF$25:$AF$129,'Корректировка НВВ'!$F$25:$F$129,$F282,'Корректировка НВВ'!$I$25:$I$129,$G282)</f>
        <v>0</v>
      </c>
      <c r="AK282" s="128"/>
      <c r="AL282" s="128"/>
      <c r="AM282" s="128"/>
      <c r="AN282" s="128"/>
      <c r="AO282" s="128"/>
      <c r="AP282" s="128"/>
      <c r="AQ282" s="128"/>
      <c r="AR282" s="128"/>
      <c r="AS282" s="128"/>
      <c r="AT282" s="128">
        <f ca="1">SUMIFS('Корректировка НВВ'!$AG$25:$AG$129,'Корректировка НВВ'!$F$25:$F$129,$F282,'Корректировка НВВ'!$I$25:$I$129,$G282)</f>
        <v>0</v>
      </c>
      <c r="AU282" s="128"/>
      <c r="AV282" s="128"/>
      <c r="AW282" s="128"/>
      <c r="AX282" s="128"/>
      <c r="AY282" s="128"/>
      <c r="AZ282" s="128"/>
      <c r="BA282" s="128"/>
      <c r="BB282" s="128"/>
      <c r="BC282" s="128"/>
      <c r="BD282" s="540"/>
      <c r="BE282" s="540"/>
      <c r="BF282" s="540"/>
      <c r="BG282" s="540"/>
      <c r="BH282" s="540"/>
      <c r="BI282" s="540"/>
      <c r="BJ282" s="540"/>
      <c r="BK282" s="540"/>
      <c r="BL282" s="540"/>
      <c r="BM282" s="540"/>
      <c r="BN282" s="195"/>
      <c r="BO282" s="599" t="str">
        <f ca="1">IF(IFERROR(INDEX('Корректировка НВВ'!$K$26:$L$129,MATCH($F282&amp;"2komm",'Корректировка НВВ'!$K$26:$K$129,0),2),"")=0,"",IFERROR(INDEX('Корректировка НВВ'!$K$26:$L$129,MATCH($F282&amp;"2komm",'Корректировка НВВ'!$K$26:$K$129,0),2),""))</f>
        <v/>
      </c>
      <c r="BP282" s="195"/>
      <c r="BS282" s="694" t="s">
        <v>2186</v>
      </c>
    </row>
    <row r="283" spans="1:75" ht="43.5" customHeight="1">
      <c r="D283" s="25" t="str" cm="1">
        <f t="array" ref="D283">D282</f>
        <v>7</v>
      </c>
      <c r="E283" s="505">
        <v>45</v>
      </c>
      <c r="F283" s="3" t="str" cm="1">
        <f t="array" aca="1" ref="F283" ca="1">OFFSET(E283,-1,1)</f>
        <v>1</v>
      </c>
      <c r="I283" s="72" t="s">
        <v>628</v>
      </c>
      <c r="K283" s="72" t="s">
        <v>628</v>
      </c>
      <c r="L283" s="25"/>
      <c r="M283" s="25"/>
      <c r="T283" s="351" t="b" cm="1">
        <f t="array" aca="1" ref="T283" ca="1">T282</f>
        <v>1</v>
      </c>
      <c r="X283" s="1024"/>
      <c r="Z283" s="1008"/>
      <c r="AB283" s="7" t="str">
        <f>D283&amp;".3"</f>
        <v>7.3</v>
      </c>
      <c r="AC283" s="127" t="s">
        <v>2187</v>
      </c>
      <c r="AD283" s="7" t="s">
        <v>859</v>
      </c>
      <c r="AE283" s="128"/>
      <c r="AF283" s="128"/>
      <c r="AG283" s="128"/>
      <c r="AH283" s="170">
        <f t="shared" si="68"/>
        <v>0</v>
      </c>
      <c r="AI283" s="128"/>
      <c r="AJ283" s="128">
        <f ca="1">SUMIFS('Корректировка НВВ'!$AF$25:$AF$129,'Корректировка НВВ'!$F$25:$F$129,$F283,'Корректировка НВВ'!$I$25:$I$129,"L1")+SUMIFS('Корректировка НВВ'!$AF$25:$AF$129,'Корректировка НВВ'!$F$25:$F$129,$F283,'Корректировка НВВ'!$I$25:$I$129,"L2")</f>
        <v>841.61</v>
      </c>
      <c r="AK283" s="128"/>
      <c r="AL283" s="128"/>
      <c r="AM283" s="128"/>
      <c r="AN283" s="128"/>
      <c r="AO283" s="128"/>
      <c r="AP283" s="128"/>
      <c r="AQ283" s="128"/>
      <c r="AR283" s="128"/>
      <c r="AS283" s="128"/>
      <c r="AT283" s="128">
        <f ca="1">SUMIFS('Корректировка НВВ'!$AG$25:$AG$129,'Корректировка НВВ'!$F$25:$F$129,$F283,'Корректировка НВВ'!$I$25:$I$129,"L1")+SUMIFS('Корректировка НВВ'!$AF$25:$AF$129,'Корректировка НВВ'!$F$25:$F$129,$F283,'Корректировка НВВ'!$I$25:$I$129,"L2")</f>
        <v>12305.45</v>
      </c>
      <c r="AU283" s="128"/>
      <c r="AV283" s="128"/>
      <c r="AW283" s="128"/>
      <c r="AX283" s="128"/>
      <c r="AY283" s="128"/>
      <c r="AZ283" s="128"/>
      <c r="BA283" s="128"/>
      <c r="BB283" s="128"/>
      <c r="BC283" s="128"/>
      <c r="BD283" s="540"/>
      <c r="BE283" s="540"/>
      <c r="BF283" s="540"/>
      <c r="BG283" s="540"/>
      <c r="BH283" s="540"/>
      <c r="BI283" s="540"/>
      <c r="BJ283" s="540"/>
      <c r="BK283" s="540"/>
      <c r="BL283" s="540"/>
      <c r="BM283" s="540"/>
      <c r="BN283" s="195"/>
      <c r="BO283" s="599"/>
      <c r="BP283" s="195"/>
      <c r="BS283" s="694" t="s">
        <v>2188</v>
      </c>
    </row>
    <row r="284" spans="1:75" ht="87.75" hidden="1" customHeight="1">
      <c r="B284" s="340" t="b">
        <f>S171="Водоотведение"</f>
        <v>0</v>
      </c>
      <c r="D284" s="25" t="str" cm="1">
        <f t="array" ref="D284">D283</f>
        <v>7</v>
      </c>
      <c r="E284" s="505">
        <v>90</v>
      </c>
      <c r="F284" s="3" t="str" cm="1">
        <f t="array" aca="1" ref="F284" ca="1">OFFSET(E284,-1,1)</f>
        <v>1</v>
      </c>
      <c r="G284" s="72" t="s">
        <v>2189</v>
      </c>
      <c r="H284" s="2"/>
      <c r="I284" s="72" t="s">
        <v>794</v>
      </c>
      <c r="K284" s="72" t="s">
        <v>794</v>
      </c>
      <c r="L284" s="25" t="s">
        <v>792</v>
      </c>
      <c r="M284" s="25"/>
      <c r="T284" s="351" t="b" cm="1">
        <f t="array" aca="1" ref="T284" ca="1">T283</f>
        <v>1</v>
      </c>
      <c r="X284" s="1024"/>
      <c r="Z284" s="1008"/>
      <c r="AB284" s="7" t="str">
        <f>D284&amp;".4"</f>
        <v>7.4</v>
      </c>
      <c r="AC284" s="127" t="s">
        <v>1858</v>
      </c>
      <c r="AD284" s="9" t="s">
        <v>859</v>
      </c>
      <c r="AE284" s="777"/>
      <c r="AF284" s="777"/>
      <c r="AG284" s="777"/>
      <c r="AH284" s="170">
        <f t="shared" si="68"/>
        <v>0</v>
      </c>
      <c r="AI284" s="777"/>
      <c r="AJ284" s="128">
        <f ca="1">SUMIFS('Корректировка НВВ'!$AF$25:$AF$129,'Корректировка НВВ'!$F$25:$F$129,$F284,'Корректировка НВВ'!$I$25:$I$129,$G284)</f>
        <v>0</v>
      </c>
      <c r="AK284" s="128"/>
      <c r="AL284" s="128"/>
      <c r="AM284" s="777"/>
      <c r="AN284" s="777"/>
      <c r="AO284" s="777"/>
      <c r="AP284" s="777"/>
      <c r="AQ284" s="777"/>
      <c r="AR284" s="777"/>
      <c r="AS284" s="777"/>
      <c r="AT284" s="128">
        <f ca="1">SUMIFS('Корректировка НВВ'!$AG$25:$AG$129,'Корректировка НВВ'!$F$25:$F$129,$F284,'Корректировка НВВ'!$I$25:$I$129,$G284)</f>
        <v>0</v>
      </c>
      <c r="AU284" s="128"/>
      <c r="AV284" s="128"/>
      <c r="AW284" s="777"/>
      <c r="AX284" s="777"/>
      <c r="AY284" s="777"/>
      <c r="AZ284" s="777"/>
      <c r="BA284" s="777"/>
      <c r="BB284" s="777"/>
      <c r="BC284" s="777"/>
      <c r="BD284" s="540"/>
      <c r="BE284" s="540"/>
      <c r="BF284" s="540"/>
      <c r="BG284" s="540"/>
      <c r="BH284" s="540"/>
      <c r="BI284" s="540"/>
      <c r="BJ284" s="540"/>
      <c r="BK284" s="540"/>
      <c r="BL284" s="540"/>
      <c r="BM284" s="540"/>
      <c r="BN284" s="774"/>
      <c r="BO284" s="778" t="str">
        <f ca="1">IF(IFERROR(INDEX('Корректировка НВВ'!$K$26:$L$129,MATCH($F284&amp;"3komm",'Корректировка НВВ'!$K$26:$K$129,0),2),"")=0,"",IFERROR(INDEX('Корректировка НВВ'!$K$26:$L$129,MATCH($F284&amp;"3komm",'Корректировка НВВ'!$K$26:$K$129,0),2),""))</f>
        <v/>
      </c>
      <c r="BP284" s="774"/>
      <c r="BS284" s="694" t="s">
        <v>1408</v>
      </c>
    </row>
    <row r="285" spans="1:75" ht="54.75" hidden="1" customHeight="1">
      <c r="B285" s="340" t="b" cm="1">
        <f t="array" ref="B285">B284</f>
        <v>0</v>
      </c>
      <c r="D285" s="25" t="str" cm="1">
        <f t="array" ref="D285">D284</f>
        <v>7</v>
      </c>
      <c r="E285" s="505">
        <v>56.25</v>
      </c>
      <c r="F285" s="3" t="str" cm="1">
        <f t="array" aca="1" ref="F285" ca="1">OFFSET(E285,-1,1)</f>
        <v>1</v>
      </c>
      <c r="G285" s="72" t="s">
        <v>2190</v>
      </c>
      <c r="H285" s="2"/>
      <c r="I285" s="72" t="s">
        <v>837</v>
      </c>
      <c r="K285" s="72" t="s">
        <v>837</v>
      </c>
      <c r="L285" s="25" t="s">
        <v>794</v>
      </c>
      <c r="M285" s="25"/>
      <c r="T285" s="351" t="b" cm="1">
        <f t="array" aca="1" ref="T285" ca="1">T284</f>
        <v>1</v>
      </c>
      <c r="X285" s="1024"/>
      <c r="Z285" s="1008"/>
      <c r="AB285" s="7" t="str">
        <f>D285&amp;".5"</f>
        <v>7.5</v>
      </c>
      <c r="AC285" s="127" t="s">
        <v>1859</v>
      </c>
      <c r="AD285" s="9" t="s">
        <v>859</v>
      </c>
      <c r="AE285" s="777"/>
      <c r="AF285" s="777"/>
      <c r="AG285" s="777"/>
      <c r="AH285" s="170">
        <f t="shared" si="68"/>
        <v>0</v>
      </c>
      <c r="AI285" s="777"/>
      <c r="AJ285" s="128">
        <f ca="1">SUMIFS('Корректировка НВВ'!$AF$25:$AF$129,'Корректировка НВВ'!$F$25:$F$129,$F285,'Корректировка НВВ'!$I$25:$I$129,$G285)</f>
        <v>0</v>
      </c>
      <c r="AK285" s="128"/>
      <c r="AL285" s="128"/>
      <c r="AM285" s="777"/>
      <c r="AN285" s="777"/>
      <c r="AO285" s="777"/>
      <c r="AP285" s="777"/>
      <c r="AQ285" s="777"/>
      <c r="AR285" s="777"/>
      <c r="AS285" s="777"/>
      <c r="AT285" s="128">
        <f ca="1">SUMIFS('Корректировка НВВ'!$AG$25:$AG$129,'Корректировка НВВ'!$F$25:$F$129,$F285,'Корректировка НВВ'!$I$25:$I$129,$G285)</f>
        <v>0</v>
      </c>
      <c r="AU285" s="128"/>
      <c r="AV285" s="128"/>
      <c r="AW285" s="777"/>
      <c r="AX285" s="777"/>
      <c r="AY285" s="777"/>
      <c r="AZ285" s="777"/>
      <c r="BA285" s="777"/>
      <c r="BB285" s="777"/>
      <c r="BC285" s="777"/>
      <c r="BD285" s="540"/>
      <c r="BE285" s="540"/>
      <c r="BF285" s="540"/>
      <c r="BG285" s="540"/>
      <c r="BH285" s="540"/>
      <c r="BI285" s="540"/>
      <c r="BJ285" s="540"/>
      <c r="BK285" s="540"/>
      <c r="BL285" s="540"/>
      <c r="BM285" s="540"/>
      <c r="BN285" s="774"/>
      <c r="BO285" s="778" t="str">
        <f ca="1">IF(IFERROR(INDEX('Корректировка НВВ'!$K$26:$L$129,MATCH($F285&amp;"4komm",'Корректировка НВВ'!$K$26:$K$129,0),2),"")=0,"",IFERROR(INDEX('Корректировка НВВ'!$K$26:$L$129,MATCH($F285&amp;"4komm",'Корректировка НВВ'!$K$26:$K$129,0),2),""))</f>
        <v/>
      </c>
      <c r="BP285" s="774"/>
      <c r="BS285" s="694" t="s">
        <v>1412</v>
      </c>
    </row>
    <row r="286" spans="1:75" ht="14.25" customHeight="1">
      <c r="D286" s="25" t="str" cm="1">
        <f t="array" ref="D286">D285</f>
        <v>7</v>
      </c>
      <c r="E286" s="505">
        <v>15</v>
      </c>
      <c r="F286" s="3" t="str" cm="1">
        <f t="array" aca="1" ref="F286" ca="1">OFFSET(E286,-1,1)</f>
        <v>1</v>
      </c>
      <c r="G286" s="72" t="s">
        <v>2191</v>
      </c>
      <c r="I286" s="72" t="s">
        <v>838</v>
      </c>
      <c r="K286" s="72" t="s">
        <v>838</v>
      </c>
      <c r="L286" s="25" t="s">
        <v>837</v>
      </c>
      <c r="M286" s="25"/>
      <c r="T286" s="351" t="b" cm="1">
        <f t="array" aca="1" ref="T286" ca="1">T285</f>
        <v>1</v>
      </c>
      <c r="X286" s="1024"/>
      <c r="Z286" s="1008"/>
      <c r="AB286" s="7" t="str">
        <f>IF(B285,D286&amp;".6",D286&amp;".4")</f>
        <v>7.4</v>
      </c>
      <c r="AC286" s="127" t="s">
        <v>1625</v>
      </c>
      <c r="AD286" s="7" t="s">
        <v>859</v>
      </c>
      <c r="AE286" s="128"/>
      <c r="AF286" s="128"/>
      <c r="AG286" s="128"/>
      <c r="AH286" s="170">
        <f t="shared" si="68"/>
        <v>0</v>
      </c>
      <c r="AI286" s="128"/>
      <c r="AJ286" s="128">
        <f ca="1">SUMIFS('Корректировка НВВ'!$AF$25:$AF$129,'Корректировка НВВ'!$F$25:$F$129,$F286,'Корректировка НВВ'!$I$25:$I$129,$G286)</f>
        <v>0</v>
      </c>
      <c r="AK286" s="128"/>
      <c r="AL286" s="128"/>
      <c r="AM286" s="128"/>
      <c r="AN286" s="128"/>
      <c r="AO286" s="128"/>
      <c r="AP286" s="128"/>
      <c r="AQ286" s="128"/>
      <c r="AR286" s="128"/>
      <c r="AS286" s="128"/>
      <c r="AT286" s="128">
        <f ca="1">SUMIFS('Корректировка НВВ'!$AG$25:$AG$129,'Корректировка НВВ'!$F$25:$F$129,$F286,'Корректировка НВВ'!$I$25:$I$129,$G286)</f>
        <v>0</v>
      </c>
      <c r="AU286" s="128"/>
      <c r="AV286" s="128"/>
      <c r="AW286" s="128"/>
      <c r="AX286" s="128"/>
      <c r="AY286" s="128"/>
      <c r="AZ286" s="128"/>
      <c r="BA286" s="128"/>
      <c r="BB286" s="128"/>
      <c r="BC286" s="128"/>
      <c r="BD286" s="540"/>
      <c r="BE286" s="540"/>
      <c r="BF286" s="540"/>
      <c r="BG286" s="540"/>
      <c r="BH286" s="540"/>
      <c r="BI286" s="540"/>
      <c r="BJ286" s="540"/>
      <c r="BK286" s="540"/>
      <c r="BL286" s="540"/>
      <c r="BM286" s="540"/>
      <c r="BN286" s="195"/>
      <c r="BO286" s="599" t="str">
        <f ca="1">IF(IFERROR(INDEX('Корректировка НВВ'!$K$26:$L$129,MATCH($F286&amp;"5komm",'Корректировка НВВ'!$K$26:$K$129,0),2),"")=0,"",IFERROR(INDEX('Корректировка НВВ'!$K$26:$L$129,MATCH($F286&amp;"5komm",'Корректировка НВВ'!$K$26:$K$129,0),2),""))</f>
        <v/>
      </c>
      <c r="BP286" s="195"/>
      <c r="BS286" s="694" t="s">
        <v>2192</v>
      </c>
    </row>
    <row r="287" spans="1:75" ht="14.25" customHeight="1">
      <c r="D287" s="25" t="str" cm="1">
        <f t="array" ref="D287">D286</f>
        <v>7</v>
      </c>
      <c r="E287" s="505">
        <v>15</v>
      </c>
      <c r="F287" s="3" t="str" cm="1">
        <f t="array" aca="1" ref="F287" ca="1">OFFSET(E287,-1,1)</f>
        <v>1</v>
      </c>
      <c r="G287" s="72" t="s">
        <v>2193</v>
      </c>
      <c r="I287" s="72" t="s">
        <v>1867</v>
      </c>
      <c r="K287" s="72" t="s">
        <v>1867</v>
      </c>
      <c r="L287" s="25" t="s">
        <v>838</v>
      </c>
      <c r="M287" s="25"/>
      <c r="T287" s="351" t="b" cm="1">
        <f t="array" aca="1" ref="T287" ca="1">T286</f>
        <v>1</v>
      </c>
      <c r="X287" s="1024"/>
      <c r="Z287" s="1008"/>
      <c r="AB287" s="7" t="str">
        <f>IF(B285,D286&amp;".7",D286&amp;".5")</f>
        <v>7.5</v>
      </c>
      <c r="AC287" s="127" t="s">
        <v>1587</v>
      </c>
      <c r="AD287" s="7" t="s">
        <v>859</v>
      </c>
      <c r="AE287" s="128">
        <f>AE288+AE289</f>
        <v>0</v>
      </c>
      <c r="AF287" s="128">
        <f>AF288+AF289</f>
        <v>0</v>
      </c>
      <c r="AG287" s="128">
        <f>AG288+AG289</f>
        <v>0</v>
      </c>
      <c r="AH287" s="170">
        <f t="shared" si="68"/>
        <v>0</v>
      </c>
      <c r="AI287" s="128">
        <f>AI288+AI289</f>
        <v>0</v>
      </c>
      <c r="AJ287" s="128">
        <f ca="1">SUMIFS('Корректировка НВВ'!$AF$25:$AF$129,'Корректировка НВВ'!$F$25:$F$129,$F287,'Корректировка НВВ'!$I$25:$I$129,$G287)</f>
        <v>0</v>
      </c>
      <c r="AK287" s="128">
        <f t="shared" ref="AK287:AS287" si="69">AK288+AK289</f>
        <v>0</v>
      </c>
      <c r="AL287" s="128">
        <f t="shared" si="69"/>
        <v>0</v>
      </c>
      <c r="AM287" s="128">
        <f t="shared" si="69"/>
        <v>0</v>
      </c>
      <c r="AN287" s="128">
        <f t="shared" si="69"/>
        <v>0</v>
      </c>
      <c r="AO287" s="128">
        <f t="shared" si="69"/>
        <v>0</v>
      </c>
      <c r="AP287" s="128">
        <f t="shared" si="69"/>
        <v>0</v>
      </c>
      <c r="AQ287" s="128">
        <f t="shared" si="69"/>
        <v>0</v>
      </c>
      <c r="AR287" s="128">
        <f t="shared" si="69"/>
        <v>0</v>
      </c>
      <c r="AS287" s="128">
        <f t="shared" si="69"/>
        <v>0</v>
      </c>
      <c r="AT287" s="128">
        <f ca="1">SUMIFS('Корректировка НВВ'!$AG$25:$AG$129,'Корректировка НВВ'!$F$25:$F$129,$F287,'Корректировка НВВ'!$I$25:$I$129,$G287)</f>
        <v>0</v>
      </c>
      <c r="AU287" s="128">
        <f t="shared" ref="AU287:BC287" si="70">AU288+AU289</f>
        <v>0</v>
      </c>
      <c r="AV287" s="128">
        <f t="shared" si="70"/>
        <v>0</v>
      </c>
      <c r="AW287" s="128">
        <f t="shared" si="70"/>
        <v>0</v>
      </c>
      <c r="AX287" s="128">
        <f t="shared" si="70"/>
        <v>0</v>
      </c>
      <c r="AY287" s="128">
        <f t="shared" si="70"/>
        <v>0</v>
      </c>
      <c r="AZ287" s="128">
        <f t="shared" si="70"/>
        <v>0</v>
      </c>
      <c r="BA287" s="128">
        <f t="shared" si="70"/>
        <v>0</v>
      </c>
      <c r="BB287" s="128">
        <f t="shared" si="70"/>
        <v>0</v>
      </c>
      <c r="BC287" s="128">
        <f t="shared" si="70"/>
        <v>0</v>
      </c>
      <c r="BD287" s="170">
        <f>IF(AI287=0,0,(AT287-AI287)/AI287*100)</f>
        <v>0</v>
      </c>
      <c r="BE287" s="170">
        <f t="shared" ref="BE287:BM287" ca="1" si="71">IF(AT287=0,0,(AU287-AT287)/AT287*100)</f>
        <v>0</v>
      </c>
      <c r="BF287" s="170">
        <f t="shared" si="71"/>
        <v>0</v>
      </c>
      <c r="BG287" s="170">
        <f t="shared" si="71"/>
        <v>0</v>
      </c>
      <c r="BH287" s="170">
        <f t="shared" si="71"/>
        <v>0</v>
      </c>
      <c r="BI287" s="170">
        <f t="shared" si="71"/>
        <v>0</v>
      </c>
      <c r="BJ287" s="170">
        <f t="shared" si="71"/>
        <v>0</v>
      </c>
      <c r="BK287" s="170">
        <f t="shared" si="71"/>
        <v>0</v>
      </c>
      <c r="BL287" s="170">
        <f t="shared" si="71"/>
        <v>0</v>
      </c>
      <c r="BM287" s="170">
        <f t="shared" si="71"/>
        <v>0</v>
      </c>
      <c r="BN287" s="195"/>
      <c r="BO287" s="599" t="str">
        <f ca="1">IF(IFERROR(INDEX('Корректировка НВВ'!$K$26:$L$129,MATCH($F287&amp;"6komm",'Корректировка НВВ'!$K$26:$K$129,0),2),"")=0,"",IFERROR(INDEX('Корректировка НВВ'!$K$26:$L$129,MATCH($F287&amp;"6komm",'Корректировка НВВ'!$K$26:$K$129,0),2),""))</f>
        <v/>
      </c>
      <c r="BP287" s="195"/>
      <c r="BS287" s="694" t="s">
        <v>1589</v>
      </c>
    </row>
    <row r="288" spans="1:75" ht="21.75" customHeight="1">
      <c r="D288" s="25" t="str" cm="1">
        <f t="array" ref="D288">D287</f>
        <v>7</v>
      </c>
      <c r="E288" s="505">
        <v>22.5</v>
      </c>
      <c r="F288" s="3" t="str" cm="1">
        <f t="array" aca="1" ref="F288" ca="1">OFFSET(E288,-1,1)</f>
        <v>1</v>
      </c>
      <c r="G288" s="72" t="s">
        <v>2194</v>
      </c>
      <c r="I288" s="72" t="s">
        <v>2195</v>
      </c>
      <c r="K288" s="72" t="s">
        <v>2195</v>
      </c>
      <c r="L288" s="25" t="s">
        <v>1862</v>
      </c>
      <c r="M288" s="25"/>
      <c r="T288" s="351" t="b" cm="1">
        <f t="array" aca="1" ref="T288" ca="1">T287</f>
        <v>1</v>
      </c>
      <c r="X288" s="1024"/>
      <c r="Z288" s="1008"/>
      <c r="AB288" s="7" t="str">
        <f>AB287&amp;".1"</f>
        <v>7.5.1</v>
      </c>
      <c r="AC288" s="547" t="s">
        <v>1590</v>
      </c>
      <c r="AD288" s="7" t="s">
        <v>859</v>
      </c>
      <c r="AE288" s="128"/>
      <c r="AF288" s="128"/>
      <c r="AG288" s="128"/>
      <c r="AH288" s="170">
        <f t="shared" si="68"/>
        <v>0</v>
      </c>
      <c r="AI288" s="128"/>
      <c r="AJ288" s="128">
        <f ca="1">SUMIFS('Корректировка НВВ'!$AF$25:$AF$129,'Корректировка НВВ'!$F$25:$F$129,$F288,'Корректировка НВВ'!$I$25:$I$129,$G288)</f>
        <v>0</v>
      </c>
      <c r="AK288" s="128"/>
      <c r="AL288" s="128"/>
      <c r="AM288" s="128"/>
      <c r="AN288" s="128"/>
      <c r="AO288" s="128"/>
      <c r="AP288" s="128"/>
      <c r="AQ288" s="128"/>
      <c r="AR288" s="128"/>
      <c r="AS288" s="128"/>
      <c r="AT288" s="128">
        <f ca="1">SUMIFS('Корректировка НВВ'!$AG$25:$AG$129,'Корректировка НВВ'!$F$25:$F$129,$F288,'Корректировка НВВ'!$I$25:$I$129,$G288)</f>
        <v>0</v>
      </c>
      <c r="AU288" s="128"/>
      <c r="AV288" s="128"/>
      <c r="AW288" s="128"/>
      <c r="AX288" s="128"/>
      <c r="AY288" s="128"/>
      <c r="AZ288" s="128"/>
      <c r="BA288" s="128"/>
      <c r="BB288" s="128"/>
      <c r="BC288" s="128"/>
      <c r="BD288" s="540"/>
      <c r="BE288" s="540"/>
      <c r="BF288" s="540"/>
      <c r="BG288" s="540"/>
      <c r="BH288" s="540"/>
      <c r="BI288" s="540"/>
      <c r="BJ288" s="540"/>
      <c r="BK288" s="540"/>
      <c r="BL288" s="540"/>
      <c r="BM288" s="540"/>
      <c r="BN288" s="195"/>
      <c r="BO288" s="599" t="str">
        <f ca="1">IF(IFERROR(INDEX('Корректировка НВВ'!$K$26:$L$129,MATCH($F288&amp;"7komm",'Корректировка НВВ'!$K$26:$K$129,0),2),"")=0,"",IFERROR(INDEX('Корректировка НВВ'!$K$26:$L$129,MATCH($F288&amp;"7komm",'Корректировка НВВ'!$K$26:$K$129,0),2),""))</f>
        <v/>
      </c>
      <c r="BP288" s="195"/>
      <c r="BS288" s="694" t="s">
        <v>1591</v>
      </c>
    </row>
    <row r="289" spans="1:75" ht="21.75" customHeight="1">
      <c r="D289" s="25" t="str" cm="1">
        <f t="array" ref="D289">D288</f>
        <v>7</v>
      </c>
      <c r="E289" s="505">
        <v>22.5</v>
      </c>
      <c r="F289" s="3" t="str" cm="1">
        <f t="array" aca="1" ref="F289" ca="1">OFFSET(E289,-1,1)</f>
        <v>1</v>
      </c>
      <c r="G289" s="72" t="s">
        <v>2196</v>
      </c>
      <c r="I289" s="72" t="s">
        <v>2197</v>
      </c>
      <c r="K289" s="72" t="s">
        <v>2197</v>
      </c>
      <c r="L289" s="25" t="s">
        <v>1864</v>
      </c>
      <c r="M289" s="25"/>
      <c r="T289" s="351" t="b" cm="1">
        <f t="array" aca="1" ref="T289" ca="1">T288</f>
        <v>1</v>
      </c>
      <c r="X289" s="1024"/>
      <c r="Z289" s="1008"/>
      <c r="AB289" s="7" t="str">
        <f>AB287&amp;".2"</f>
        <v>7.5.2</v>
      </c>
      <c r="AC289" s="547" t="s">
        <v>1592</v>
      </c>
      <c r="AD289" s="7" t="s">
        <v>859</v>
      </c>
      <c r="AE289" s="128"/>
      <c r="AF289" s="128"/>
      <c r="AG289" s="128"/>
      <c r="AH289" s="170">
        <f t="shared" si="68"/>
        <v>0</v>
      </c>
      <c r="AI289" s="128"/>
      <c r="AJ289" s="128">
        <f ca="1">SUMIFS('Корректировка НВВ'!$AF$25:$AF$129,'Корректировка НВВ'!$F$25:$F$129,$F289,'Корректировка НВВ'!$I$25:$I$129,$G289)</f>
        <v>0</v>
      </c>
      <c r="AK289" s="128"/>
      <c r="AL289" s="128"/>
      <c r="AM289" s="128"/>
      <c r="AN289" s="128"/>
      <c r="AO289" s="128"/>
      <c r="AP289" s="128"/>
      <c r="AQ289" s="128"/>
      <c r="AR289" s="128"/>
      <c r="AS289" s="128"/>
      <c r="AT289" s="128">
        <f ca="1">SUMIFS('Корректировка НВВ'!$AG$25:$AG$129,'Корректировка НВВ'!$F$25:$F$129,$F289,'Корректировка НВВ'!$I$25:$I$129,$G289)</f>
        <v>0</v>
      </c>
      <c r="AU289" s="128"/>
      <c r="AV289" s="128"/>
      <c r="AW289" s="128"/>
      <c r="AX289" s="128"/>
      <c r="AY289" s="128"/>
      <c r="AZ289" s="128"/>
      <c r="BA289" s="128"/>
      <c r="BB289" s="128"/>
      <c r="BC289" s="128"/>
      <c r="BD289" s="540"/>
      <c r="BE289" s="540"/>
      <c r="BF289" s="540"/>
      <c r="BG289" s="540"/>
      <c r="BH289" s="540"/>
      <c r="BI289" s="540"/>
      <c r="BJ289" s="540"/>
      <c r="BK289" s="540"/>
      <c r="BL289" s="540"/>
      <c r="BM289" s="540"/>
      <c r="BN289" s="195"/>
      <c r="BO289" s="599" t="str">
        <f ca="1">IF(IFERROR(INDEX('Корректировка НВВ'!$K$26:$L$129,MATCH($F289&amp;"8komm",'Корректировка НВВ'!$K$26:$K$129,0),2),"")=0,"",IFERROR(INDEX('Корректировка НВВ'!$K$26:$L$129,MATCH($F289&amp;"8komm",'Корректировка НВВ'!$K$26:$K$129,0),2),""))</f>
        <v/>
      </c>
      <c r="BP289" s="195"/>
      <c r="BS289" s="694" t="s">
        <v>1593</v>
      </c>
    </row>
    <row r="290" spans="1:75" ht="14.25" customHeight="1">
      <c r="D290" s="25" t="str" cm="1">
        <f t="array" ref="D290">D289</f>
        <v>7</v>
      </c>
      <c r="E290" s="505">
        <v>15</v>
      </c>
      <c r="F290" s="3" t="str" cm="1">
        <f t="array" aca="1" ref="F290" ca="1">OFFSET(E290,-1,1)</f>
        <v>1</v>
      </c>
      <c r="G290" s="72" t="s">
        <v>308</v>
      </c>
      <c r="I290" s="72" t="s">
        <v>1868</v>
      </c>
      <c r="K290" s="72" t="s">
        <v>1868</v>
      </c>
      <c r="L290" s="25" t="s">
        <v>1867</v>
      </c>
      <c r="M290" s="25"/>
      <c r="T290" s="351" t="b" cm="1">
        <f t="array" aca="1" ref="T290" ca="1">T289</f>
        <v>1</v>
      </c>
      <c r="X290" s="1024"/>
      <c r="Z290" s="1008"/>
      <c r="AB290" s="7" t="str">
        <f>IF(B285,D286&amp;".8",D286&amp;".6")</f>
        <v>7.6</v>
      </c>
      <c r="AC290" s="548" t="s">
        <v>1594</v>
      </c>
      <c r="AD290" s="7" t="s">
        <v>859</v>
      </c>
      <c r="AE290" s="128"/>
      <c r="AF290" s="128"/>
      <c r="AG290" s="128"/>
      <c r="AH290" s="170">
        <f t="shared" si="68"/>
        <v>0</v>
      </c>
      <c r="AI290" s="128"/>
      <c r="AJ290" s="128">
        <f ca="1">SUMIFS('Корректировка НВВ'!$AF$25:$AF$129,'Корректировка НВВ'!$F$25:$F$129,$F290,'Корректировка НВВ'!$I$25:$I$129,$G290)</f>
        <v>0</v>
      </c>
      <c r="AK290" s="128"/>
      <c r="AL290" s="128"/>
      <c r="AM290" s="128"/>
      <c r="AN290" s="128"/>
      <c r="AO290" s="128"/>
      <c r="AP290" s="128"/>
      <c r="AQ290" s="128"/>
      <c r="AR290" s="128"/>
      <c r="AS290" s="128"/>
      <c r="AT290" s="128">
        <f ca="1">SUMIFS('Корректировка НВВ'!$AG$25:$AG$129,'Корректировка НВВ'!$F$25:$F$129,$F290,'Корректировка НВВ'!$I$25:$I$129,$G290)</f>
        <v>0</v>
      </c>
      <c r="AU290" s="128"/>
      <c r="AV290" s="128"/>
      <c r="AW290" s="128"/>
      <c r="AX290" s="128"/>
      <c r="AY290" s="128"/>
      <c r="AZ290" s="128"/>
      <c r="BA290" s="128"/>
      <c r="BB290" s="128"/>
      <c r="BC290" s="128"/>
      <c r="BD290" s="540"/>
      <c r="BE290" s="540"/>
      <c r="BF290" s="540"/>
      <c r="BG290" s="540"/>
      <c r="BH290" s="540"/>
      <c r="BI290" s="540"/>
      <c r="BJ290" s="540"/>
      <c r="BK290" s="540"/>
      <c r="BL290" s="540"/>
      <c r="BM290" s="540"/>
      <c r="BN290" s="195"/>
      <c r="BO290" s="599" t="str">
        <f ca="1">IF(IFERROR(INDEX('Корректировка НВВ'!$K$26:$L$129,MATCH($F290&amp;"9komm",'Корректировка НВВ'!$K$26:$K$129,0),2),"")=0,"",IFERROR(INDEX('Корректировка НВВ'!$K$26:$L$129,MATCH($F290&amp;"9komm",'Корректировка НВВ'!$K$26:$K$129,0),2),""))</f>
        <v/>
      </c>
      <c r="BP290" s="195"/>
      <c r="BS290" s="694" t="s">
        <v>2198</v>
      </c>
    </row>
    <row r="291" spans="1:75" ht="14.25" customHeight="1">
      <c r="D291" s="25" t="str" cm="1">
        <f t="array" ref="D291">D290</f>
        <v>7</v>
      </c>
      <c r="E291" s="505">
        <v>15</v>
      </c>
      <c r="F291" s="3" t="str" cm="1">
        <f t="array" aca="1" ref="F291" ca="1">OFFSET(E291,-1,1)</f>
        <v>1</v>
      </c>
      <c r="G291" s="72" t="s">
        <v>2199</v>
      </c>
      <c r="I291" s="72" t="s">
        <v>1869</v>
      </c>
      <c r="K291" s="72" t="s">
        <v>1869</v>
      </c>
      <c r="L291" s="25" t="s">
        <v>1868</v>
      </c>
      <c r="M291" s="25"/>
      <c r="T291" s="351" t="b" cm="1">
        <f t="array" aca="1" ref="T291" ca="1">T290</f>
        <v>1</v>
      </c>
      <c r="X291" s="1024"/>
      <c r="Z291" s="1008"/>
      <c r="AB291" s="7" t="str">
        <f>IF(B285,D286&amp;".9",D286&amp;".7")</f>
        <v>7.7</v>
      </c>
      <c r="AC291" s="548" t="s">
        <v>1596</v>
      </c>
      <c r="AD291" s="7" t="s">
        <v>859</v>
      </c>
      <c r="AE291" s="128"/>
      <c r="AF291" s="128"/>
      <c r="AG291" s="128"/>
      <c r="AH291" s="170">
        <f t="shared" si="68"/>
        <v>0</v>
      </c>
      <c r="AI291" s="128"/>
      <c r="AJ291" s="128">
        <f ca="1">SUMIFS('Корректировка НВВ'!$AF$25:$AF$129,'Корректировка НВВ'!$F$25:$F$129,$F291,'Корректировка НВВ'!$I$25:$I$129,$G291)</f>
        <v>0</v>
      </c>
      <c r="AK291" s="128"/>
      <c r="AL291" s="128"/>
      <c r="AM291" s="128"/>
      <c r="AN291" s="128"/>
      <c r="AO291" s="128"/>
      <c r="AP291" s="128"/>
      <c r="AQ291" s="128"/>
      <c r="AR291" s="128"/>
      <c r="AS291" s="128"/>
      <c r="AT291" s="128">
        <f ca="1">SUMIFS('Корректировка НВВ'!$AG$25:$AG$129,'Корректировка НВВ'!$F$25:$F$129,$F291,'Корректировка НВВ'!$I$25:$I$129,$G291)</f>
        <v>0</v>
      </c>
      <c r="AU291" s="128"/>
      <c r="AV291" s="128"/>
      <c r="AW291" s="128"/>
      <c r="AX291" s="128"/>
      <c r="AY291" s="128"/>
      <c r="AZ291" s="128"/>
      <c r="BA291" s="128"/>
      <c r="BB291" s="128"/>
      <c r="BC291" s="128"/>
      <c r="BD291" s="540"/>
      <c r="BE291" s="540"/>
      <c r="BF291" s="540"/>
      <c r="BG291" s="540"/>
      <c r="BH291" s="540"/>
      <c r="BI291" s="540"/>
      <c r="BJ291" s="540"/>
      <c r="BK291" s="540"/>
      <c r="BL291" s="540"/>
      <c r="BM291" s="540"/>
      <c r="BN291" s="195"/>
      <c r="BO291" s="599" t="str">
        <f ca="1">IF(IFERROR(INDEX('Корректировка НВВ'!$K$26:$L$129,MATCH($F291&amp;"10komm",'Корректировка НВВ'!$K$26:$K$129,0),2),"")=0,"",IFERROR(INDEX('Корректировка НВВ'!$K$26:$L$129,MATCH($F291&amp;"10komm",'Корректировка НВВ'!$K$26:$K$129,0),2),""))</f>
        <v/>
      </c>
      <c r="BP291" s="195"/>
      <c r="BS291" s="694" t="s">
        <v>1597</v>
      </c>
    </row>
    <row r="292" spans="1:75" s="903" customFormat="1" ht="20.25" customHeight="1">
      <c r="A292" s="76"/>
      <c r="B292" s="331"/>
      <c r="C292" s="76"/>
      <c r="D292" s="27">
        <f>D291+1</f>
        <v>8</v>
      </c>
      <c r="E292" s="509">
        <v>21</v>
      </c>
      <c r="F292" s="3" t="str" cm="1">
        <f t="array" aca="1" ref="F292" ca="1">OFFSET(E292,-1,1)</f>
        <v>1</v>
      </c>
      <c r="G292" s="76"/>
      <c r="H292" s="76"/>
      <c r="I292" s="76" t="s">
        <v>635</v>
      </c>
      <c r="J292" s="76"/>
      <c r="K292" s="76" t="s">
        <v>635</v>
      </c>
      <c r="L292" s="27"/>
      <c r="M292" s="27"/>
      <c r="N292" s="76"/>
      <c r="O292" s="76"/>
      <c r="P292" s="76"/>
      <c r="Q292" s="76"/>
      <c r="R292" s="76"/>
      <c r="S292" s="76"/>
      <c r="T292" s="351" t="b" cm="1">
        <f t="array" aca="1" ref="T292" ca="1">T291</f>
        <v>1</v>
      </c>
      <c r="U292" s="76"/>
      <c r="V292" s="76"/>
      <c r="W292" s="76"/>
      <c r="X292" s="1024"/>
      <c r="Y292" s="76"/>
      <c r="Z292" s="1008"/>
      <c r="AA292" s="76"/>
      <c r="AB292" s="124" cm="1">
        <f t="array" ref="AB292">D292</f>
        <v>8</v>
      </c>
      <c r="AC292" s="125" t="s">
        <v>2200</v>
      </c>
      <c r="AD292" s="124" t="s">
        <v>859</v>
      </c>
      <c r="AE292" s="138"/>
      <c r="AF292" s="138"/>
      <c r="AG292" s="138"/>
      <c r="AH292" s="126">
        <f t="shared" si="68"/>
        <v>0</v>
      </c>
      <c r="AI292" s="138"/>
      <c r="AJ292" s="138"/>
      <c r="AK292" s="138"/>
      <c r="AL292" s="138"/>
      <c r="AM292" s="138"/>
      <c r="AN292" s="138"/>
      <c r="AO292" s="138"/>
      <c r="AP292" s="138"/>
      <c r="AQ292" s="138"/>
      <c r="AR292" s="138"/>
      <c r="AS292" s="138"/>
      <c r="AT292" s="138"/>
      <c r="AU292" s="138"/>
      <c r="AV292" s="138"/>
      <c r="AW292" s="138"/>
      <c r="AX292" s="138"/>
      <c r="AY292" s="138"/>
      <c r="AZ292" s="138"/>
      <c r="BA292" s="138"/>
      <c r="BB292" s="138"/>
      <c r="BC292" s="138"/>
      <c r="BD292" s="129"/>
      <c r="BE292" s="129"/>
      <c r="BF292" s="129"/>
      <c r="BG292" s="129"/>
      <c r="BH292" s="129"/>
      <c r="BI292" s="129"/>
      <c r="BJ292" s="129"/>
      <c r="BK292" s="129"/>
      <c r="BL292" s="129"/>
      <c r="BM292" s="129"/>
      <c r="BN292" s="554"/>
      <c r="BO292" s="554"/>
      <c r="BP292" s="554"/>
      <c r="BQ292" s="76"/>
      <c r="BR292" s="76"/>
      <c r="BS292" s="700" t="s">
        <v>2201</v>
      </c>
      <c r="BT292" s="700"/>
      <c r="BU292" s="700"/>
      <c r="BV292" s="509"/>
      <c r="BW292" s="509"/>
    </row>
    <row r="293" spans="1:75" ht="14.25" customHeight="1">
      <c r="D293" s="27" cm="1">
        <f t="array" ref="D293">D292</f>
        <v>8</v>
      </c>
      <c r="E293" s="505">
        <v>15</v>
      </c>
      <c r="F293" s="3" t="str" cm="1">
        <f t="array" aca="1" ref="F293" ca="1">OFFSET(E293,-1,1)</f>
        <v>1</v>
      </c>
      <c r="I293" s="72" t="s">
        <v>638</v>
      </c>
      <c r="K293" s="72" t="s">
        <v>638</v>
      </c>
      <c r="L293" s="25"/>
      <c r="M293" s="25"/>
      <c r="T293" s="351" t="b" cm="1">
        <f t="array" aca="1" ref="T293" ca="1">T292</f>
        <v>1</v>
      </c>
      <c r="X293" s="1024"/>
      <c r="Z293" s="1008"/>
      <c r="AB293" s="7" t="str">
        <f>D293&amp;".1"</f>
        <v>8.1</v>
      </c>
      <c r="AC293" s="127" t="s">
        <v>2202</v>
      </c>
      <c r="AD293" s="7" t="s">
        <v>501</v>
      </c>
      <c r="AE293" s="170">
        <f ca="1">IF(AE294=0,0,AE292/(AE294+AE279)*100)</f>
        <v>0</v>
      </c>
      <c r="AF293" s="170">
        <f ca="1">IF(AF294=0,0,AF292/(AF294+AF279)*100)</f>
        <v>0</v>
      </c>
      <c r="AG293" s="170">
        <f ca="1">IF(AG294=0,0,AG292/(AG294+AG279)*100)</f>
        <v>0</v>
      </c>
      <c r="AH293" s="170">
        <f t="shared" ca="1" si="68"/>
        <v>0</v>
      </c>
      <c r="AI293" s="170">
        <f t="shared" ref="AI293:BC293" ca="1" si="72">IF(AI294=0,0,AI292/(AI294+AI279)*100)</f>
        <v>0</v>
      </c>
      <c r="AJ293" s="170">
        <f t="shared" ca="1" si="72"/>
        <v>0</v>
      </c>
      <c r="AK293" s="170">
        <f t="shared" ca="1" si="72"/>
        <v>0</v>
      </c>
      <c r="AL293" s="170">
        <f t="shared" ca="1" si="72"/>
        <v>0</v>
      </c>
      <c r="AM293" s="170">
        <f t="shared" ca="1" si="72"/>
        <v>0</v>
      </c>
      <c r="AN293" s="170">
        <f t="shared" ca="1" si="72"/>
        <v>0</v>
      </c>
      <c r="AO293" s="170">
        <f t="shared" ca="1" si="72"/>
        <v>0</v>
      </c>
      <c r="AP293" s="170">
        <f t="shared" ca="1" si="72"/>
        <v>0</v>
      </c>
      <c r="AQ293" s="170">
        <f t="shared" ca="1" si="72"/>
        <v>0</v>
      </c>
      <c r="AR293" s="170">
        <f t="shared" ca="1" si="72"/>
        <v>0</v>
      </c>
      <c r="AS293" s="170">
        <f t="shared" ca="1" si="72"/>
        <v>0</v>
      </c>
      <c r="AT293" s="170">
        <f t="shared" ca="1" si="72"/>
        <v>0</v>
      </c>
      <c r="AU293" s="170">
        <f t="shared" ca="1" si="72"/>
        <v>0</v>
      </c>
      <c r="AV293" s="170">
        <f t="shared" ca="1" si="72"/>
        <v>0</v>
      </c>
      <c r="AW293" s="170">
        <f t="shared" ca="1" si="72"/>
        <v>0</v>
      </c>
      <c r="AX293" s="170">
        <f t="shared" ca="1" si="72"/>
        <v>0</v>
      </c>
      <c r="AY293" s="170">
        <f t="shared" ca="1" si="72"/>
        <v>0</v>
      </c>
      <c r="AZ293" s="170">
        <f t="shared" ca="1" si="72"/>
        <v>0</v>
      </c>
      <c r="BA293" s="170">
        <f t="shared" ca="1" si="72"/>
        <v>0</v>
      </c>
      <c r="BB293" s="170">
        <f t="shared" ca="1" si="72"/>
        <v>0</v>
      </c>
      <c r="BC293" s="170">
        <f t="shared" ca="1" si="72"/>
        <v>0</v>
      </c>
      <c r="BD293" s="540"/>
      <c r="BE293" s="540"/>
      <c r="BF293" s="540"/>
      <c r="BG293" s="540"/>
      <c r="BH293" s="540"/>
      <c r="BI293" s="540"/>
      <c r="BJ293" s="540"/>
      <c r="BK293" s="540"/>
      <c r="BL293" s="540"/>
      <c r="BM293" s="540"/>
      <c r="BN293" s="195"/>
      <c r="BO293" s="195"/>
      <c r="BP293" s="195"/>
      <c r="BS293" s="694" t="s">
        <v>2203</v>
      </c>
    </row>
    <row r="294" spans="1:75" s="903" customFormat="1" ht="20.25" customHeight="1">
      <c r="A294" s="76"/>
      <c r="B294" s="331"/>
      <c r="C294" s="76"/>
      <c r="D294" s="27">
        <f>D293+1</f>
        <v>9</v>
      </c>
      <c r="E294" s="509">
        <v>21</v>
      </c>
      <c r="F294" s="3" t="str" cm="1">
        <f t="array" aca="1" ref="F294" ca="1">OFFSET(E294,-1,1)</f>
        <v>1</v>
      </c>
      <c r="G294" s="76"/>
      <c r="H294" s="72"/>
      <c r="I294" s="72" t="s">
        <v>792</v>
      </c>
      <c r="J294" s="76"/>
      <c r="K294" s="72" t="s">
        <v>792</v>
      </c>
      <c r="L294" s="27" t="s">
        <v>1869</v>
      </c>
      <c r="M294" s="27"/>
      <c r="N294" s="76"/>
      <c r="O294" s="76"/>
      <c r="P294" s="76"/>
      <c r="Q294" s="76"/>
      <c r="R294" s="76"/>
      <c r="S294" s="76"/>
      <c r="T294" s="351" t="b" cm="1">
        <f t="array" aca="1" ref="T294" ca="1">T293</f>
        <v>1</v>
      </c>
      <c r="U294" s="76"/>
      <c r="V294" s="76"/>
      <c r="W294" s="76"/>
      <c r="X294" s="1024"/>
      <c r="Y294" s="76"/>
      <c r="Z294" s="1008"/>
      <c r="AA294" s="76"/>
      <c r="AB294" s="124" cm="1">
        <f t="array" ref="AB294">D294</f>
        <v>9</v>
      </c>
      <c r="AC294" s="125" t="s">
        <v>1870</v>
      </c>
      <c r="AD294" s="147" t="s">
        <v>859</v>
      </c>
      <c r="AE294" s="126">
        <f ca="1">AE172+AE222+AE258+AE259+AE261+AE266+AE267+AE270</f>
        <v>5396.75</v>
      </c>
      <c r="AF294" s="126">
        <f ca="1">AF172+AF222+AF258+AF259+AF261+AF266+AF267+AF270</f>
        <v>12305.45</v>
      </c>
      <c r="AG294" s="126">
        <f ca="1">AG172+AG222+AG258+AG259+AG261+AG266+AG267+AG270</f>
        <v>12305.45</v>
      </c>
      <c r="AH294" s="126">
        <f t="shared" ca="1" si="68"/>
        <v>0</v>
      </c>
      <c r="AI294" s="126">
        <f t="shared" ref="AI294:BC294" ca="1" si="73">AI172+AI222+AI258+AI259+AI261+AI266+AI267+AI270</f>
        <v>112288.87</v>
      </c>
      <c r="AJ294" s="126">
        <f t="shared" ca="1" si="73"/>
        <v>134863.47200000001</v>
      </c>
      <c r="AK294" s="126">
        <f t="shared" ca="1" si="73"/>
        <v>145065.4099</v>
      </c>
      <c r="AL294" s="126">
        <f t="shared" ca="1" si="73"/>
        <v>150873.67748000001</v>
      </c>
      <c r="AM294" s="126">
        <f t="shared" ca="1" si="73"/>
        <v>0</v>
      </c>
      <c r="AN294" s="126">
        <f t="shared" ca="1" si="73"/>
        <v>0</v>
      </c>
      <c r="AO294" s="126">
        <f t="shared" ca="1" si="73"/>
        <v>0</v>
      </c>
      <c r="AP294" s="126">
        <f t="shared" ca="1" si="73"/>
        <v>0</v>
      </c>
      <c r="AQ294" s="126">
        <f t="shared" ca="1" si="73"/>
        <v>0</v>
      </c>
      <c r="AR294" s="126">
        <f t="shared" ca="1" si="73"/>
        <v>0</v>
      </c>
      <c r="AS294" s="126">
        <f t="shared" ca="1" si="73"/>
        <v>0</v>
      </c>
      <c r="AT294" s="126">
        <f t="shared" ca="1" si="73"/>
        <v>132903.25</v>
      </c>
      <c r="AU294" s="126">
        <f t="shared" ca="1" si="73"/>
        <v>143077.14170000001</v>
      </c>
      <c r="AV294" s="126">
        <f t="shared" ca="1" si="73"/>
        <v>148859.2930033</v>
      </c>
      <c r="AW294" s="126">
        <f t="shared" ca="1" si="73"/>
        <v>0</v>
      </c>
      <c r="AX294" s="126">
        <f t="shared" ca="1" si="73"/>
        <v>0</v>
      </c>
      <c r="AY294" s="126">
        <f t="shared" ca="1" si="73"/>
        <v>0</v>
      </c>
      <c r="AZ294" s="126">
        <f t="shared" ca="1" si="73"/>
        <v>0</v>
      </c>
      <c r="BA294" s="126">
        <f t="shared" ca="1" si="73"/>
        <v>0</v>
      </c>
      <c r="BB294" s="126">
        <f t="shared" ca="1" si="73"/>
        <v>0</v>
      </c>
      <c r="BC294" s="126">
        <f t="shared" ca="1" si="73"/>
        <v>0</v>
      </c>
      <c r="BD294" s="126">
        <f ca="1">IF(AI294=0,0,(AT294-AI294)/AI294*100)</f>
        <v>18.358346646466391</v>
      </c>
      <c r="BE294" s="126">
        <f t="shared" ref="BE294:BM295" ca="1" si="74">IF(AT294=0,0,(AU294-AT294)/AT294*100)</f>
        <v>7.6551112933656684</v>
      </c>
      <c r="BF294" s="126">
        <f t="shared" ca="1" si="74"/>
        <v>4.041282370194283</v>
      </c>
      <c r="BG294" s="126">
        <f t="shared" ca="1" si="74"/>
        <v>-100</v>
      </c>
      <c r="BH294" s="126">
        <f t="shared" ca="1" si="74"/>
        <v>0</v>
      </c>
      <c r="BI294" s="126">
        <f t="shared" ca="1" si="74"/>
        <v>0</v>
      </c>
      <c r="BJ294" s="126">
        <f t="shared" ca="1" si="74"/>
        <v>0</v>
      </c>
      <c r="BK294" s="126">
        <f t="shared" ca="1" si="74"/>
        <v>0</v>
      </c>
      <c r="BL294" s="126">
        <f t="shared" ca="1" si="74"/>
        <v>0</v>
      </c>
      <c r="BM294" s="126">
        <f t="shared" ca="1" si="74"/>
        <v>0</v>
      </c>
      <c r="BN294" s="195"/>
      <c r="BO294" s="195"/>
      <c r="BP294" s="195"/>
      <c r="BQ294" s="76"/>
      <c r="BR294" s="76"/>
      <c r="BS294" s="700" t="s">
        <v>1871</v>
      </c>
      <c r="BT294" s="700"/>
      <c r="BU294" s="700"/>
      <c r="BV294" s="509"/>
      <c r="BW294" s="509"/>
    </row>
    <row r="295" spans="1:75" s="903" customFormat="1" ht="20.25" customHeight="1">
      <c r="A295" s="76"/>
      <c r="B295" s="331"/>
      <c r="C295" s="76"/>
      <c r="D295" s="27">
        <f>D294+1</f>
        <v>10</v>
      </c>
      <c r="E295" s="509">
        <v>21</v>
      </c>
      <c r="F295" s="3" t="str" cm="1">
        <f t="array" aca="1" ref="F295" ca="1">OFFSET(E295,-1,1)</f>
        <v>1</v>
      </c>
      <c r="G295" s="76"/>
      <c r="H295" s="72"/>
      <c r="I295" s="72" t="s">
        <v>1880</v>
      </c>
      <c r="J295" s="76"/>
      <c r="K295" s="72" t="s">
        <v>1880</v>
      </c>
      <c r="L295" s="27"/>
      <c r="M295" s="27"/>
      <c r="N295" s="76"/>
      <c r="O295" s="76"/>
      <c r="P295" s="76"/>
      <c r="Q295" s="76"/>
      <c r="R295" s="76"/>
      <c r="S295" s="76"/>
      <c r="T295" s="351" t="b" cm="1">
        <f t="array" aca="1" ref="T295" ca="1">T294</f>
        <v>1</v>
      </c>
      <c r="U295" s="76"/>
      <c r="V295" s="76"/>
      <c r="W295" s="76"/>
      <c r="X295" s="1024"/>
      <c r="Y295" s="76"/>
      <c r="Z295" s="1008"/>
      <c r="AA295" s="76"/>
      <c r="AB295" s="124" cm="1">
        <f t="array" ref="AB295">D295</f>
        <v>10</v>
      </c>
      <c r="AC295" s="125" t="s">
        <v>2204</v>
      </c>
      <c r="AD295" s="124" t="s">
        <v>859</v>
      </c>
      <c r="AE295" s="126">
        <f t="shared" ref="AE295:BC295" ca="1" si="75">AE294+AE279+AE292</f>
        <v>5396.75</v>
      </c>
      <c r="AF295" s="126">
        <f t="shared" ca="1" si="75"/>
        <v>12305.45</v>
      </c>
      <c r="AG295" s="126">
        <f t="shared" ca="1" si="75"/>
        <v>12305.45</v>
      </c>
      <c r="AH295" s="126">
        <f t="shared" ca="1" si="75"/>
        <v>0</v>
      </c>
      <c r="AI295" s="126">
        <f t="shared" ca="1" si="75"/>
        <v>112288.87</v>
      </c>
      <c r="AJ295" s="126">
        <f t="shared" ca="1" si="75"/>
        <v>135705.08199999999</v>
      </c>
      <c r="AK295" s="126">
        <f t="shared" ca="1" si="75"/>
        <v>145065.4099</v>
      </c>
      <c r="AL295" s="126">
        <f t="shared" ca="1" si="75"/>
        <v>150873.67748000001</v>
      </c>
      <c r="AM295" s="126">
        <f t="shared" ca="1" si="75"/>
        <v>0</v>
      </c>
      <c r="AN295" s="126">
        <f t="shared" ca="1" si="75"/>
        <v>0</v>
      </c>
      <c r="AO295" s="126">
        <f t="shared" ca="1" si="75"/>
        <v>0</v>
      </c>
      <c r="AP295" s="126">
        <f t="shared" ca="1" si="75"/>
        <v>0</v>
      </c>
      <c r="AQ295" s="126">
        <f t="shared" ca="1" si="75"/>
        <v>0</v>
      </c>
      <c r="AR295" s="126">
        <f t="shared" ca="1" si="75"/>
        <v>0</v>
      </c>
      <c r="AS295" s="126">
        <f t="shared" ca="1" si="75"/>
        <v>0</v>
      </c>
      <c r="AT295" s="126">
        <f t="shared" ca="1" si="75"/>
        <v>145208.70000000001</v>
      </c>
      <c r="AU295" s="126">
        <f t="shared" ca="1" si="75"/>
        <v>143077.14170000001</v>
      </c>
      <c r="AV295" s="126">
        <f t="shared" ca="1" si="75"/>
        <v>148859.2930033</v>
      </c>
      <c r="AW295" s="126">
        <f t="shared" ca="1" si="75"/>
        <v>0</v>
      </c>
      <c r="AX295" s="126">
        <f t="shared" ca="1" si="75"/>
        <v>0</v>
      </c>
      <c r="AY295" s="126">
        <f t="shared" ca="1" si="75"/>
        <v>0</v>
      </c>
      <c r="AZ295" s="126">
        <f t="shared" ca="1" si="75"/>
        <v>0</v>
      </c>
      <c r="BA295" s="126">
        <f t="shared" ca="1" si="75"/>
        <v>0</v>
      </c>
      <c r="BB295" s="126">
        <f t="shared" ca="1" si="75"/>
        <v>0</v>
      </c>
      <c r="BC295" s="126">
        <f t="shared" ca="1" si="75"/>
        <v>0</v>
      </c>
      <c r="BD295" s="126">
        <f ca="1">IF(AI295=0,0,(AT295-AI295)/AI295*100)</f>
        <v>29.317090821200726</v>
      </c>
      <c r="BE295" s="126">
        <f t="shared" ca="1" si="74"/>
        <v>-1.467927403798811</v>
      </c>
      <c r="BF295" s="126">
        <f t="shared" ca="1" si="74"/>
        <v>4.041282370194283</v>
      </c>
      <c r="BG295" s="126">
        <f t="shared" ca="1" si="74"/>
        <v>-100</v>
      </c>
      <c r="BH295" s="126">
        <f t="shared" ca="1" si="74"/>
        <v>0</v>
      </c>
      <c r="BI295" s="126">
        <f t="shared" ca="1" si="74"/>
        <v>0</v>
      </c>
      <c r="BJ295" s="126">
        <f t="shared" ca="1" si="74"/>
        <v>0</v>
      </c>
      <c r="BK295" s="126">
        <f t="shared" ca="1" si="74"/>
        <v>0</v>
      </c>
      <c r="BL295" s="126">
        <f t="shared" ca="1" si="74"/>
        <v>0</v>
      </c>
      <c r="BM295" s="126">
        <f t="shared" ca="1" si="74"/>
        <v>0</v>
      </c>
      <c r="BN295" s="195"/>
      <c r="BO295" s="195"/>
      <c r="BP295" s="195"/>
      <c r="BQ295" s="76"/>
      <c r="BR295" s="76"/>
      <c r="BS295" s="700" t="s">
        <v>2205</v>
      </c>
      <c r="BT295" s="700"/>
      <c r="BU295" s="700"/>
      <c r="BV295" s="509"/>
      <c r="BW295" s="509"/>
    </row>
    <row r="296" spans="1:75" ht="14.25" hidden="1" customHeight="1">
      <c r="B296" s="340" t="b">
        <f>A171="двухставочный"</f>
        <v>0</v>
      </c>
      <c r="D296" s="25" cm="1">
        <f t="array" ref="D296">D295</f>
        <v>10</v>
      </c>
      <c r="E296" s="505">
        <v>15</v>
      </c>
      <c r="F296" s="3" t="str" cm="1">
        <f t="array" aca="1" ref="F296" ca="1">OFFSET(E296,-1,1)</f>
        <v>1</v>
      </c>
      <c r="H296" s="2"/>
      <c r="I296" s="277" t="s">
        <v>1883</v>
      </c>
      <c r="K296" s="277" t="s">
        <v>1883</v>
      </c>
      <c r="L296" s="25" t="s">
        <v>1872</v>
      </c>
      <c r="M296" s="25"/>
      <c r="T296" s="351" t="b" cm="1">
        <f t="array" aca="1" ref="T296" ca="1">T295</f>
        <v>1</v>
      </c>
      <c r="X296" s="1024"/>
      <c r="Z296" s="1008"/>
      <c r="AB296" s="7" t="str">
        <f>D296&amp;".1"</f>
        <v>10.1</v>
      </c>
      <c r="AC296" s="548" t="s">
        <v>1874</v>
      </c>
      <c r="AD296" s="7" t="s">
        <v>859</v>
      </c>
      <c r="AE296" s="777"/>
      <c r="AF296" s="777"/>
      <c r="AG296" s="777"/>
      <c r="AH296" s="170">
        <f t="shared" ref="AH296:AH302" si="76">AG296-AF296</f>
        <v>0</v>
      </c>
      <c r="AI296" s="777"/>
      <c r="AJ296" s="128"/>
      <c r="AK296" s="128"/>
      <c r="AL296" s="128"/>
      <c r="AM296" s="777"/>
      <c r="AN296" s="777"/>
      <c r="AO296" s="777"/>
      <c r="AP296" s="777"/>
      <c r="AQ296" s="777"/>
      <c r="AR296" s="777"/>
      <c r="AS296" s="777"/>
      <c r="AT296" s="128"/>
      <c r="AU296" s="128"/>
      <c r="AV296" s="128"/>
      <c r="AW296" s="777"/>
      <c r="AX296" s="777"/>
      <c r="AY296" s="777"/>
      <c r="AZ296" s="777"/>
      <c r="BA296" s="777"/>
      <c r="BB296" s="777"/>
      <c r="BC296" s="777"/>
      <c r="BD296" s="540"/>
      <c r="BE296" s="540"/>
      <c r="BF296" s="540"/>
      <c r="BG296" s="540"/>
      <c r="BH296" s="540"/>
      <c r="BI296" s="540"/>
      <c r="BJ296" s="540"/>
      <c r="BK296" s="540"/>
      <c r="BL296" s="540"/>
      <c r="BM296" s="540"/>
      <c r="BN296" s="774"/>
      <c r="BO296" s="774"/>
      <c r="BP296" s="774"/>
      <c r="BS296" s="692" t="s">
        <v>1875</v>
      </c>
    </row>
    <row r="297" spans="1:75" ht="14.25" hidden="1" customHeight="1">
      <c r="B297" s="340" t="b">
        <f>A171="двухставочный"</f>
        <v>0</v>
      </c>
      <c r="D297" s="25" cm="1">
        <f t="array" ref="D297">D296</f>
        <v>10</v>
      </c>
      <c r="E297" s="505">
        <v>15</v>
      </c>
      <c r="F297" s="3" t="str" cm="1">
        <f t="array" aca="1" ref="F297" ca="1">OFFSET(E297,-1,1)</f>
        <v>1</v>
      </c>
      <c r="H297" s="2"/>
      <c r="I297" s="277" t="s">
        <v>1887</v>
      </c>
      <c r="K297" s="277" t="s">
        <v>1887</v>
      </c>
      <c r="L297" s="25" t="s">
        <v>1876</v>
      </c>
      <c r="M297" s="25"/>
      <c r="T297" s="351" t="b" cm="1">
        <f t="array" aca="1" ref="T297" ca="1">T296</f>
        <v>1</v>
      </c>
      <c r="X297" s="1024"/>
      <c r="Z297" s="1008"/>
      <c r="AB297" s="7" t="str">
        <f>D297&amp;".2"</f>
        <v>10.2</v>
      </c>
      <c r="AC297" s="548" t="s">
        <v>1878</v>
      </c>
      <c r="AD297" s="7" t="s">
        <v>859</v>
      </c>
      <c r="AE297" s="777"/>
      <c r="AF297" s="777"/>
      <c r="AG297" s="777"/>
      <c r="AH297" s="170">
        <f t="shared" si="76"/>
        <v>0</v>
      </c>
      <c r="AI297" s="777"/>
      <c r="AJ297" s="128"/>
      <c r="AK297" s="128"/>
      <c r="AL297" s="128"/>
      <c r="AM297" s="777"/>
      <c r="AN297" s="777"/>
      <c r="AO297" s="777"/>
      <c r="AP297" s="777"/>
      <c r="AQ297" s="777"/>
      <c r="AR297" s="777"/>
      <c r="AS297" s="777"/>
      <c r="AT297" s="128"/>
      <c r="AU297" s="128"/>
      <c r="AV297" s="128"/>
      <c r="AW297" s="777"/>
      <c r="AX297" s="777"/>
      <c r="AY297" s="777"/>
      <c r="AZ297" s="777"/>
      <c r="BA297" s="777"/>
      <c r="BB297" s="777"/>
      <c r="BC297" s="777"/>
      <c r="BD297" s="540"/>
      <c r="BE297" s="540"/>
      <c r="BF297" s="540"/>
      <c r="BG297" s="540"/>
      <c r="BH297" s="540"/>
      <c r="BI297" s="540"/>
      <c r="BJ297" s="540"/>
      <c r="BK297" s="540"/>
      <c r="BL297" s="540"/>
      <c r="BM297" s="540"/>
      <c r="BN297" s="774"/>
      <c r="BO297" s="774"/>
      <c r="BP297" s="774"/>
      <c r="BS297" s="692" t="s">
        <v>1879</v>
      </c>
    </row>
    <row r="298" spans="1:75" s="903" customFormat="1" ht="20.25" customHeight="1">
      <c r="A298" s="76"/>
      <c r="B298" s="331"/>
      <c r="C298" s="76"/>
      <c r="D298" s="27">
        <f>D297+1</f>
        <v>11</v>
      </c>
      <c r="E298" s="509">
        <v>21</v>
      </c>
      <c r="F298" s="3" t="str" cm="1">
        <f t="array" aca="1" ref="F298" ca="1">OFFSET(E298,-1,1)</f>
        <v>1</v>
      </c>
      <c r="G298" s="72" t="s">
        <v>1656</v>
      </c>
      <c r="H298" s="72"/>
      <c r="I298" s="72" t="s">
        <v>1907</v>
      </c>
      <c r="J298" s="76"/>
      <c r="K298" s="72" t="s">
        <v>1907</v>
      </c>
      <c r="L298" s="27" t="s">
        <v>1880</v>
      </c>
      <c r="M298" s="27"/>
      <c r="N298" s="76"/>
      <c r="O298" s="76"/>
      <c r="P298" s="76"/>
      <c r="Q298" s="76"/>
      <c r="R298" s="76"/>
      <c r="S298" s="76"/>
      <c r="T298" s="351" t="b" cm="1">
        <f t="array" aca="1" ref="T298" ca="1">T297</f>
        <v>1</v>
      </c>
      <c r="U298" s="76"/>
      <c r="V298" s="76"/>
      <c r="W298" s="76"/>
      <c r="X298" s="1024"/>
      <c r="Y298" s="76"/>
      <c r="Z298" s="1008"/>
      <c r="AA298" s="76"/>
      <c r="AB298" s="124" cm="1">
        <f t="array" ref="AB298">D298</f>
        <v>11</v>
      </c>
      <c r="AC298" s="125" t="s">
        <v>1881</v>
      </c>
      <c r="AD298" s="124" t="s">
        <v>585</v>
      </c>
      <c r="AE298" s="550">
        <f ca="1">SUMIFS(Баланс!AE$26:AE$209,Баланс!$F$26:$F$209,$F298,Баланс!$G$26:$G$209,"ПО")</f>
        <v>195.71279000000001</v>
      </c>
      <c r="AF298" s="550">
        <f ca="1">SUMIFS(Баланс!AF$26:AF$209,Баланс!$F$26:$F$209,$F298,Баланс!$G$26:$G$209,"ПО")</f>
        <v>1200.8620000000001</v>
      </c>
      <c r="AG298" s="550">
        <f ca="1">SUMIFS(Баланс!AG$26:AG$209,Баланс!$F$26:$F$209,$F298,Баланс!$G$26:$G$209,"ПО")</f>
        <v>1200.8620000000001</v>
      </c>
      <c r="AH298" s="550">
        <f t="shared" ca="1" si="76"/>
        <v>0</v>
      </c>
      <c r="AI298" s="550">
        <f ca="1">SUMIFS(Баланс!AH$26:AH$209,Баланс!$F$26:$F$209,$F298,Баланс!$G$26:$G$209,"ПО")</f>
        <v>5046.9804537363998</v>
      </c>
      <c r="AJ298" s="550">
        <f ca="1">SUMIFS(Баланс!AI$26:AI$209,Баланс!$F$26:$F$209,$F298,Баланс!$G$26:$G$209,"ПО")</f>
        <v>4995.2669999999998</v>
      </c>
      <c r="AK298" s="550">
        <f ca="1">SUMIFS(Баланс!AJ$26:AJ$209,Баланс!$F$26:$F$209,$F298,Баланс!$G$26:$G$209,"ПО")</f>
        <v>4995.2669999999998</v>
      </c>
      <c r="AL298" s="550">
        <f ca="1">SUMIFS(Баланс!AK$26:AK$209,Баланс!$F$26:$F$209,$F298,Баланс!$G$26:$G$209,"ПО")</f>
        <v>4995.2669999999998</v>
      </c>
      <c r="AM298" s="550">
        <f ca="1">SUMIFS(Баланс!AL$26:AL$209,Баланс!$F$26:$F$209,$F298,Баланс!$G$26:$G$209,"ПО")</f>
        <v>0</v>
      </c>
      <c r="AN298" s="550">
        <f ca="1">SUMIFS(Баланс!AM$26:AM$209,Баланс!$F$26:$F$209,$F298,Баланс!$G$26:$G$209,"ПО")</f>
        <v>0</v>
      </c>
      <c r="AO298" s="550">
        <f ca="1">SUMIFS(Баланс!AN$26:AN$209,Баланс!$F$26:$F$209,$F298,Баланс!$G$26:$G$209,"ПО")</f>
        <v>0</v>
      </c>
      <c r="AP298" s="550">
        <f ca="1">SUMIFS(Баланс!AO$26:AO$209,Баланс!$F$26:$F$209,$F298,Баланс!$G$26:$G$209,"ПО")</f>
        <v>0</v>
      </c>
      <c r="AQ298" s="550">
        <f ca="1">SUMIFS(Баланс!AP$26:AP$209,Баланс!$F$26:$F$209,$F298,Баланс!$G$26:$G$209,"ПО")</f>
        <v>0</v>
      </c>
      <c r="AR298" s="550">
        <f ca="1">SUMIFS(Баланс!AQ$26:AQ$209,Баланс!$F$26:$F$209,$F298,Баланс!$G$26:$G$209,"ПО")</f>
        <v>0</v>
      </c>
      <c r="AS298" s="550">
        <f ca="1">SUMIFS(Баланс!AR$26:AR$209,Баланс!$F$26:$F$209,$F298,Баланс!$G$26:$G$209,"ПО")</f>
        <v>0</v>
      </c>
      <c r="AT298" s="550">
        <f ca="1">SUMIFS(Баланс!AS$26:AS$209,Баланс!$F$26:$F$209,$F298,Баланс!$G$26:$G$209,"ПО")</f>
        <v>4995.26667</v>
      </c>
      <c r="AU298" s="550">
        <f ca="1">SUMIFS(Баланс!AT$26:AT$209,Баланс!$F$26:$F$209,$F298,Баланс!$G$26:$G$209,"ПО")</f>
        <v>4995.26667</v>
      </c>
      <c r="AV298" s="550">
        <f ca="1">SUMIFS(Баланс!AU$26:AU$209,Баланс!$F$26:$F$209,$F298,Баланс!$G$26:$G$209,"ПО")</f>
        <v>4995.26667</v>
      </c>
      <c r="AW298" s="550">
        <f ca="1">SUMIFS(Баланс!AV$26:AV$209,Баланс!$F$26:$F$209,$F298,Баланс!$G$26:$G$209,"ПО")</f>
        <v>0</v>
      </c>
      <c r="AX298" s="550">
        <f ca="1">SUMIFS(Баланс!AW$26:AW$209,Баланс!$F$26:$F$209,$F298,Баланс!$G$26:$G$209,"ПО")</f>
        <v>0</v>
      </c>
      <c r="AY298" s="550">
        <f ca="1">SUMIFS(Баланс!AX$26:AX$209,Баланс!$F$26:$F$209,$F298,Баланс!$G$26:$G$209,"ПО")</f>
        <v>0</v>
      </c>
      <c r="AZ298" s="550">
        <f ca="1">SUMIFS(Баланс!AY$26:AY$209,Баланс!$F$26:$F$209,$F298,Баланс!$G$26:$G$209,"ПО")</f>
        <v>0</v>
      </c>
      <c r="BA298" s="550">
        <f ca="1">SUMIFS(Баланс!AZ$26:AZ$209,Баланс!$F$26:$F$209,$F298,Баланс!$G$26:$G$209,"ПО")</f>
        <v>0</v>
      </c>
      <c r="BB298" s="550">
        <f ca="1">SUMIFS(Баланс!BA$26:BA$209,Баланс!$F$26:$F$209,$F298,Баланс!$G$26:$G$209,"ПО")</f>
        <v>0</v>
      </c>
      <c r="BC298" s="550">
        <f ca="1">SUMIFS(Баланс!BB$26:BB$209,Баланс!$F$26:$F$209,$F298,Баланс!$G$26:$G$209,"ПО")</f>
        <v>0</v>
      </c>
      <c r="BD298" s="129"/>
      <c r="BE298" s="129"/>
      <c r="BF298" s="129"/>
      <c r="BG298" s="129"/>
      <c r="BH298" s="129"/>
      <c r="BI298" s="129"/>
      <c r="BJ298" s="129"/>
      <c r="BK298" s="129"/>
      <c r="BL298" s="129"/>
      <c r="BM298" s="129"/>
      <c r="BN298" s="195"/>
      <c r="BO298" s="195"/>
      <c r="BP298" s="195"/>
      <c r="BQ298" s="76"/>
      <c r="BR298" s="76"/>
      <c r="BS298" s="693" t="s">
        <v>1882</v>
      </c>
      <c r="BT298" s="700"/>
      <c r="BU298" s="700"/>
      <c r="BV298" s="509"/>
      <c r="BW298" s="509"/>
    </row>
    <row r="299" spans="1:75" ht="14.25" customHeight="1">
      <c r="D299" s="25" cm="1">
        <f t="array" ref="D299">D298</f>
        <v>11</v>
      </c>
      <c r="E299" s="505">
        <v>15</v>
      </c>
      <c r="F299" s="3" t="str" cm="1">
        <f t="array" aca="1" ref="F299" ca="1">OFFSET(E299,-1,1)</f>
        <v>1</v>
      </c>
      <c r="G299" s="72" t="s">
        <v>1683</v>
      </c>
      <c r="I299" s="72" t="s">
        <v>2206</v>
      </c>
      <c r="K299" s="72" t="s">
        <v>2206</v>
      </c>
      <c r="L299" s="25" t="s">
        <v>1883</v>
      </c>
      <c r="M299" s="25"/>
      <c r="T299" s="351" t="b" cm="1">
        <f t="array" aca="1" ref="T299" ca="1">T298</f>
        <v>1</v>
      </c>
      <c r="X299" s="1024"/>
      <c r="Z299" s="1008"/>
      <c r="AB299" s="7" t="str">
        <f>D299&amp;".1"</f>
        <v>11.1</v>
      </c>
      <c r="AC299" s="127" t="s">
        <v>1885</v>
      </c>
      <c r="AD299" s="7" t="s">
        <v>585</v>
      </c>
      <c r="AE299" s="442">
        <f ca="1">AE298/2</f>
        <v>97.856395000000006</v>
      </c>
      <c r="AF299" s="442">
        <f ca="1">AF298/2</f>
        <v>600.43100000000004</v>
      </c>
      <c r="AG299" s="442">
        <f ca="1">AG298/2</f>
        <v>600.43100000000004</v>
      </c>
      <c r="AH299" s="556">
        <f t="shared" ca="1" si="76"/>
        <v>0</v>
      </c>
      <c r="AI299" s="442">
        <f ca="1">AI298/2</f>
        <v>2523.4902268681999</v>
      </c>
      <c r="AJ299" s="442">
        <f ca="1">IF(god=2026,AJ298/12*9,AJ298/2)</f>
        <v>3746.4502499999999</v>
      </c>
      <c r="AK299" s="442">
        <f ca="1">IF(god=2025,AK298/12*9,AK298/2)</f>
        <v>2497.6334999999999</v>
      </c>
      <c r="AL299" s="442">
        <f t="shared" ref="AL299:AS299" ca="1" si="77">AL298/2</f>
        <v>2497.6334999999999</v>
      </c>
      <c r="AM299" s="442">
        <f t="shared" ca="1" si="77"/>
        <v>0</v>
      </c>
      <c r="AN299" s="442">
        <f t="shared" ca="1" si="77"/>
        <v>0</v>
      </c>
      <c r="AO299" s="442">
        <f t="shared" ca="1" si="77"/>
        <v>0</v>
      </c>
      <c r="AP299" s="442">
        <f t="shared" ca="1" si="77"/>
        <v>0</v>
      </c>
      <c r="AQ299" s="442">
        <f t="shared" ca="1" si="77"/>
        <v>0</v>
      </c>
      <c r="AR299" s="442">
        <f t="shared" ca="1" si="77"/>
        <v>0</v>
      </c>
      <c r="AS299" s="442">
        <f t="shared" ca="1" si="77"/>
        <v>0</v>
      </c>
      <c r="AT299" s="442">
        <f ca="1">IF(god=2026,AT298/12*9,AT298/2)</f>
        <v>3746.4500024999998</v>
      </c>
      <c r="AU299" s="442">
        <f ca="1">IF(god=2025,AU298/12*9,AU298/2)</f>
        <v>2497.633335</v>
      </c>
      <c r="AV299" s="442">
        <f t="shared" ref="AV299:BC299" ca="1" si="78">AV298/2</f>
        <v>2497.633335</v>
      </c>
      <c r="AW299" s="442">
        <f t="shared" ca="1" si="78"/>
        <v>0</v>
      </c>
      <c r="AX299" s="442">
        <f t="shared" ca="1" si="78"/>
        <v>0</v>
      </c>
      <c r="AY299" s="442">
        <f t="shared" ca="1" si="78"/>
        <v>0</v>
      </c>
      <c r="AZ299" s="442">
        <f t="shared" ca="1" si="78"/>
        <v>0</v>
      </c>
      <c r="BA299" s="442">
        <f t="shared" ca="1" si="78"/>
        <v>0</v>
      </c>
      <c r="BB299" s="442">
        <f t="shared" ca="1" si="78"/>
        <v>0</v>
      </c>
      <c r="BC299" s="442">
        <f t="shared" ca="1" si="78"/>
        <v>0</v>
      </c>
      <c r="BD299" s="540"/>
      <c r="BE299" s="540"/>
      <c r="BF299" s="540"/>
      <c r="BG299" s="540"/>
      <c r="BH299" s="540"/>
      <c r="BI299" s="540"/>
      <c r="BJ299" s="540"/>
      <c r="BK299" s="540"/>
      <c r="BL299" s="540"/>
      <c r="BM299" s="540"/>
      <c r="BN299" s="195"/>
      <c r="BO299" s="195"/>
      <c r="BP299" s="195"/>
      <c r="BS299" s="692" t="s">
        <v>1886</v>
      </c>
    </row>
    <row r="300" spans="1:75" ht="14.25" customHeight="1">
      <c r="D300" s="25" cm="1">
        <f t="array" ref="D300">D299</f>
        <v>11</v>
      </c>
      <c r="E300" s="505">
        <v>15</v>
      </c>
      <c r="F300" s="3" t="str" cm="1">
        <f t="array" aca="1" ref="F300" ca="1">OFFSET(E300,-1,1)</f>
        <v>1</v>
      </c>
      <c r="G300" s="72" t="s">
        <v>1644</v>
      </c>
      <c r="I300" s="72" t="s">
        <v>2207</v>
      </c>
      <c r="K300" s="72" t="s">
        <v>2207</v>
      </c>
      <c r="L300" s="25" t="s">
        <v>1887</v>
      </c>
      <c r="M300" s="25"/>
      <c r="T300" s="351" t="b" cm="1">
        <f t="array" aca="1" ref="T300" ca="1">T299</f>
        <v>1</v>
      </c>
      <c r="X300" s="1024"/>
      <c r="Z300" s="1008"/>
      <c r="AB300" s="7" t="str">
        <f>D300&amp;".2"</f>
        <v>11.2</v>
      </c>
      <c r="AC300" s="127" t="s">
        <v>1889</v>
      </c>
      <c r="AD300" s="7" t="s">
        <v>1647</v>
      </c>
      <c r="AE300" s="128"/>
      <c r="AF300" s="128"/>
      <c r="AG300" s="128"/>
      <c r="AH300" s="170">
        <f t="shared" si="76"/>
        <v>0</v>
      </c>
      <c r="AI300" s="128"/>
      <c r="AJ300" s="128"/>
      <c r="AK300" s="128"/>
      <c r="AL300" s="128"/>
      <c r="AM300" s="128"/>
      <c r="AN300" s="128"/>
      <c r="AO300" s="128"/>
      <c r="AP300" s="128"/>
      <c r="AQ300" s="128"/>
      <c r="AR300" s="128"/>
      <c r="AS300" s="128"/>
      <c r="AT300" s="128"/>
      <c r="AU300" s="128" cm="1">
        <f t="array" aca="1" ref="AU300" ca="1">AT302</f>
        <v>116.27703551610388</v>
      </c>
      <c r="AV300" s="128" cm="1">
        <f t="array" aca="1" ref="AV300" ca="1">AU302</f>
        <v>-58.991948992384806</v>
      </c>
      <c r="AW300" s="128" cm="1">
        <f t="array" aca="1" ref="AW300" ca="1">AV302</f>
        <v>118.59208761853748</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0"/>
      <c r="BE300" s="540"/>
      <c r="BF300" s="540"/>
      <c r="BG300" s="540"/>
      <c r="BH300" s="540"/>
      <c r="BI300" s="540"/>
      <c r="BJ300" s="540"/>
      <c r="BK300" s="540"/>
      <c r="BL300" s="540"/>
      <c r="BM300" s="540"/>
      <c r="BN300" s="195"/>
      <c r="BO300" s="195"/>
      <c r="BP300" s="195"/>
      <c r="BS300" s="692" t="s">
        <v>1890</v>
      </c>
    </row>
    <row r="301" spans="1:75" ht="14.25" customHeight="1">
      <c r="D301" s="25" cm="1">
        <f t="array" ref="D301">D300</f>
        <v>11</v>
      </c>
      <c r="E301" s="505">
        <v>15</v>
      </c>
      <c r="F301" s="3" t="str" cm="1">
        <f t="array" aca="1" ref="F301" ca="1">OFFSET(E301,-1,1)</f>
        <v>1</v>
      </c>
      <c r="G301" s="72" t="s">
        <v>1696</v>
      </c>
      <c r="I301" s="72" t="s">
        <v>2208</v>
      </c>
      <c r="K301" s="72" t="s">
        <v>2208</v>
      </c>
      <c r="L301" s="25" t="s">
        <v>1891</v>
      </c>
      <c r="M301" s="25"/>
      <c r="T301" s="351" t="b" cm="1">
        <f t="array" aca="1" ref="T301" ca="1">T300</f>
        <v>1</v>
      </c>
      <c r="X301" s="1024"/>
      <c r="Z301" s="1008"/>
      <c r="AB301" s="7" t="str">
        <f>D301&amp;".3"</f>
        <v>11.3</v>
      </c>
      <c r="AC301" s="127" t="s">
        <v>2209</v>
      </c>
      <c r="AD301" s="7" t="s">
        <v>585</v>
      </c>
      <c r="AE301" s="556">
        <f ca="1">AE298-AE299</f>
        <v>97.856395000000006</v>
      </c>
      <c r="AF301" s="556">
        <f ca="1">AF298-AF299</f>
        <v>600.43100000000004</v>
      </c>
      <c r="AG301" s="556">
        <f ca="1">AG298-AG299</f>
        <v>600.43100000000004</v>
      </c>
      <c r="AH301" s="556">
        <f t="shared" ca="1" si="76"/>
        <v>0</v>
      </c>
      <c r="AI301" s="556">
        <f t="shared" ref="AI301:BC301" ca="1" si="79">AI298-AI299</f>
        <v>2523.4902268681999</v>
      </c>
      <c r="AJ301" s="556">
        <f t="shared" ca="1" si="79"/>
        <v>1248.81675</v>
      </c>
      <c r="AK301" s="556">
        <f t="shared" ca="1" si="79"/>
        <v>2497.6334999999999</v>
      </c>
      <c r="AL301" s="556">
        <f t="shared" ca="1" si="79"/>
        <v>2497.6334999999999</v>
      </c>
      <c r="AM301" s="556">
        <f t="shared" ca="1" si="79"/>
        <v>0</v>
      </c>
      <c r="AN301" s="556">
        <f t="shared" ca="1" si="79"/>
        <v>0</v>
      </c>
      <c r="AO301" s="556">
        <f t="shared" ca="1" si="79"/>
        <v>0</v>
      </c>
      <c r="AP301" s="556">
        <f t="shared" ca="1" si="79"/>
        <v>0</v>
      </c>
      <c r="AQ301" s="556">
        <f t="shared" ca="1" si="79"/>
        <v>0</v>
      </c>
      <c r="AR301" s="556">
        <f t="shared" ca="1" si="79"/>
        <v>0</v>
      </c>
      <c r="AS301" s="556">
        <f t="shared" ca="1" si="79"/>
        <v>0</v>
      </c>
      <c r="AT301" s="556">
        <f t="shared" ca="1" si="79"/>
        <v>1248.8166675000002</v>
      </c>
      <c r="AU301" s="556">
        <f t="shared" ca="1" si="79"/>
        <v>2497.633335</v>
      </c>
      <c r="AV301" s="556">
        <f t="shared" ca="1" si="79"/>
        <v>2497.633335</v>
      </c>
      <c r="AW301" s="556">
        <f t="shared" ca="1" si="79"/>
        <v>0</v>
      </c>
      <c r="AX301" s="556">
        <f t="shared" ca="1" si="79"/>
        <v>0</v>
      </c>
      <c r="AY301" s="556">
        <f t="shared" ca="1" si="79"/>
        <v>0</v>
      </c>
      <c r="AZ301" s="556">
        <f t="shared" ca="1" si="79"/>
        <v>0</v>
      </c>
      <c r="BA301" s="556">
        <f t="shared" ca="1" si="79"/>
        <v>0</v>
      </c>
      <c r="BB301" s="556">
        <f t="shared" ca="1" si="79"/>
        <v>0</v>
      </c>
      <c r="BC301" s="556">
        <f t="shared" ca="1" si="79"/>
        <v>0</v>
      </c>
      <c r="BD301" s="540"/>
      <c r="BE301" s="540"/>
      <c r="BF301" s="540"/>
      <c r="BG301" s="540"/>
      <c r="BH301" s="540"/>
      <c r="BI301" s="540"/>
      <c r="BJ301" s="540"/>
      <c r="BK301" s="540"/>
      <c r="BL301" s="540"/>
      <c r="BM301" s="540"/>
      <c r="BN301" s="195"/>
      <c r="BO301" s="195"/>
      <c r="BP301" s="195"/>
      <c r="BS301" s="692" t="s">
        <v>1894</v>
      </c>
    </row>
    <row r="302" spans="1:75" ht="14.25" customHeight="1">
      <c r="D302" s="25" cm="1">
        <f t="array" ref="D302">D301</f>
        <v>11</v>
      </c>
      <c r="E302" s="505">
        <v>15</v>
      </c>
      <c r="F302" s="3" t="str" cm="1">
        <f t="array" aca="1" ref="F302" ca="1">OFFSET(E302,-1,1)</f>
        <v>1</v>
      </c>
      <c r="G302" s="72" t="s">
        <v>1649</v>
      </c>
      <c r="I302" s="72" t="s">
        <v>2210</v>
      </c>
      <c r="K302" s="72" t="s">
        <v>2210</v>
      </c>
      <c r="L302" s="25" t="s">
        <v>1895</v>
      </c>
      <c r="M302" s="25"/>
      <c r="T302" s="351" t="b" cm="1">
        <f t="array" aca="1" ref="T302" ca="1">T301</f>
        <v>1</v>
      </c>
      <c r="X302" s="1024"/>
      <c r="Z302" s="1008"/>
      <c r="AB302" s="7" t="str">
        <f>D302&amp;".4"</f>
        <v>11.4</v>
      </c>
      <c r="AC302" s="127" t="s">
        <v>1897</v>
      </c>
      <c r="AD302" s="7" t="s">
        <v>1647</v>
      </c>
      <c r="AE302" s="128">
        <f ca="1">IF(AE301=0,0,(AE295-AE299*AE300)/AE301)</f>
        <v>55.149691545452903</v>
      </c>
      <c r="AF302" s="128">
        <f ca="1">IF(AF301=0,0,(AF295-AF299*AF300)/AF301)</f>
        <v>20.494361550286378</v>
      </c>
      <c r="AG302" s="128">
        <f ca="1">IF(AG301=0,0,(AG295-AG299*AG300)/AG301)</f>
        <v>20.494361550286378</v>
      </c>
      <c r="AH302" s="170">
        <f t="shared" ca="1" si="76"/>
        <v>0</v>
      </c>
      <c r="AI302" s="128">
        <f t="shared" ref="AI302:BC302" ca="1" si="80">IF(AI301=0,0,(AI295-AI299*AI300)/AI301)</f>
        <v>44.497445959740091</v>
      </c>
      <c r="AJ302" s="128">
        <f t="shared" ca="1" si="80"/>
        <v>108.66692971566886</v>
      </c>
      <c r="AK302" s="128">
        <f t="shared" ca="1" si="80"/>
        <v>58.081143570503841</v>
      </c>
      <c r="AL302" s="128">
        <f t="shared" ca="1" si="80"/>
        <v>60.406651928715732</v>
      </c>
      <c r="AM302" s="128">
        <f t="shared" ca="1" si="80"/>
        <v>0</v>
      </c>
      <c r="AN302" s="128">
        <f t="shared" ca="1" si="80"/>
        <v>0</v>
      </c>
      <c r="AO302" s="128">
        <f t="shared" ca="1" si="80"/>
        <v>0</v>
      </c>
      <c r="AP302" s="128">
        <f t="shared" ca="1" si="80"/>
        <v>0</v>
      </c>
      <c r="AQ302" s="128">
        <f t="shared" ca="1" si="80"/>
        <v>0</v>
      </c>
      <c r="AR302" s="128">
        <f t="shared" ca="1" si="80"/>
        <v>0</v>
      </c>
      <c r="AS302" s="128">
        <f t="shared" ca="1" si="80"/>
        <v>0</v>
      </c>
      <c r="AT302" s="128">
        <f t="shared" ca="1" si="80"/>
        <v>116.27703551610388</v>
      </c>
      <c r="AU302" s="128">
        <f t="shared" ca="1" si="80"/>
        <v>-58.991948992384806</v>
      </c>
      <c r="AV302" s="128">
        <f t="shared" ca="1" si="80"/>
        <v>118.59208761853748</v>
      </c>
      <c r="AW302" s="128">
        <f t="shared" ca="1" si="80"/>
        <v>0</v>
      </c>
      <c r="AX302" s="128">
        <f t="shared" ca="1" si="80"/>
        <v>0</v>
      </c>
      <c r="AY302" s="128">
        <f t="shared" ca="1" si="80"/>
        <v>0</v>
      </c>
      <c r="AZ302" s="128">
        <f t="shared" ca="1" si="80"/>
        <v>0</v>
      </c>
      <c r="BA302" s="128">
        <f t="shared" ca="1" si="80"/>
        <v>0</v>
      </c>
      <c r="BB302" s="128">
        <f t="shared" ca="1" si="80"/>
        <v>0</v>
      </c>
      <c r="BC302" s="128">
        <f t="shared" ca="1" si="80"/>
        <v>0</v>
      </c>
      <c r="BD302" s="540"/>
      <c r="BE302" s="540"/>
      <c r="BF302" s="540"/>
      <c r="BG302" s="540"/>
      <c r="BH302" s="540"/>
      <c r="BI302" s="540"/>
      <c r="BJ302" s="540"/>
      <c r="BK302" s="540"/>
      <c r="BL302" s="540"/>
      <c r="BM302" s="540"/>
      <c r="BN302" s="195"/>
      <c r="BO302" s="195"/>
      <c r="BP302" s="195"/>
      <c r="BS302" s="692" t="s">
        <v>1898</v>
      </c>
    </row>
    <row r="303" spans="1:75" ht="14.25" customHeight="1">
      <c r="D303" s="25" cm="1">
        <f t="array" ref="D303">D302</f>
        <v>11</v>
      </c>
      <c r="E303" s="505">
        <v>15</v>
      </c>
      <c r="F303" s="3" t="str" cm="1">
        <f t="array" aca="1" ref="F303" ca="1">OFFSET(E303,-1,1)</f>
        <v>1</v>
      </c>
      <c r="I303" s="72" t="s">
        <v>2211</v>
      </c>
      <c r="K303" s="72" t="s">
        <v>2211</v>
      </c>
      <c r="L303" s="25" t="s">
        <v>1899</v>
      </c>
      <c r="M303" s="25"/>
      <c r="T303" s="351" t="b" cm="1">
        <f t="array" aca="1" ref="T303" ca="1">T302</f>
        <v>1</v>
      </c>
      <c r="X303" s="1024"/>
      <c r="Z303" s="1008"/>
      <c r="AB303" s="7" t="str">
        <f>D303&amp;".5"</f>
        <v>11.5</v>
      </c>
      <c r="AC303" s="127" t="s">
        <v>1901</v>
      </c>
      <c r="AD303" s="7" t="s">
        <v>501</v>
      </c>
      <c r="AE303" s="170">
        <f>IF(AE300=0,0,AE302/AE300*100)</f>
        <v>0</v>
      </c>
      <c r="AF303" s="170">
        <f>IF(AF300=0,0,AF302/AF300*100)</f>
        <v>0</v>
      </c>
      <c r="AG303" s="170">
        <f>IF(AG300=0,0,AG302/AG300*100)</f>
        <v>0</v>
      </c>
      <c r="AH303" s="540"/>
      <c r="AI303" s="170">
        <f t="shared" ref="AI303:BC303" si="81">IF(AI300=0,0,AI302/AI300*100)</f>
        <v>0</v>
      </c>
      <c r="AJ303" s="170">
        <f t="shared" si="81"/>
        <v>0</v>
      </c>
      <c r="AK303" s="170">
        <f t="shared" si="81"/>
        <v>0</v>
      </c>
      <c r="AL303" s="170">
        <f t="shared" si="81"/>
        <v>0</v>
      </c>
      <c r="AM303" s="170">
        <f t="shared" si="81"/>
        <v>0</v>
      </c>
      <c r="AN303" s="170">
        <f t="shared" si="81"/>
        <v>0</v>
      </c>
      <c r="AO303" s="170">
        <f t="shared" si="81"/>
        <v>0</v>
      </c>
      <c r="AP303" s="170">
        <f t="shared" si="81"/>
        <v>0</v>
      </c>
      <c r="AQ303" s="170">
        <f t="shared" si="81"/>
        <v>0</v>
      </c>
      <c r="AR303" s="170">
        <f t="shared" si="81"/>
        <v>0</v>
      </c>
      <c r="AS303" s="170">
        <f t="shared" si="81"/>
        <v>0</v>
      </c>
      <c r="AT303" s="170">
        <f t="shared" si="81"/>
        <v>0</v>
      </c>
      <c r="AU303" s="170">
        <f t="shared" ca="1" si="81"/>
        <v>-50.733963701899384</v>
      </c>
      <c r="AV303" s="170">
        <f t="shared" ca="1" si="81"/>
        <v>-201.03097057167304</v>
      </c>
      <c r="AW303" s="170">
        <f t="shared" ca="1" si="81"/>
        <v>0</v>
      </c>
      <c r="AX303" s="170">
        <f t="shared" ca="1" si="81"/>
        <v>0</v>
      </c>
      <c r="AY303" s="170">
        <f t="shared" ca="1" si="81"/>
        <v>0</v>
      </c>
      <c r="AZ303" s="170">
        <f t="shared" ca="1" si="81"/>
        <v>0</v>
      </c>
      <c r="BA303" s="170">
        <f t="shared" ca="1" si="81"/>
        <v>0</v>
      </c>
      <c r="BB303" s="170">
        <f t="shared" ca="1" si="81"/>
        <v>0</v>
      </c>
      <c r="BC303" s="170">
        <f t="shared" ca="1" si="81"/>
        <v>0</v>
      </c>
      <c r="BD303" s="540"/>
      <c r="BE303" s="540"/>
      <c r="BF303" s="540"/>
      <c r="BG303" s="540"/>
      <c r="BH303" s="540"/>
      <c r="BI303" s="540"/>
      <c r="BJ303" s="540"/>
      <c r="BK303" s="540"/>
      <c r="BL303" s="540"/>
      <c r="BM303" s="540"/>
      <c r="BN303" s="195"/>
      <c r="BO303" s="195"/>
      <c r="BP303" s="195"/>
      <c r="BS303" s="692" t="s">
        <v>1902</v>
      </c>
    </row>
    <row r="304" spans="1:75" ht="14.25" customHeight="1">
      <c r="D304" s="25" cm="1">
        <f t="array" ref="D304">D303</f>
        <v>11</v>
      </c>
      <c r="E304" s="505">
        <v>15</v>
      </c>
      <c r="F304" s="3" t="str" cm="1">
        <f t="array" aca="1" ref="F304" ca="1">OFFSET(E304,-1,1)</f>
        <v>1</v>
      </c>
      <c r="I304" s="72" t="s">
        <v>2212</v>
      </c>
      <c r="K304" s="72" t="s">
        <v>2212</v>
      </c>
      <c r="L304" s="25" t="s">
        <v>1903</v>
      </c>
      <c r="M304" s="25"/>
      <c r="T304" s="351" t="b" cm="1">
        <f t="array" aca="1" ref="T304" ca="1">T303</f>
        <v>1</v>
      </c>
      <c r="X304" s="1024"/>
      <c r="Z304" s="1008"/>
      <c r="AB304" s="7" t="str">
        <f>D304&amp;".6"</f>
        <v>11.6</v>
      </c>
      <c r="AC304" s="127" t="s">
        <v>1905</v>
      </c>
      <c r="AD304" s="7" t="s">
        <v>1647</v>
      </c>
      <c r="AE304" s="128">
        <f ca="1">IF(AE298=0,0,AE295/AE298)</f>
        <v>27.574845772726452</v>
      </c>
      <c r="AF304" s="128">
        <f ca="1">IF(AF298=0,0,AF295/AF298)</f>
        <v>10.247180775143189</v>
      </c>
      <c r="AG304" s="128">
        <f ca="1">IF(AG298=0,0,AG295/AG298)</f>
        <v>10.247180775143189</v>
      </c>
      <c r="AH304" s="170">
        <f ca="1">AG304-AF304</f>
        <v>0</v>
      </c>
      <c r="AI304" s="128">
        <f t="shared" ref="AI304:BC304" ca="1" si="82">IF(AI298=0,0,AI295/AI298)</f>
        <v>22.248722979870045</v>
      </c>
      <c r="AJ304" s="128">
        <f t="shared" ca="1" si="82"/>
        <v>27.166732428917214</v>
      </c>
      <c r="AK304" s="128">
        <f t="shared" ca="1" si="82"/>
        <v>29.04057178525192</v>
      </c>
      <c r="AL304" s="128">
        <f t="shared" ca="1" si="82"/>
        <v>30.203325964357866</v>
      </c>
      <c r="AM304" s="128">
        <f t="shared" ca="1" si="82"/>
        <v>0</v>
      </c>
      <c r="AN304" s="128">
        <f t="shared" ca="1" si="82"/>
        <v>0</v>
      </c>
      <c r="AO304" s="128">
        <f t="shared" ca="1" si="82"/>
        <v>0</v>
      </c>
      <c r="AP304" s="128">
        <f t="shared" ca="1" si="82"/>
        <v>0</v>
      </c>
      <c r="AQ304" s="128">
        <f t="shared" ca="1" si="82"/>
        <v>0</v>
      </c>
      <c r="AR304" s="128">
        <f t="shared" ca="1" si="82"/>
        <v>0</v>
      </c>
      <c r="AS304" s="128">
        <f t="shared" ca="1" si="82"/>
        <v>0</v>
      </c>
      <c r="AT304" s="128">
        <f t="shared" ca="1" si="82"/>
        <v>29.069258879025973</v>
      </c>
      <c r="AU304" s="128">
        <f t="shared" ca="1" si="82"/>
        <v>28.642543261859533</v>
      </c>
      <c r="AV304" s="128">
        <f t="shared" ca="1" si="82"/>
        <v>29.800069313076332</v>
      </c>
      <c r="AW304" s="128">
        <f t="shared" ca="1" si="82"/>
        <v>0</v>
      </c>
      <c r="AX304" s="128">
        <f t="shared" ca="1" si="82"/>
        <v>0</v>
      </c>
      <c r="AY304" s="128">
        <f t="shared" ca="1" si="82"/>
        <v>0</v>
      </c>
      <c r="AZ304" s="128">
        <f t="shared" ca="1" si="82"/>
        <v>0</v>
      </c>
      <c r="BA304" s="128">
        <f t="shared" ca="1" si="82"/>
        <v>0</v>
      </c>
      <c r="BB304" s="128">
        <f t="shared" ca="1" si="82"/>
        <v>0</v>
      </c>
      <c r="BC304" s="128">
        <f t="shared" ca="1" si="82"/>
        <v>0</v>
      </c>
      <c r="BD304" s="540"/>
      <c r="BE304" s="540"/>
      <c r="BF304" s="540"/>
      <c r="BG304" s="540"/>
      <c r="BH304" s="540"/>
      <c r="BI304" s="540"/>
      <c r="BJ304" s="540"/>
      <c r="BK304" s="540"/>
      <c r="BL304" s="540"/>
      <c r="BM304" s="540"/>
      <c r="BN304" s="195"/>
      <c r="BO304" s="195"/>
      <c r="BP304" s="195"/>
      <c r="BS304" s="692" t="s">
        <v>1906</v>
      </c>
    </row>
    <row r="305" spans="1:75" s="903" customFormat="1" ht="20.25" customHeight="1">
      <c r="A305" s="76"/>
      <c r="B305" s="331"/>
      <c r="C305" s="76"/>
      <c r="D305" s="27">
        <f>D304+1</f>
        <v>12</v>
      </c>
      <c r="E305" s="509">
        <v>21</v>
      </c>
      <c r="F305" s="3" t="str" cm="1">
        <f t="array" aca="1" ref="F305" ca="1">OFFSET(E305,-1,1)</f>
        <v>1</v>
      </c>
      <c r="G305" s="76"/>
      <c r="H305" s="72"/>
      <c r="I305" s="72" t="s">
        <v>1910</v>
      </c>
      <c r="J305" s="76"/>
      <c r="K305" s="72" t="s">
        <v>1910</v>
      </c>
      <c r="L305" s="27" t="s">
        <v>1907</v>
      </c>
      <c r="M305" s="27"/>
      <c r="N305" s="76"/>
      <c r="O305" s="76"/>
      <c r="P305" s="76"/>
      <c r="Q305" s="76"/>
      <c r="R305" s="76"/>
      <c r="S305" s="76"/>
      <c r="T305" s="351" t="b" cm="1">
        <f t="array" aca="1" ref="T305" ca="1">T304</f>
        <v>1</v>
      </c>
      <c r="U305" s="76"/>
      <c r="V305" s="76"/>
      <c r="W305" s="76"/>
      <c r="X305" s="1024"/>
      <c r="Y305" s="76"/>
      <c r="Z305" s="1008"/>
      <c r="AA305" s="76"/>
      <c r="AB305" s="124" cm="1">
        <f t="array" ref="AB305">D305</f>
        <v>12</v>
      </c>
      <c r="AC305" s="125" t="s">
        <v>1908</v>
      </c>
      <c r="AD305" s="124" t="s">
        <v>859</v>
      </c>
      <c r="AE305" s="138">
        <f ca="1">IF(AE298=0,0,AE295/AE298*AE306)</f>
        <v>3598.8584741830105</v>
      </c>
      <c r="AF305" s="138">
        <f ca="1">IF(AF298=0,0,AF295/AF298*AF306)</f>
        <v>10005.798184803916</v>
      </c>
      <c r="AG305" s="138">
        <f ca="1">IF(AG298=0,0,AG295/AG298*AG306)</f>
        <v>10005.798184803916</v>
      </c>
      <c r="AH305" s="126">
        <f ca="1">AH307*AH308+AH309*AH310</f>
        <v>0</v>
      </c>
      <c r="AI305" s="138">
        <f t="shared" ref="AI305:BC305" ca="1" si="83">IF(AI298=0,0,AI295/AI298*AI306)</f>
        <v>82791.374825588442</v>
      </c>
      <c r="AJ305" s="138">
        <f t="shared" ca="1" si="83"/>
        <v>95059.249275686365</v>
      </c>
      <c r="AK305" s="138">
        <f t="shared" ca="1" si="83"/>
        <v>101616.00993663393</v>
      </c>
      <c r="AL305" s="138">
        <f t="shared" ca="1" si="83"/>
        <v>105684.60889851443</v>
      </c>
      <c r="AM305" s="138">
        <f t="shared" ca="1" si="83"/>
        <v>0</v>
      </c>
      <c r="AN305" s="138">
        <f t="shared" ca="1" si="83"/>
        <v>0</v>
      </c>
      <c r="AO305" s="138">
        <f t="shared" ca="1" si="83"/>
        <v>0</v>
      </c>
      <c r="AP305" s="138">
        <f t="shared" ca="1" si="83"/>
        <v>0</v>
      </c>
      <c r="AQ305" s="138">
        <f t="shared" ca="1" si="83"/>
        <v>0</v>
      </c>
      <c r="AR305" s="138">
        <f t="shared" ca="1" si="83"/>
        <v>0</v>
      </c>
      <c r="AS305" s="138">
        <f t="shared" ca="1" si="83"/>
        <v>0</v>
      </c>
      <c r="AT305" s="138">
        <f t="shared" ca="1" si="83"/>
        <v>101716.39868274961</v>
      </c>
      <c r="AU305" s="138">
        <f t="shared" ca="1" si="83"/>
        <v>100223.27579232828</v>
      </c>
      <c r="AV305" s="138">
        <f t="shared" ca="1" si="83"/>
        <v>104273.58136775483</v>
      </c>
      <c r="AW305" s="138">
        <f t="shared" ca="1" si="83"/>
        <v>0</v>
      </c>
      <c r="AX305" s="138">
        <f t="shared" ca="1" si="83"/>
        <v>0</v>
      </c>
      <c r="AY305" s="138">
        <f t="shared" ca="1" si="83"/>
        <v>0</v>
      </c>
      <c r="AZ305" s="138">
        <f t="shared" ca="1" si="83"/>
        <v>0</v>
      </c>
      <c r="BA305" s="138">
        <f t="shared" ca="1" si="83"/>
        <v>0</v>
      </c>
      <c r="BB305" s="138">
        <f t="shared" ca="1" si="83"/>
        <v>0</v>
      </c>
      <c r="BC305" s="138">
        <f t="shared" ca="1" si="83"/>
        <v>0</v>
      </c>
      <c r="BD305" s="126">
        <f ca="1">IF(AI305=0,0,(AT305-AI305)/AI305*100)</f>
        <v>22.858690167942456</v>
      </c>
      <c r="BE305" s="126">
        <f t="shared" ref="BE305:BM305" ca="1" si="84">IF(AT305=0,0,(AU305-AT305)/AT305*100)</f>
        <v>-1.4679274037988115</v>
      </c>
      <c r="BF305" s="126">
        <f t="shared" ca="1" si="84"/>
        <v>4.0412823701942777</v>
      </c>
      <c r="BG305" s="126">
        <f t="shared" ca="1" si="84"/>
        <v>-100</v>
      </c>
      <c r="BH305" s="126">
        <f t="shared" ca="1" si="84"/>
        <v>0</v>
      </c>
      <c r="BI305" s="126">
        <f t="shared" ca="1" si="84"/>
        <v>0</v>
      </c>
      <c r="BJ305" s="126">
        <f t="shared" ca="1" si="84"/>
        <v>0</v>
      </c>
      <c r="BK305" s="126">
        <f t="shared" ca="1" si="84"/>
        <v>0</v>
      </c>
      <c r="BL305" s="126">
        <f t="shared" ca="1" si="84"/>
        <v>0</v>
      </c>
      <c r="BM305" s="126">
        <f t="shared" ca="1" si="84"/>
        <v>0</v>
      </c>
      <c r="BN305" s="195"/>
      <c r="BO305" s="195"/>
      <c r="BP305" s="195"/>
      <c r="BQ305" s="76"/>
      <c r="BR305" s="76"/>
      <c r="BS305" s="693" t="s">
        <v>1909</v>
      </c>
      <c r="BT305" s="700"/>
      <c r="BU305" s="700"/>
      <c r="BV305" s="509"/>
      <c r="BW305" s="509"/>
    </row>
    <row r="306" spans="1:75" s="903" customFormat="1" ht="20.25" customHeight="1">
      <c r="A306" s="76"/>
      <c r="B306" s="331"/>
      <c r="C306" s="76"/>
      <c r="D306" s="27">
        <f>D305+1</f>
        <v>13</v>
      </c>
      <c r="E306" s="509">
        <v>21</v>
      </c>
      <c r="F306" s="3" t="str" cm="1">
        <f t="array" aca="1" ref="F306" ca="1">OFFSET(E306,-1,1)</f>
        <v>1</v>
      </c>
      <c r="G306" s="72" t="s">
        <v>1669</v>
      </c>
      <c r="H306" s="72"/>
      <c r="I306" s="72" t="s">
        <v>2213</v>
      </c>
      <c r="J306" s="76"/>
      <c r="K306" s="72" t="s">
        <v>2213</v>
      </c>
      <c r="L306" s="27" t="s">
        <v>1910</v>
      </c>
      <c r="M306" s="27"/>
      <c r="N306" s="76"/>
      <c r="O306" s="76"/>
      <c r="P306" s="76"/>
      <c r="Q306" s="76"/>
      <c r="R306" s="76"/>
      <c r="S306" s="76"/>
      <c r="T306" s="351" t="b" cm="1">
        <f t="array" aca="1" ref="T306" ca="1">T305</f>
        <v>1</v>
      </c>
      <c r="U306" s="76"/>
      <c r="V306" s="76"/>
      <c r="W306" s="76"/>
      <c r="X306" s="1024"/>
      <c r="Y306" s="76"/>
      <c r="Z306" s="1008"/>
      <c r="AA306" s="76"/>
      <c r="AB306" s="124" cm="1">
        <f t="array" ref="AB306">D306</f>
        <v>13</v>
      </c>
      <c r="AC306" s="125" t="s">
        <v>1911</v>
      </c>
      <c r="AD306" s="124" t="s">
        <v>585</v>
      </c>
      <c r="AE306" s="550">
        <f ca="1">SUMIFS(Баланс!AE$26:AE$209,Баланс!$F$26:$F$209,$F306,Баланс!$G$26:$G$209,"население")</f>
        <v>130.51237</v>
      </c>
      <c r="AF306" s="550">
        <f ca="1">SUMIFS(Баланс!AF$26:AF$209,Баланс!$F$26:$F$209,$F306,Баланс!$G$26:$G$209,"население")</f>
        <v>976.44399999999996</v>
      </c>
      <c r="AG306" s="550">
        <f ca="1">SUMIFS(Баланс!AG$26:AG$209,Баланс!$F$26:$F$209,$F306,Баланс!$G$26:$G$209,"население")</f>
        <v>976.44399999999996</v>
      </c>
      <c r="AH306" s="550">
        <f ca="1">AG306-AF306</f>
        <v>0</v>
      </c>
      <c r="AI306" s="550">
        <f ca="1">SUMIFS(Баланс!AH$26:AH$209,Баланс!$F$26:$F$209,$F306,Баланс!$G$26:$G$209,"население")</f>
        <v>3721.1742399999998</v>
      </c>
      <c r="AJ306" s="550">
        <f ca="1">SUMIFS(Баланс!AI$26:AI$209,Баланс!$F$26:$F$209,$F306,Баланс!$G$26:$G$209,"население")</f>
        <v>3499.105</v>
      </c>
      <c r="AK306" s="550">
        <f ca="1">SUMIFS(Баланс!AJ$26:AJ$209,Баланс!$F$26:$F$209,$F306,Баланс!$G$26:$G$209,"население")</f>
        <v>3499.105</v>
      </c>
      <c r="AL306" s="550">
        <f ca="1">SUMIFS(Баланс!AK$26:AK$209,Баланс!$F$26:$F$209,$F306,Баланс!$G$26:$G$209,"население")</f>
        <v>3499.105</v>
      </c>
      <c r="AM306" s="550">
        <f ca="1">SUMIFS(Баланс!AL$26:AL$209,Баланс!$F$26:$F$209,$F306,Баланс!$G$26:$G$209,"население")</f>
        <v>0</v>
      </c>
      <c r="AN306" s="550">
        <f ca="1">SUMIFS(Баланс!AM$26:AM$209,Баланс!$F$26:$F$209,$F306,Баланс!$G$26:$G$209,"население")</f>
        <v>0</v>
      </c>
      <c r="AO306" s="550">
        <f ca="1">SUMIFS(Баланс!AN$26:AN$209,Баланс!$F$26:$F$209,$F306,Баланс!$G$26:$G$209,"население")</f>
        <v>0</v>
      </c>
      <c r="AP306" s="550">
        <f ca="1">SUMIFS(Баланс!AO$26:AO$209,Баланс!$F$26:$F$209,$F306,Баланс!$G$26:$G$209,"население")</f>
        <v>0</v>
      </c>
      <c r="AQ306" s="550">
        <f ca="1">SUMIFS(Баланс!AP$26:AP$209,Баланс!$F$26:$F$209,$F306,Баланс!$G$26:$G$209,"население")</f>
        <v>0</v>
      </c>
      <c r="AR306" s="550">
        <f ca="1">SUMIFS(Баланс!AQ$26:AQ$209,Баланс!$F$26:$F$209,$F306,Баланс!$G$26:$G$209,"население")</f>
        <v>0</v>
      </c>
      <c r="AS306" s="550">
        <f ca="1">SUMIFS(Баланс!AR$26:AR$209,Баланс!$F$26:$F$209,$F306,Баланс!$G$26:$G$209,"население")</f>
        <v>0</v>
      </c>
      <c r="AT306" s="550">
        <f ca="1">SUMIFS(Баланс!AS$26:AS$209,Баланс!$F$26:$F$209,$F306,Баланс!$G$26:$G$209,"население")</f>
        <v>3499.1053299999999</v>
      </c>
      <c r="AU306" s="550">
        <f ca="1">SUMIFS(Баланс!AT$26:AT$209,Баланс!$F$26:$F$209,$F306,Баланс!$G$26:$G$209,"население")</f>
        <v>3499.1053299999999</v>
      </c>
      <c r="AV306" s="550">
        <f ca="1">SUMIFS(Баланс!AU$26:AU$209,Баланс!$F$26:$F$209,$F306,Баланс!$G$26:$G$209,"население")</f>
        <v>3499.1053299999999</v>
      </c>
      <c r="AW306" s="550">
        <f ca="1">SUMIFS(Баланс!AV$26:AV$209,Баланс!$F$26:$F$209,$F306,Баланс!$G$26:$G$209,"население")</f>
        <v>0</v>
      </c>
      <c r="AX306" s="550">
        <f ca="1">SUMIFS(Баланс!AW$26:AW$209,Баланс!$F$26:$F$209,$F306,Баланс!$G$26:$G$209,"население")</f>
        <v>0</v>
      </c>
      <c r="AY306" s="550">
        <f ca="1">SUMIFS(Баланс!AX$26:AX$209,Баланс!$F$26:$F$209,$F306,Баланс!$G$26:$G$209,"население")</f>
        <v>0</v>
      </c>
      <c r="AZ306" s="550">
        <f ca="1">SUMIFS(Баланс!AY$26:AY$209,Баланс!$F$26:$F$209,$F306,Баланс!$G$26:$G$209,"население")</f>
        <v>0</v>
      </c>
      <c r="BA306" s="550">
        <f ca="1">SUMIFS(Баланс!AZ$26:AZ$209,Баланс!$F$26:$F$209,$F306,Баланс!$G$26:$G$209,"население")</f>
        <v>0</v>
      </c>
      <c r="BB306" s="550">
        <f ca="1">SUMIFS(Баланс!BA$26:BA$209,Баланс!$F$26:$F$209,$F306,Баланс!$G$26:$G$209,"население")</f>
        <v>0</v>
      </c>
      <c r="BC306" s="550">
        <f ca="1">SUMIFS(Баланс!BB$26:BB$209,Баланс!$F$26:$F$209,$F306,Баланс!$G$26:$G$209,"население")</f>
        <v>0</v>
      </c>
      <c r="BD306" s="129"/>
      <c r="BE306" s="129"/>
      <c r="BF306" s="129"/>
      <c r="BG306" s="129"/>
      <c r="BH306" s="129"/>
      <c r="BI306" s="129"/>
      <c r="BJ306" s="129"/>
      <c r="BK306" s="129"/>
      <c r="BL306" s="129"/>
      <c r="BM306" s="129"/>
      <c r="BN306" s="195"/>
      <c r="BO306" s="195"/>
      <c r="BP306" s="195"/>
      <c r="BQ306" s="76"/>
      <c r="BR306" s="76"/>
      <c r="BS306" s="693" t="s">
        <v>1912</v>
      </c>
      <c r="BT306" s="700"/>
      <c r="BU306" s="700"/>
      <c r="BV306" s="509"/>
      <c r="BW306" s="509"/>
    </row>
    <row r="307" spans="1:75" ht="14.25" customHeight="1">
      <c r="D307" s="25" cm="1">
        <f t="array" ref="D307">D306</f>
        <v>13</v>
      </c>
      <c r="E307" s="505">
        <v>15</v>
      </c>
      <c r="F307" s="3" t="str" cm="1">
        <f t="array" aca="1" ref="F307" ca="1">OFFSET(E307,-1,1)</f>
        <v>1</v>
      </c>
      <c r="G307" s="72" t="s">
        <v>1703</v>
      </c>
      <c r="I307" s="72" t="s">
        <v>2214</v>
      </c>
      <c r="K307" s="72" t="s">
        <v>2214</v>
      </c>
      <c r="L307" s="25" t="s">
        <v>1913</v>
      </c>
      <c r="M307" s="25"/>
      <c r="T307" s="351" t="b" cm="1">
        <f t="array" aca="1" ref="T307" ca="1">T306</f>
        <v>1</v>
      </c>
      <c r="X307" s="1024"/>
      <c r="Z307" s="1008"/>
      <c r="AB307" s="7" t="str">
        <f>D307&amp;".1"</f>
        <v>13.1</v>
      </c>
      <c r="AC307" s="127" t="s">
        <v>1915</v>
      </c>
      <c r="AD307" s="7" t="s">
        <v>585</v>
      </c>
      <c r="AE307" s="442">
        <f ca="1">AE306/2</f>
        <v>65.256185000000002</v>
      </c>
      <c r="AF307" s="442">
        <f ca="1">AF306/2</f>
        <v>488.22199999999998</v>
      </c>
      <c r="AG307" s="442">
        <f ca="1">AG306/2</f>
        <v>488.22199999999998</v>
      </c>
      <c r="AH307" s="556">
        <f ca="1">AG307-AF307</f>
        <v>0</v>
      </c>
      <c r="AI307" s="442">
        <f ca="1">AI306/2</f>
        <v>1860.5871199999999</v>
      </c>
      <c r="AJ307" s="442">
        <f ca="1">IF(god=2026,AJ306/12*9,AJ306/2)</f>
        <v>2624.3287500000001</v>
      </c>
      <c r="AK307" s="442">
        <f ca="1">IF(god=2025,AK306/12*9,AK306/2)</f>
        <v>1749.5525</v>
      </c>
      <c r="AL307" s="442">
        <f t="shared" ref="AL307:AS307" ca="1" si="85">AL306/2</f>
        <v>1749.5525</v>
      </c>
      <c r="AM307" s="442">
        <f t="shared" ca="1" si="85"/>
        <v>0</v>
      </c>
      <c r="AN307" s="442">
        <f t="shared" ca="1" si="85"/>
        <v>0</v>
      </c>
      <c r="AO307" s="442">
        <f t="shared" ca="1" si="85"/>
        <v>0</v>
      </c>
      <c r="AP307" s="442">
        <f t="shared" ca="1" si="85"/>
        <v>0</v>
      </c>
      <c r="AQ307" s="442">
        <f t="shared" ca="1" si="85"/>
        <v>0</v>
      </c>
      <c r="AR307" s="442">
        <f t="shared" ca="1" si="85"/>
        <v>0</v>
      </c>
      <c r="AS307" s="442">
        <f t="shared" ca="1" si="85"/>
        <v>0</v>
      </c>
      <c r="AT307" s="442">
        <f ca="1">IF(god=2026,AT306/12*9,AT306/2)</f>
        <v>2624.3289974999998</v>
      </c>
      <c r="AU307" s="442">
        <f ca="1">IF(god=2025,AU306/12*9,AU306/2)</f>
        <v>1749.5526649999999</v>
      </c>
      <c r="AV307" s="442">
        <f t="shared" ref="AV307:BC307" ca="1" si="86">AV306/2</f>
        <v>1749.5526649999999</v>
      </c>
      <c r="AW307" s="442">
        <f t="shared" ca="1" si="86"/>
        <v>0</v>
      </c>
      <c r="AX307" s="442">
        <f t="shared" ca="1" si="86"/>
        <v>0</v>
      </c>
      <c r="AY307" s="442">
        <f t="shared" ca="1" si="86"/>
        <v>0</v>
      </c>
      <c r="AZ307" s="442">
        <f t="shared" ca="1" si="86"/>
        <v>0</v>
      </c>
      <c r="BA307" s="442">
        <f t="shared" ca="1" si="86"/>
        <v>0</v>
      </c>
      <c r="BB307" s="442">
        <f t="shared" ca="1" si="86"/>
        <v>0</v>
      </c>
      <c r="BC307" s="442">
        <f t="shared" ca="1" si="86"/>
        <v>0</v>
      </c>
      <c r="BD307" s="540"/>
      <c r="BE307" s="540"/>
      <c r="BF307" s="540"/>
      <c r="BG307" s="540"/>
      <c r="BH307" s="540"/>
      <c r="BI307" s="540"/>
      <c r="BJ307" s="540"/>
      <c r="BK307" s="540"/>
      <c r="BL307" s="540"/>
      <c r="BM307" s="540"/>
      <c r="BN307" s="195"/>
      <c r="BO307" s="195"/>
      <c r="BP307" s="195"/>
      <c r="BS307" s="692" t="s">
        <v>1916</v>
      </c>
    </row>
    <row r="308" spans="1:75" ht="14.25" customHeight="1">
      <c r="D308" s="25" cm="1">
        <f t="array" ref="D308">D307</f>
        <v>13</v>
      </c>
      <c r="E308" s="505">
        <v>15</v>
      </c>
      <c r="F308" s="3" t="str" cm="1">
        <f t="array" aca="1" ref="F308" ca="1">OFFSET(E308,-1,1)</f>
        <v>1</v>
      </c>
      <c r="G308" s="72" t="s">
        <v>1659</v>
      </c>
      <c r="I308" s="72" t="s">
        <v>2215</v>
      </c>
      <c r="K308" s="72" t="s">
        <v>2215</v>
      </c>
      <c r="L308" s="25" t="s">
        <v>1917</v>
      </c>
      <c r="M308" s="25"/>
      <c r="T308" s="351" t="b" cm="1">
        <f t="array" aca="1" ref="T308" ca="1">T307</f>
        <v>1</v>
      </c>
      <c r="X308" s="1024"/>
      <c r="Z308" s="1008"/>
      <c r="AB308" s="7" t="str">
        <f>D308&amp;".2"</f>
        <v>13.2</v>
      </c>
      <c r="AC308" s="127" t="s">
        <v>1919</v>
      </c>
      <c r="AD308" s="7" t="s">
        <v>1647</v>
      </c>
      <c r="AE308" s="128">
        <f ca="1">IF(AE306=0,0,AE300*(1+Сценарии!AE$26))</f>
        <v>0</v>
      </c>
      <c r="AF308" s="128">
        <f ca="1">IF(AF306=0,0,AF300*(1+Сценарии!AF$26))</f>
        <v>0</v>
      </c>
      <c r="AG308" s="128">
        <f ca="1">IF(AG306=0,0,AG300*(1+Сценарии!AG$26))</f>
        <v>0</v>
      </c>
      <c r="AH308" s="170">
        <f ca="1">AG308-AF308</f>
        <v>0</v>
      </c>
      <c r="AI308" s="128">
        <f ca="1">IF(AI306=0,0,AI300*(1+Сценарии!AI$26))</f>
        <v>0</v>
      </c>
      <c r="AJ308" s="128">
        <f ca="1">IF(AJ306=0,0,AJ300*(1+Сценарии!AJ$26))</f>
        <v>0</v>
      </c>
      <c r="AK308" s="128">
        <f ca="1">IF(AK306=0,0,AK300*(1+Сценарии!AO$26))</f>
        <v>0</v>
      </c>
      <c r="AL308" s="128">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 ca="1">IF(AT306=0,0,AT300*(1+Сценарии!AK$26))</f>
        <v>0</v>
      </c>
      <c r="AU308" s="128">
        <f ca="1">IF(AU306=0,0,AU300*(1+Сценарии!AX$26))</f>
        <v>141.85798332964674</v>
      </c>
      <c r="AV308" s="128">
        <f ca="1">IF(AV306=0,0,AV300*(1+Сценарии!AY$26))</f>
        <v>-71.970177770709455</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0"/>
      <c r="BE308" s="540"/>
      <c r="BF308" s="540"/>
      <c r="BG308" s="540"/>
      <c r="BH308" s="540"/>
      <c r="BI308" s="540"/>
      <c r="BJ308" s="540"/>
      <c r="BK308" s="540"/>
      <c r="BL308" s="540"/>
      <c r="BM308" s="540"/>
      <c r="BN308" s="195"/>
      <c r="BO308" s="195"/>
      <c r="BP308" s="195"/>
      <c r="BS308" s="692" t="s">
        <v>1920</v>
      </c>
    </row>
    <row r="309" spans="1:75" ht="14.25" customHeight="1">
      <c r="B309" s="15"/>
      <c r="C309" s="25"/>
      <c r="D309" s="25" cm="1">
        <f t="array" ref="D309">D308</f>
        <v>13</v>
      </c>
      <c r="E309" s="449">
        <v>15</v>
      </c>
      <c r="F309" s="3" t="str" cm="1">
        <f t="array" aca="1" ref="F309" ca="1">OFFSET(E309,-1,1)</f>
        <v>1</v>
      </c>
      <c r="G309" s="25" t="s">
        <v>1710</v>
      </c>
      <c r="H309" s="25"/>
      <c r="I309" s="25" t="s">
        <v>2216</v>
      </c>
      <c r="J309" s="25"/>
      <c r="K309" s="25" t="s">
        <v>2216</v>
      </c>
      <c r="L309" s="25" t="s">
        <v>1921</v>
      </c>
      <c r="M309" s="25"/>
      <c r="N309" s="25"/>
      <c r="O309" s="25"/>
      <c r="P309" s="25"/>
      <c r="Q309" s="25"/>
      <c r="R309" s="25"/>
      <c r="S309" s="25"/>
      <c r="T309" s="351" t="b" cm="1">
        <f t="array" aca="1" ref="T309" ca="1">T308</f>
        <v>1</v>
      </c>
      <c r="U309" s="25"/>
      <c r="V309" s="25"/>
      <c r="W309" s="25"/>
      <c r="X309" s="1024"/>
      <c r="Z309" s="1008"/>
      <c r="AB309" s="7" t="str">
        <f>D309&amp;".3"</f>
        <v>13.3</v>
      </c>
      <c r="AC309" s="127" t="s">
        <v>1893</v>
      </c>
      <c r="AD309" s="7" t="s">
        <v>585</v>
      </c>
      <c r="AE309" s="556">
        <f ca="1">AE306-AE307</f>
        <v>65.256185000000002</v>
      </c>
      <c r="AF309" s="556">
        <f ca="1">AF306-AF307</f>
        <v>488.22199999999998</v>
      </c>
      <c r="AG309" s="556">
        <f ca="1">AG306-AG307</f>
        <v>488.22199999999998</v>
      </c>
      <c r="AH309" s="556">
        <f ca="1">AG309-AF309</f>
        <v>0</v>
      </c>
      <c r="AI309" s="556">
        <f t="shared" ref="AI309:BC309" ca="1" si="87">AI306-AI307</f>
        <v>1860.5871199999999</v>
      </c>
      <c r="AJ309" s="556">
        <f t="shared" ca="1" si="87"/>
        <v>874.77624999999989</v>
      </c>
      <c r="AK309" s="556">
        <f t="shared" ca="1" si="87"/>
        <v>1749.5525</v>
      </c>
      <c r="AL309" s="556">
        <f t="shared" ca="1" si="87"/>
        <v>1749.5525</v>
      </c>
      <c r="AM309" s="556">
        <f t="shared" ca="1" si="87"/>
        <v>0</v>
      </c>
      <c r="AN309" s="556">
        <f t="shared" ca="1" si="87"/>
        <v>0</v>
      </c>
      <c r="AO309" s="556">
        <f t="shared" ca="1" si="87"/>
        <v>0</v>
      </c>
      <c r="AP309" s="556">
        <f t="shared" ca="1" si="87"/>
        <v>0</v>
      </c>
      <c r="AQ309" s="556">
        <f t="shared" ca="1" si="87"/>
        <v>0</v>
      </c>
      <c r="AR309" s="556">
        <f t="shared" ca="1" si="87"/>
        <v>0</v>
      </c>
      <c r="AS309" s="556">
        <f t="shared" ca="1" si="87"/>
        <v>0</v>
      </c>
      <c r="AT309" s="556">
        <f t="shared" ca="1" si="87"/>
        <v>874.77633250000008</v>
      </c>
      <c r="AU309" s="556">
        <f t="shared" ca="1" si="87"/>
        <v>1749.5526649999999</v>
      </c>
      <c r="AV309" s="556">
        <f t="shared" ca="1" si="87"/>
        <v>1749.5526649999999</v>
      </c>
      <c r="AW309" s="556">
        <f t="shared" ca="1" si="87"/>
        <v>0</v>
      </c>
      <c r="AX309" s="556">
        <f t="shared" ca="1" si="87"/>
        <v>0</v>
      </c>
      <c r="AY309" s="556">
        <f t="shared" ca="1" si="87"/>
        <v>0</v>
      </c>
      <c r="AZ309" s="556">
        <f t="shared" ca="1" si="87"/>
        <v>0</v>
      </c>
      <c r="BA309" s="556">
        <f t="shared" ca="1" si="87"/>
        <v>0</v>
      </c>
      <c r="BB309" s="556">
        <f t="shared" ca="1" si="87"/>
        <v>0</v>
      </c>
      <c r="BC309" s="556">
        <f t="shared" ca="1" si="87"/>
        <v>0</v>
      </c>
      <c r="BD309" s="540"/>
      <c r="BE309" s="540"/>
      <c r="BF309" s="540"/>
      <c r="BG309" s="540"/>
      <c r="BH309" s="540"/>
      <c r="BI309" s="540"/>
      <c r="BJ309" s="540"/>
      <c r="BK309" s="540"/>
      <c r="BL309" s="540"/>
      <c r="BM309" s="540"/>
      <c r="BN309" s="195"/>
      <c r="BO309" s="195"/>
      <c r="BP309" s="195"/>
      <c r="BS309" s="692" t="s">
        <v>1923</v>
      </c>
    </row>
    <row r="310" spans="1:75" ht="14.25" customHeight="1">
      <c r="B310" s="15"/>
      <c r="C310" s="25"/>
      <c r="D310" s="25" cm="1">
        <f t="array" ref="D310">D309</f>
        <v>13</v>
      </c>
      <c r="E310" s="449">
        <v>15</v>
      </c>
      <c r="F310" s="3" t="str" cm="1">
        <f t="array" aca="1" ref="F310" ca="1">OFFSET(E310,-1,1)</f>
        <v>1</v>
      </c>
      <c r="G310" s="25" t="s">
        <v>1663</v>
      </c>
      <c r="H310" s="25"/>
      <c r="I310" s="25" t="s">
        <v>2217</v>
      </c>
      <c r="J310" s="25"/>
      <c r="K310" s="25" t="s">
        <v>2217</v>
      </c>
      <c r="L310" s="25" t="s">
        <v>1924</v>
      </c>
      <c r="M310" s="25"/>
      <c r="N310" s="25"/>
      <c r="O310" s="25"/>
      <c r="P310" s="25"/>
      <c r="Q310" s="25"/>
      <c r="R310" s="25"/>
      <c r="S310" s="25"/>
      <c r="T310" s="351" t="b" cm="1">
        <f t="array" aca="1" ref="T310" ca="1">T309</f>
        <v>1</v>
      </c>
      <c r="U310" s="25"/>
      <c r="V310" s="25"/>
      <c r="W310" s="25"/>
      <c r="X310" s="1024"/>
      <c r="Z310" s="1008"/>
      <c r="AB310" s="7" t="str">
        <f>D310&amp;".4"</f>
        <v>13.4</v>
      </c>
      <c r="AC310" s="127" t="s">
        <v>1897</v>
      </c>
      <c r="AD310" s="7" t="s">
        <v>1647</v>
      </c>
      <c r="AE310" s="128">
        <f ca="1">IF(AE306=0,0,AE302*(1+Сценарии!AE$26))</f>
        <v>66.179629854543478</v>
      </c>
      <c r="AF310" s="128">
        <f ca="1">IF(AF306=0,0,AF302*(1+Сценарии!AF$26))</f>
        <v>24.593233860343652</v>
      </c>
      <c r="AG310" s="128">
        <f ca="1">IF(AG306=0,0,AG302*(1+Сценарии!AG$26))</f>
        <v>24.593233860343652</v>
      </c>
      <c r="AH310" s="170">
        <f ca="1">AG310-AF310</f>
        <v>0</v>
      </c>
      <c r="AI310" s="128">
        <f ca="1">IF(AI306=0,0,AI302*(1+Сценарии!AI$26))</f>
        <v>53.396935151688105</v>
      </c>
      <c r="AJ310" s="128">
        <f ca="1">IF(AJ306=0,0,AJ302*(1+Сценарии!AJ$26))</f>
        <v>130.40031565880261</v>
      </c>
      <c r="AK310" s="128">
        <f ca="1">IF(AK306=0,0,AK302*(1+Сценарии!AO$26))</f>
        <v>58.081143570503841</v>
      </c>
      <c r="AL310" s="128">
        <f ca="1">IF(AL306=0,0,AL302*(1+Сценарии!AP$26))</f>
        <v>60.406651928715732</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 ca="1">IF(AT306=0,0,AT302*(1+Сценарии!AK$26))</f>
        <v>141.85798332964674</v>
      </c>
      <c r="AU310" s="128">
        <f ca="1">IF(AU306=0,0,AU302*(1+Сценарии!AX$26))</f>
        <v>-71.970177770709455</v>
      </c>
      <c r="AV310" s="128">
        <f ca="1">IF(AV306=0,0,AV302*(1+Сценарии!AY$26))</f>
        <v>144.6823468946157</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0"/>
      <c r="BE310" s="540"/>
      <c r="BF310" s="540"/>
      <c r="BG310" s="540"/>
      <c r="BH310" s="540"/>
      <c r="BI310" s="540"/>
      <c r="BJ310" s="540"/>
      <c r="BK310" s="540"/>
      <c r="BL310" s="540"/>
      <c r="BM310" s="540"/>
      <c r="BN310" s="195"/>
      <c r="BO310" s="195"/>
      <c r="BP310" s="195"/>
      <c r="BS310" s="692" t="s">
        <v>1927</v>
      </c>
    </row>
    <row r="311" spans="1:75" ht="14.25" customHeight="1">
      <c r="B311" s="15"/>
      <c r="C311" s="25"/>
      <c r="D311" s="25">
        <f>D310+1</f>
        <v>14</v>
      </c>
      <c r="E311" s="449">
        <v>15</v>
      </c>
      <c r="F311" s="3" t="str" cm="1">
        <f t="array" aca="1" ref="F311" ca="1">OFFSET(E311,-1,1)</f>
        <v>1</v>
      </c>
      <c r="G311" s="25"/>
      <c r="H311" s="25"/>
      <c r="I311" s="25"/>
      <c r="J311" s="25"/>
      <c r="K311" s="25"/>
      <c r="L311" s="25"/>
      <c r="M311" s="25"/>
      <c r="N311" s="25"/>
      <c r="O311" s="25"/>
      <c r="P311" s="25"/>
      <c r="Q311" s="25"/>
      <c r="R311" s="25"/>
      <c r="S311" s="25"/>
      <c r="T311" s="351" t="b" cm="1">
        <f t="array" aca="1" ref="T311" ca="1">T310</f>
        <v>1</v>
      </c>
      <c r="U311" s="25"/>
      <c r="V311" s="25"/>
      <c r="W311" s="25"/>
      <c r="X311" s="1024"/>
      <c r="Z311" s="1008"/>
      <c r="AB311" s="124" cm="1">
        <f t="array" ref="AB311">D311</f>
        <v>14</v>
      </c>
      <c r="AC311" s="125" t="s">
        <v>1928</v>
      </c>
      <c r="AD311" s="124" t="s">
        <v>859</v>
      </c>
      <c r="AE311" s="128"/>
      <c r="AF311" s="128"/>
      <c r="AG311" s="128"/>
      <c r="AH311" s="170"/>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540"/>
      <c r="BE311" s="540"/>
      <c r="BF311" s="540"/>
      <c r="BG311" s="540"/>
      <c r="BH311" s="540"/>
      <c r="BI311" s="540"/>
      <c r="BJ311" s="540"/>
      <c r="BK311" s="540"/>
      <c r="BL311" s="540"/>
      <c r="BM311" s="540"/>
      <c r="BN311" s="195"/>
      <c r="BO311" s="195"/>
      <c r="BP311" s="195"/>
      <c r="BS311" s="692" t="s">
        <v>1929</v>
      </c>
    </row>
    <row r="312" spans="1:75" ht="20.25" customHeight="1">
      <c r="B312" s="15"/>
      <c r="C312" s="25"/>
      <c r="D312" s="25" cm="1">
        <f t="array" ref="D312">D311</f>
        <v>14</v>
      </c>
      <c r="E312" s="449">
        <v>21</v>
      </c>
      <c r="F312" s="3" t="str" cm="1">
        <f t="array" aca="1" ref="F312" ca="1">OFFSET(E312,-1,1)</f>
        <v>1</v>
      </c>
      <c r="G312" s="25"/>
      <c r="H312" s="25"/>
      <c r="I312" s="25"/>
      <c r="J312" s="25"/>
      <c r="K312" s="25"/>
      <c r="L312" s="25"/>
      <c r="M312" s="25"/>
      <c r="N312" s="25"/>
      <c r="O312" s="25"/>
      <c r="P312" s="25"/>
      <c r="Q312" s="25"/>
      <c r="R312" s="25"/>
      <c r="S312" s="25"/>
      <c r="T312" s="351" t="b" cm="1">
        <f t="array" aca="1" ref="T312" ca="1">T311</f>
        <v>1</v>
      </c>
      <c r="U312" s="25"/>
      <c r="V312" s="25"/>
      <c r="W312" s="25"/>
      <c r="X312" s="1024"/>
      <c r="Z312" s="1008"/>
      <c r="AB312" s="7" t="str">
        <f>D312&amp;".1"</f>
        <v>14.1</v>
      </c>
      <c r="AC312" s="127" t="s">
        <v>1931</v>
      </c>
      <c r="AD312" s="7" t="s">
        <v>859</v>
      </c>
      <c r="AE312" s="128"/>
      <c r="AF312" s="128"/>
      <c r="AG312" s="128"/>
      <c r="AH312" s="170">
        <f>AG312-AF312</f>
        <v>0</v>
      </c>
      <c r="AI312" s="128"/>
      <c r="AJ312" s="128"/>
      <c r="AK312" s="128"/>
      <c r="AL312" s="128"/>
      <c r="AM312" s="128"/>
      <c r="AN312" s="128"/>
      <c r="AO312" s="128"/>
      <c r="AP312" s="128"/>
      <c r="AQ312" s="128"/>
      <c r="AR312" s="128"/>
      <c r="AS312" s="128"/>
      <c r="AT312" s="128"/>
      <c r="AU312" s="128"/>
      <c r="AV312" s="128"/>
      <c r="AW312" s="128"/>
      <c r="AX312" s="128"/>
      <c r="AY312" s="128"/>
      <c r="AZ312" s="128"/>
      <c r="BA312" s="128"/>
      <c r="BB312" s="128"/>
      <c r="BC312" s="128"/>
      <c r="BD312" s="540"/>
      <c r="BE312" s="540"/>
      <c r="BF312" s="540"/>
      <c r="BG312" s="540"/>
      <c r="BH312" s="540"/>
      <c r="BI312" s="540"/>
      <c r="BJ312" s="540"/>
      <c r="BK312" s="540"/>
      <c r="BL312" s="540"/>
      <c r="BM312" s="540"/>
      <c r="BN312" s="195"/>
      <c r="BO312" s="195"/>
      <c r="BP312" s="195"/>
      <c r="BS312" s="692" t="s">
        <v>1932</v>
      </c>
      <c r="BT312" s="701"/>
      <c r="BU312" s="701"/>
      <c r="BV312" s="702"/>
      <c r="BW312" s="702"/>
    </row>
    <row r="313" spans="1:75" ht="64.5" customHeight="1">
      <c r="B313" s="15"/>
      <c r="C313" s="25"/>
      <c r="D313" s="25" cm="1">
        <f t="array" ref="D313">D312</f>
        <v>14</v>
      </c>
      <c r="E313" s="449">
        <v>66.599999999999994</v>
      </c>
      <c r="F313" s="3" t="str" cm="1">
        <f t="array" aca="1" ref="F313" ca="1">OFFSET(E313,-1,1)</f>
        <v>1</v>
      </c>
      <c r="G313" s="25"/>
      <c r="H313" s="25"/>
      <c r="I313" s="25"/>
      <c r="J313" s="25"/>
      <c r="K313" s="25"/>
      <c r="L313" s="25"/>
      <c r="M313" s="25"/>
      <c r="N313" s="25"/>
      <c r="O313" s="25"/>
      <c r="P313" s="25"/>
      <c r="Q313" s="25"/>
      <c r="R313" s="25"/>
      <c r="S313" s="25"/>
      <c r="T313" s="351" t="b" cm="1">
        <f t="array" aca="1" ref="T313" ca="1">T312</f>
        <v>1</v>
      </c>
      <c r="U313" s="25"/>
      <c r="V313" s="25"/>
      <c r="W313" s="25"/>
      <c r="X313" s="1024"/>
      <c r="Z313" s="1008"/>
      <c r="AB313" s="7" t="str">
        <f>D313&amp;".2"</f>
        <v>14.2</v>
      </c>
      <c r="AC313" s="127" t="s">
        <v>1934</v>
      </c>
      <c r="AD313" s="7" t="s">
        <v>859</v>
      </c>
      <c r="AE313" s="128"/>
      <c r="AF313" s="128"/>
      <c r="AG313" s="128"/>
      <c r="AH313" s="170">
        <f>AG313-AF313</f>
        <v>0</v>
      </c>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540"/>
      <c r="BE313" s="540"/>
      <c r="BF313" s="540"/>
      <c r="BG313" s="540"/>
      <c r="BH313" s="540"/>
      <c r="BI313" s="540"/>
      <c r="BJ313" s="540"/>
      <c r="BK313" s="540"/>
      <c r="BL313" s="540"/>
      <c r="BM313" s="540"/>
      <c r="BN313" s="195"/>
      <c r="BO313" s="195"/>
      <c r="BP313" s="195"/>
      <c r="BS313" s="692" t="s">
        <v>1935</v>
      </c>
      <c r="BT313" s="701"/>
      <c r="BU313" s="701"/>
      <c r="BV313" s="702"/>
      <c r="BW313" s="702"/>
    </row>
    <row r="314" spans="1:75" ht="44.25" customHeight="1">
      <c r="A314" s="374"/>
      <c r="B314" s="535"/>
      <c r="C314" s="25"/>
      <c r="D314" s="25" cm="1">
        <f t="array" ref="D314">D313</f>
        <v>14</v>
      </c>
      <c r="E314" s="449">
        <v>45.6</v>
      </c>
      <c r="F314" s="3" t="str" cm="1">
        <f t="array" aca="1" ref="F314" ca="1">OFFSET(E314,-1,1)</f>
        <v>1</v>
      </c>
      <c r="G314" s="25"/>
      <c r="H314" s="25"/>
      <c r="I314" s="25"/>
      <c r="J314" s="25"/>
      <c r="K314" s="25"/>
      <c r="L314" s="25"/>
      <c r="M314" s="25"/>
      <c r="N314" s="25"/>
      <c r="O314" s="25"/>
      <c r="P314" s="25"/>
      <c r="Q314" s="25"/>
      <c r="R314" s="25"/>
      <c r="S314" s="25"/>
      <c r="T314" s="351" t="b" cm="1">
        <f t="array" aca="1" ref="T314" ca="1">T313</f>
        <v>1</v>
      </c>
      <c r="U314" s="25"/>
      <c r="V314" s="25"/>
      <c r="W314" s="25"/>
      <c r="X314" s="1024"/>
      <c r="Y314" s="374"/>
      <c r="Z314" s="1008"/>
      <c r="AA314" s="374"/>
      <c r="AB314" s="7" t="str">
        <f>D314&amp;".3"</f>
        <v>14.3</v>
      </c>
      <c r="AC314" s="127" t="s">
        <v>2218</v>
      </c>
      <c r="AD314" s="7" t="s">
        <v>859</v>
      </c>
      <c r="AE314" s="540"/>
      <c r="AF314" s="128"/>
      <c r="AG314" s="128"/>
      <c r="AH314" s="170">
        <f>AG314-AF314</f>
        <v>0</v>
      </c>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c r="BJ314" s="540"/>
      <c r="BK314" s="540"/>
      <c r="BL314" s="540"/>
      <c r="BM314" s="540"/>
      <c r="BN314" s="195"/>
      <c r="BO314" s="195"/>
      <c r="BP314" s="195"/>
      <c r="BS314" s="701" t="s">
        <v>2219</v>
      </c>
      <c r="BT314" s="701"/>
      <c r="BU314" s="701"/>
      <c r="BV314" s="702"/>
      <c r="BW314" s="702"/>
    </row>
    <row r="315" spans="1:75" ht="10.9" customHeight="1">
      <c r="A315"/>
      <c r="B315" s="409"/>
      <c r="C315"/>
      <c r="D315"/>
      <c r="E315" s="452">
        <v>11.25</v>
      </c>
      <c r="F315" s="4"/>
      <c r="G315"/>
      <c r="H315"/>
      <c r="I315"/>
      <c r="J315"/>
      <c r="K315"/>
      <c r="L315"/>
      <c r="M315"/>
      <c r="N315"/>
      <c r="O315"/>
      <c r="P315"/>
      <c r="Q315"/>
      <c r="R315"/>
      <c r="S315"/>
      <c r="T315"/>
      <c r="U315" t="s">
        <v>175</v>
      </c>
      <c r="V315" s="504" t="s">
        <v>2277</v>
      </c>
      <c r="W315"/>
      <c r="X315"/>
      <c r="Y315"/>
      <c r="Z315"/>
      <c r="AA315"/>
      <c r="AB315"/>
      <c r="AC315" s="314"/>
      <c r="AD315" s="314"/>
      <c r="AE315" s="314"/>
      <c r="AF315" s="314"/>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Q315"/>
      <c r="BR315"/>
      <c r="BS315" s="659"/>
      <c r="BT315" s="659"/>
      <c r="BU315" s="659"/>
      <c r="BV315" s="452"/>
      <c r="BW315" s="452"/>
    </row>
    <row r="316" spans="1:75" ht="14.65" customHeight="1">
      <c r="B316" s="15"/>
      <c r="C316" s="25"/>
      <c r="D316" s="25"/>
      <c r="E316" s="449">
        <v>15</v>
      </c>
      <c r="F316" s="25"/>
      <c r="G316" s="25"/>
      <c r="H316" s="25"/>
      <c r="I316" s="25"/>
      <c r="J316" s="25"/>
      <c r="K316" s="25"/>
      <c r="L316" s="25"/>
      <c r="M316" s="25"/>
      <c r="N316" s="25"/>
      <c r="O316" s="25"/>
      <c r="P316" s="25"/>
      <c r="Q316" s="25"/>
      <c r="R316" s="25"/>
      <c r="S316" s="25"/>
      <c r="T316" s="25"/>
      <c r="U316" s="25"/>
      <c r="V316" s="25"/>
      <c r="W316" s="25"/>
      <c r="AB316" s="1028" t="s">
        <v>396</v>
      </c>
      <c r="AC316" s="1028"/>
      <c r="AD316" s="1028"/>
      <c r="AE316" s="1028"/>
      <c r="AF316" s="1028"/>
      <c r="AG316" s="1028"/>
      <c r="AH316" s="1028"/>
      <c r="AI316" s="1028"/>
      <c r="AJ316" s="1028"/>
      <c r="AK316" s="1028"/>
      <c r="AL316" s="1028"/>
      <c r="AM316" s="1028"/>
      <c r="AN316" s="1028"/>
      <c r="AO316" s="1028"/>
      <c r="AP316" s="1028"/>
      <c r="AQ316" s="1028"/>
      <c r="AR316" s="1028"/>
      <c r="AS316" s="1028"/>
      <c r="AT316" s="1028"/>
      <c r="AU316" s="1028"/>
      <c r="AV316" s="1028"/>
      <c r="AW316" s="1028"/>
      <c r="AX316" s="1028"/>
      <c r="AY316" s="1028"/>
      <c r="AZ316" s="1028"/>
      <c r="BA316" s="1028"/>
      <c r="BB316" s="1028"/>
      <c r="BC316" s="1028"/>
      <c r="BD316" s="1028"/>
      <c r="BE316" s="1028"/>
      <c r="BF316" s="1028"/>
      <c r="BG316" s="1028"/>
      <c r="BH316" s="1028"/>
      <c r="BI316" s="1028"/>
      <c r="BJ316" s="1028"/>
      <c r="BK316" s="1028"/>
      <c r="BL316" s="1028"/>
      <c r="BM316" s="1028"/>
      <c r="BN316" s="1028"/>
      <c r="BO316" s="1028"/>
      <c r="BP316" s="1028"/>
    </row>
    <row r="317" spans="1:75" ht="14.65" customHeight="1">
      <c r="B317" s="15"/>
      <c r="C317" s="25"/>
      <c r="D317" s="25"/>
      <c r="E317" s="449">
        <v>15</v>
      </c>
      <c r="F317" s="25"/>
      <c r="G317" s="25"/>
      <c r="H317" s="25"/>
      <c r="I317" s="25"/>
      <c r="J317" s="25"/>
      <c r="K317" s="25"/>
      <c r="N317" s="25"/>
      <c r="O317" s="25"/>
      <c r="P317" s="25"/>
      <c r="Q317" s="25"/>
      <c r="R317" s="25"/>
      <c r="S317" s="25"/>
      <c r="T317" s="25"/>
      <c r="U317" s="25"/>
      <c r="V317" s="25"/>
      <c r="W317" s="25"/>
      <c r="AA317" s="87"/>
      <c r="AB317" s="1095"/>
      <c r="AC317" s="1100"/>
      <c r="AD317" s="1100"/>
      <c r="AE317" s="1100"/>
      <c r="AF317" s="1100"/>
      <c r="AG317" s="1100"/>
      <c r="AH317" s="1100"/>
      <c r="AI317" s="1100"/>
      <c r="AJ317" s="1100"/>
      <c r="AK317" s="1100"/>
      <c r="AL317" s="1100"/>
      <c r="AM317" s="1100"/>
      <c r="AN317" s="1100"/>
      <c r="AO317" s="1100"/>
      <c r="AP317" s="1100"/>
      <c r="AQ317" s="1100"/>
      <c r="AR317" s="1100"/>
      <c r="AS317" s="1100"/>
      <c r="AT317" s="1100"/>
      <c r="AU317" s="1100"/>
      <c r="AV317" s="1100"/>
      <c r="AW317" s="1100"/>
      <c r="AX317" s="1100"/>
      <c r="AY317" s="1100"/>
      <c r="AZ317" s="1100"/>
      <c r="BA317" s="1100"/>
      <c r="BB317" s="1100"/>
      <c r="BC317" s="1100"/>
      <c r="BD317" s="1100"/>
      <c r="BE317" s="1100"/>
      <c r="BF317" s="1100"/>
      <c r="BG317" s="1100"/>
      <c r="BH317" s="1100"/>
      <c r="BI317" s="1100"/>
      <c r="BJ317" s="1100"/>
      <c r="BK317" s="1100"/>
      <c r="BL317" s="1100"/>
      <c r="BM317" s="1100"/>
      <c r="BN317" s="1100"/>
      <c r="BO317" s="1100"/>
      <c r="BP317" s="1100"/>
    </row>
    <row r="318" spans="1:75" ht="14.65" hidden="1" customHeight="1">
      <c r="B318" s="15"/>
      <c r="C318" s="25"/>
      <c r="D318" s="25"/>
      <c r="E318" s="449">
        <v>15</v>
      </c>
      <c r="F318" s="25"/>
      <c r="G318" s="25"/>
      <c r="H318" s="25"/>
      <c r="I318" s="25"/>
      <c r="J318" s="25"/>
      <c r="K318" s="25"/>
      <c r="N318" s="25"/>
      <c r="O318" s="25"/>
      <c r="P318" s="25"/>
      <c r="Q318" s="25"/>
      <c r="R318" s="25"/>
      <c r="S318" s="25"/>
      <c r="T318" s="351" t="b">
        <f>ROW(W318)&gt;ROW(W$318)</f>
        <v>0</v>
      </c>
      <c r="U318" s="25"/>
      <c r="V318" s="25"/>
      <c r="W318" s="25" t="s">
        <v>171</v>
      </c>
      <c r="AA318" s="319" t="s">
        <v>172</v>
      </c>
      <c r="AB318" s="1096" t="s">
        <v>124</v>
      </c>
      <c r="AC318" s="1100"/>
      <c r="AD318" s="1100"/>
      <c r="AE318" s="1100"/>
      <c r="AF318" s="1100"/>
      <c r="AG318" s="1100"/>
      <c r="AH318" s="1100"/>
      <c r="AI318" s="1100"/>
      <c r="AJ318" s="1100"/>
      <c r="AK318" s="1100"/>
      <c r="AL318" s="1100"/>
      <c r="AM318" s="1100"/>
      <c r="AN318" s="1100"/>
      <c r="AO318" s="1100"/>
      <c r="AP318" s="1100"/>
      <c r="AQ318" s="1100"/>
      <c r="AR318" s="1100"/>
      <c r="AS318" s="1100"/>
      <c r="AT318" s="1100"/>
      <c r="AU318" s="1100"/>
      <c r="AV318" s="1100"/>
      <c r="AW318" s="1100"/>
      <c r="AX318" s="1100"/>
      <c r="AY318" s="1100"/>
      <c r="AZ318" s="1100"/>
      <c r="BA318" s="1100"/>
      <c r="BB318" s="1100"/>
      <c r="BC318" s="1100"/>
      <c r="BD318" s="1100"/>
      <c r="BE318" s="1100"/>
      <c r="BF318" s="1100"/>
      <c r="BG318" s="1100"/>
      <c r="BH318" s="1100"/>
      <c r="BI318" s="1100"/>
      <c r="BJ318" s="1100"/>
      <c r="BK318" s="1100"/>
      <c r="BL318" s="1100"/>
      <c r="BM318" s="1100"/>
      <c r="BN318" s="1100"/>
      <c r="BO318" s="1100"/>
      <c r="BP318" s="1100"/>
    </row>
    <row r="319" spans="1:75" ht="14.65" customHeight="1">
      <c r="B319" s="15"/>
      <c r="C319" s="25"/>
      <c r="D319" s="25"/>
      <c r="E319" s="449">
        <v>15</v>
      </c>
      <c r="F319" s="25"/>
      <c r="G319" s="25"/>
      <c r="H319" s="25"/>
      <c r="I319" s="25"/>
      <c r="J319" s="25"/>
      <c r="K319" s="25"/>
      <c r="N319" s="25"/>
      <c r="O319" s="25"/>
      <c r="P319" s="25"/>
      <c r="Q319" s="25"/>
      <c r="R319" s="25"/>
      <c r="S319" s="25"/>
      <c r="T319" s="25"/>
      <c r="U319" s="25"/>
      <c r="V319" s="25"/>
      <c r="W319" s="504" t="s">
        <v>407</v>
      </c>
      <c r="AB319" s="551"/>
      <c r="AC319" s="380" t="s">
        <v>408</v>
      </c>
      <c r="AD319" s="552"/>
      <c r="AE319" s="552"/>
      <c r="AF319" s="552"/>
      <c r="AG319" s="552"/>
      <c r="AH319" s="552"/>
      <c r="AI319" s="552"/>
      <c r="AJ319" s="552"/>
      <c r="AK319" s="552"/>
      <c r="AL319" s="552"/>
      <c r="AM319" s="552"/>
      <c r="AN319" s="552"/>
      <c r="AO319" s="552"/>
      <c r="AP319" s="552"/>
      <c r="AQ319" s="552"/>
      <c r="AR319" s="552"/>
      <c r="AS319" s="552"/>
      <c r="AT319" s="552"/>
      <c r="AU319" s="552"/>
      <c r="AV319" s="552"/>
      <c r="AW319" s="552"/>
      <c r="AX319" s="552"/>
      <c r="AY319" s="552"/>
      <c r="AZ319" s="552"/>
      <c r="BA319" s="552"/>
      <c r="BB319" s="552"/>
      <c r="BC319" s="552"/>
      <c r="BD319" s="552"/>
      <c r="BE319" s="552"/>
      <c r="BF319" s="552"/>
      <c r="BG319" s="552"/>
      <c r="BH319" s="552"/>
      <c r="BI319" s="552"/>
      <c r="BJ319" s="552"/>
      <c r="BK319" s="552"/>
      <c r="BL319" s="552"/>
      <c r="BM319" s="552"/>
      <c r="BN319" s="552"/>
      <c r="BO319" s="552"/>
      <c r="BP319" s="553"/>
    </row>
    <row r="320" spans="1:75" ht="10.9" customHeight="1">
      <c r="E320" s="505">
        <v>11.25</v>
      </c>
      <c r="BQ320" s="22"/>
    </row>
  </sheetData>
  <sheetProtection formatColumns="0" formatRows="0" insertRows="0" deleteColumns="0" deleteRows="0" sort="0" autoFilter="0"/>
  <mergeCells count="14">
    <mergeCell ref="AB316:BP316"/>
    <mergeCell ref="AB317:BP317"/>
    <mergeCell ref="AB318:BP318"/>
    <mergeCell ref="X27:X170"/>
    <mergeCell ref="Z27:Z170"/>
    <mergeCell ref="X171:X314"/>
    <mergeCell ref="Z171:Z314"/>
    <mergeCell ref="BP24:BP25"/>
    <mergeCell ref="BD25:BM25"/>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A0F8-852A-0FA8-FEB8-ACCAD8BAE504}">
  <sheetPr>
    <tabColor rgb="FF002060"/>
    <outlinePr summaryBelow="0" summaryRight="0"/>
  </sheetPr>
  <dimension ref="A1:AQ138"/>
  <sheetViews>
    <sheetView showGridLines="0" zoomScale="120" workbookViewId="0">
      <pane xSplit="29" ySplit="28" topLeftCell="AD29" activePane="bottomRight" state="frozen"/>
      <selection pane="topRight" activeCell="AD1" sqref="AD1"/>
      <selection pane="bottomLeft" activeCell="A29" sqref="A29"/>
      <selection pane="bottomRight" activeCell="AF132" sqref="AF132"/>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20" customWidth="1"/>
    <col min="29" max="32" width="17" style="17" customWidth="1"/>
    <col min="33" max="33" width="25.28515625" style="17" customWidth="1"/>
    <col min="34" max="36" width="23" style="17" hidden="1" customWidth="1"/>
    <col min="37" max="37" width="25" style="17" hidden="1" customWidth="1"/>
    <col min="38" max="38" width="3" style="17" customWidth="1"/>
    <col min="39" max="40" width="9.140625" style="17" hidden="1"/>
    <col min="41" max="41" width="9.140625" style="669" hidden="1"/>
    <col min="42" max="43" width="9.140625" style="17" hidden="1"/>
  </cols>
  <sheetData>
    <row r="1" spans="1:41" ht="11.25" hidden="1" customHeight="1">
      <c r="E1" s="17"/>
      <c r="F1" s="17" t="s">
        <v>309</v>
      </c>
      <c r="K1" s="17" t="s">
        <v>349</v>
      </c>
      <c r="T1" s="351" t="s">
        <v>92</v>
      </c>
      <c r="U1" s="351" t="s">
        <v>97</v>
      </c>
      <c r="V1" s="351" t="s">
        <v>93</v>
      </c>
      <c r="W1" s="351" t="s">
        <v>94</v>
      </c>
      <c r="X1" s="351" t="s">
        <v>95</v>
      </c>
      <c r="Y1" s="353" t="s">
        <v>311</v>
      </c>
      <c r="Z1" s="351" t="s">
        <v>99</v>
      </c>
      <c r="AA1" s="352" t="s">
        <v>96</v>
      </c>
      <c r="AB1" s="4"/>
      <c r="AC1" s="352" t="s">
        <v>98</v>
      </c>
      <c r="AM1" s="17" t="s">
        <v>2278</v>
      </c>
      <c r="AO1" s="669" t="s">
        <v>354</v>
      </c>
    </row>
    <row r="2" spans="1:41" s="46" customFormat="1" ht="11.25" hidden="1" customHeight="1">
      <c r="B2" s="340" t="s">
        <v>18</v>
      </c>
      <c r="AB2" s="325"/>
      <c r="AG2" s="340" t="b">
        <f>$AF$24="нет"</f>
        <v>1</v>
      </c>
      <c r="AH2" s="340" t="b">
        <f>$AF$24="да"</f>
        <v>0</v>
      </c>
      <c r="AI2" s="340" t="b">
        <f>$AF$24="да"</f>
        <v>0</v>
      </c>
      <c r="AJ2" s="340" t="b">
        <f>$AF$24="да"</f>
        <v>0</v>
      </c>
      <c r="AK2" s="340" t="b">
        <f>$AF$24="да"</f>
        <v>0</v>
      </c>
      <c r="AO2" s="670"/>
    </row>
    <row r="3" spans="1:41" ht="11.25" hidden="1" customHeight="1">
      <c r="E3" s="17"/>
    </row>
    <row r="4" spans="1:41" ht="11.25" hidden="1" customHeight="1">
      <c r="E4" s="17"/>
    </row>
    <row r="5" spans="1:41" s="459" customFormat="1" ht="11.25" hidden="1" customHeight="1">
      <c r="A5" s="17"/>
      <c r="B5" s="46"/>
      <c r="C5" s="17"/>
      <c r="D5" s="17"/>
      <c r="E5" s="459" t="s">
        <v>19</v>
      </c>
      <c r="AA5" s="459">
        <v>3</v>
      </c>
      <c r="AB5" s="501">
        <v>14.71</v>
      </c>
      <c r="AC5" s="459">
        <v>17</v>
      </c>
      <c r="AD5" s="459">
        <v>17</v>
      </c>
      <c r="AE5" s="459">
        <v>17</v>
      </c>
      <c r="AF5" s="459">
        <v>17</v>
      </c>
      <c r="AG5" s="459">
        <v>17</v>
      </c>
      <c r="AH5" s="459">
        <v>23</v>
      </c>
      <c r="AI5" s="459">
        <v>23</v>
      </c>
      <c r="AJ5" s="459">
        <v>23</v>
      </c>
      <c r="AK5" s="459">
        <v>25</v>
      </c>
      <c r="AL5" s="459">
        <v>3</v>
      </c>
      <c r="AO5" s="669"/>
    </row>
    <row r="6" spans="1:41" ht="11.25" hidden="1" customHeight="1">
      <c r="A6" s="17" t="s">
        <v>320</v>
      </c>
      <c r="AC6" s="17" t="s">
        <v>321</v>
      </c>
      <c r="AD6" s="17" t="s">
        <v>322</v>
      </c>
      <c r="AE6" s="17" t="s">
        <v>323</v>
      </c>
      <c r="AF6" s="17" t="s">
        <v>587</v>
      </c>
      <c r="AG6" s="17" t="s">
        <v>591</v>
      </c>
      <c r="AH6" s="17" t="s">
        <v>2279</v>
      </c>
      <c r="AI6" s="17" t="s">
        <v>2280</v>
      </c>
      <c r="AJ6" s="17" t="s">
        <v>2281</v>
      </c>
      <c r="AK6" s="17" t="s">
        <v>2282</v>
      </c>
    </row>
    <row r="7" spans="1:41" ht="11.25" hidden="1" customHeight="1"/>
    <row r="8" spans="1:41" ht="11.25" hidden="1" customHeight="1"/>
    <row r="9" spans="1:41" s="669" customFormat="1" ht="11.25" hidden="1" customHeight="1">
      <c r="A9" s="669" t="s">
        <v>312</v>
      </c>
      <c r="B9" s="670"/>
      <c r="AB9" s="688"/>
      <c r="AC9" s="703" t="s">
        <v>2283</v>
      </c>
      <c r="AD9" s="703" t="s">
        <v>2284</v>
      </c>
      <c r="AE9" s="703" t="s">
        <v>2285</v>
      </c>
      <c r="AF9" s="703" t="s">
        <v>2286</v>
      </c>
      <c r="AG9" s="703" t="s">
        <v>2287</v>
      </c>
      <c r="AH9" s="703" t="s">
        <v>2288</v>
      </c>
      <c r="AI9" s="703" t="s">
        <v>2289</v>
      </c>
      <c r="AJ9" s="703" t="s">
        <v>2290</v>
      </c>
      <c r="AK9" s="669" t="s">
        <v>2291</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4.65" customHeight="1">
      <c r="E21" s="459">
        <v>15</v>
      </c>
      <c r="AA21" s="324"/>
      <c r="AB21" s="267" t="str" cm="1">
        <f t="array" ref="AB21">tpl_title</f>
        <v>Кемеровская область / 2026 / МУП "Водоканал" (ИНН:4202043124, КПП:420201001) / ДПР: 2026-2028</v>
      </c>
    </row>
    <row r="22" spans="1:43" s="59" customFormat="1" ht="23.45" customHeight="1">
      <c r="B22" s="46"/>
      <c r="E22" s="460">
        <v>24</v>
      </c>
      <c r="AB22" s="225" t="s">
        <v>84</v>
      </c>
      <c r="AC22" s="119"/>
      <c r="AD22" s="119"/>
      <c r="AE22" s="119"/>
      <c r="AF22" s="119"/>
      <c r="AG22" s="119"/>
      <c r="AH22" s="119"/>
      <c r="AI22" s="119"/>
      <c r="AJ22" s="119"/>
      <c r="AK22" s="119"/>
      <c r="AO22" s="672"/>
    </row>
    <row r="23" spans="1:43" ht="10.9" customHeight="1">
      <c r="E23" s="459">
        <v>11.25</v>
      </c>
      <c r="AB23" s="60"/>
      <c r="AC23" s="60"/>
    </row>
    <row r="24" spans="1:43" ht="19.7" customHeight="1">
      <c r="E24" s="459">
        <v>20.25</v>
      </c>
      <c r="AB24" s="1097" t="s">
        <v>2292</v>
      </c>
      <c r="AC24" s="1097"/>
      <c r="AD24" s="1097"/>
      <c r="AE24" s="1097"/>
      <c r="AF24" s="251" t="s">
        <v>215</v>
      </c>
    </row>
    <row r="25" spans="1:43" ht="10.9" customHeight="1">
      <c r="E25" s="459">
        <v>11.25</v>
      </c>
      <c r="AB25" s="60"/>
      <c r="AC25" s="60"/>
    </row>
    <row r="26" spans="1:43" s="60" customFormat="1" ht="38.1" customHeight="1">
      <c r="B26" s="325"/>
      <c r="E26" s="457">
        <v>39</v>
      </c>
      <c r="AB26" s="1117" t="s">
        <v>2293</v>
      </c>
      <c r="AC26" s="1032" t="s">
        <v>2294</v>
      </c>
      <c r="AD26" s="1032" t="s">
        <v>508</v>
      </c>
      <c r="AE26" s="1012" t="s">
        <v>2295</v>
      </c>
      <c r="AF26" s="1028" t="s">
        <v>2296</v>
      </c>
      <c r="AG26" s="1028"/>
      <c r="AH26" s="1028"/>
      <c r="AI26" s="1028"/>
      <c r="AJ26" s="1028"/>
      <c r="AK26" s="1028"/>
      <c r="AO26" s="667"/>
    </row>
    <row r="27" spans="1:43" s="60" customFormat="1" ht="35.1" customHeight="1">
      <c r="B27" s="325"/>
      <c r="E27" s="457">
        <v>36</v>
      </c>
      <c r="AB27" s="1118"/>
      <c r="AC27" s="1032"/>
      <c r="AD27" s="1032"/>
      <c r="AE27" s="1032"/>
      <c r="AF27" s="558" t="s">
        <v>633</v>
      </c>
      <c r="AG27" s="558" t="s">
        <v>2297</v>
      </c>
      <c r="AH27" s="558" t="s">
        <v>2298</v>
      </c>
      <c r="AI27" s="558" t="s">
        <v>2299</v>
      </c>
      <c r="AJ27" s="558" t="s">
        <v>2300</v>
      </c>
      <c r="AK27" s="558" t="s">
        <v>2301</v>
      </c>
      <c r="AO27" s="667"/>
    </row>
    <row r="28" spans="1:43" s="62" customFormat="1" ht="11.25" customHeight="1">
      <c r="B28" s="325"/>
      <c r="E28" s="178">
        <v>11.5</v>
      </c>
      <c r="AB28" s="1119"/>
      <c r="AC28" s="559" t="s">
        <v>859</v>
      </c>
      <c r="AD28" s="559" t="s">
        <v>501</v>
      </c>
      <c r="AE28" s="9" t="s">
        <v>501</v>
      </c>
      <c r="AF28" s="559" t="s">
        <v>501</v>
      </c>
      <c r="AG28" s="559" t="s">
        <v>2302</v>
      </c>
      <c r="AH28" s="559" t="s">
        <v>2302</v>
      </c>
      <c r="AI28" s="559" t="s">
        <v>2302</v>
      </c>
      <c r="AJ28" s="559" t="s">
        <v>2302</v>
      </c>
      <c r="AK28" s="559" t="s">
        <v>2302</v>
      </c>
      <c r="AO28" s="676"/>
    </row>
    <row r="29" spans="1:43" ht="11.25" customHeight="1">
      <c r="A29"/>
      <c r="B29" s="326"/>
      <c r="C29"/>
      <c r="D29"/>
      <c r="E29" s="452" t="s">
        <v>362</v>
      </c>
      <c r="F29" s="4"/>
      <c r="G29"/>
      <c r="H29"/>
      <c r="I29"/>
      <c r="J29"/>
      <c r="K29"/>
      <c r="L29"/>
      <c r="M29"/>
      <c r="N29"/>
      <c r="O29"/>
      <c r="P29"/>
      <c r="Q29"/>
      <c r="R29"/>
      <c r="S29"/>
      <c r="T29"/>
      <c r="U29"/>
      <c r="V29"/>
      <c r="W29"/>
      <c r="X29"/>
      <c r="Y29"/>
      <c r="Z29"/>
      <c r="AA29"/>
      <c r="AB29"/>
      <c r="AC29" s="314"/>
      <c r="AD29" s="314"/>
      <c r="AE29" s="314"/>
      <c r="AF29" s="314"/>
      <c r="AG29"/>
      <c r="AH29"/>
      <c r="AI29"/>
      <c r="AJ29"/>
      <c r="AK29"/>
      <c r="AL29"/>
      <c r="AM29"/>
      <c r="AN29"/>
      <c r="AO29" s="659"/>
      <c r="AP29"/>
      <c r="AQ29" s="19"/>
    </row>
    <row r="30" spans="1:43" s="38" customFormat="1" ht="14.65" hidden="1" customHeight="1">
      <c r="B30" s="43"/>
      <c r="E30" s="446">
        <v>15</v>
      </c>
      <c r="F30" s="17" cm="1">
        <f t="array" ref="F30">X30</f>
        <v>0</v>
      </c>
      <c r="T30" s="351" t="b">
        <f>X30&gt;0</f>
        <v>0</v>
      </c>
      <c r="V30" s="38" t="s">
        <v>266</v>
      </c>
      <c r="X30" s="1024">
        <v>0</v>
      </c>
      <c r="Z30" s="1008"/>
      <c r="AB30" s="279" t="str" cm="1">
        <f t="array" ref="AB30">INDEX('Общие сведения'!$AG$179:$AG$208,MATCH($X30,'Общие сведения'!$Z$179:$Z$208,0))</f>
        <v xml:space="preserve">Тариф 0 () - </v>
      </c>
      <c r="AC30" s="560"/>
      <c r="AD30" s="560"/>
      <c r="AE30" s="560"/>
      <c r="AF30" s="560"/>
      <c r="AG30" s="560"/>
      <c r="AH30" s="560"/>
      <c r="AI30" s="560"/>
      <c r="AJ30" s="560"/>
      <c r="AK30" s="560"/>
      <c r="AL30" s="302"/>
      <c r="AO30" s="654"/>
    </row>
    <row r="31" spans="1:43" s="72" customFormat="1" ht="14.65" hidden="1" customHeight="1">
      <c r="B31" s="340" t="b">
        <f t="shared" ref="B31:B62" si="0">K31&lt;first_year+PERIOD_LENGTH</f>
        <v>1</v>
      </c>
      <c r="E31" s="505">
        <v>15</v>
      </c>
      <c r="F31" s="3" cm="1">
        <f t="array" aca="1" ref="F31" ca="1">OFFSET(E31,-1,1)</f>
        <v>0</v>
      </c>
      <c r="K31" s="72" cm="1">
        <f t="array" ref="K31">first_year</f>
        <v>2026</v>
      </c>
      <c r="T31" s="351" t="b" cm="1">
        <f t="array" ref="T31">T30</f>
        <v>0</v>
      </c>
      <c r="X31" s="1024"/>
      <c r="Z31" s="1008"/>
      <c r="AB31" s="561" t="str">
        <f t="shared" ref="AB31:AB62" si="1">K31&amp;" год"</f>
        <v>2026 год</v>
      </c>
      <c r="AC31" s="907">
        <f ca="1">IF(god=first_year,SUMIFS('Калькуляция (МИ)'!AT$26:AT$315,'Калькуляция (МИ)'!F$26:F$315,F31,'Калькуляция (МИ)'!AC$26:AC$315,"операционные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908">
        <f ca="1">IFERROR(SUMIFS(INDEX(Сценарии!$AE$25:$BF$82,,MATCH($K31&amp;"Принято органом регулирования",Сценарии!$AE$8:$BF$8,0)),Сценарии!$F$25:$F$82,$F31,Сценарии!$AC$25:$AC$82,"Индекс эффективности операционных расходов"),0)</f>
        <v>0</v>
      </c>
      <c r="AE31" s="909"/>
      <c r="AF31" s="909">
        <f ca="1">IFERROR(SUMIFS(INDEX(Баланс!$AE$25:$BB$209,,MATCH($K31&amp;"Принято органом регулирования",Баланс!$AE$8:$BB$8,0)),Баланс!$F$25:$F$209,$F31,Баланс!$AC$24:$AC$209,"Уровень потерь воды"),0)</f>
        <v>0</v>
      </c>
      <c r="AG31" s="908">
        <f ca="1">IFERROR(SUMIFS(INDEX(Electricity_LOAD_1,,MATCH($K31&amp;"Принято органом регулирования",ЭЭ!$AE$8:$BB$8,0)),ЭЭ!$F$25:$F$74,$F31,ЭЭ!$AC$25:$AC$74,"Удельный расход электроэнергии"),0)</f>
        <v>0</v>
      </c>
      <c r="AH31" s="908">
        <f ca="1">IFERROR(SUMIFS(INDEX(Electricity_LOAD_1,,MATCH($K31&amp;"Принято органом регулирования",ЭЭ!$AE$8:$BB$8,0)),ЭЭ!$F$25:$F$74,$F31,ЭЭ!$AC$25:$AC$74,"Удельный расход электроэнергии"),0)</f>
        <v>0</v>
      </c>
      <c r="AI31" s="908">
        <f ca="1">IFERROR(SUMIFS(INDEX(Electricity_LOAD_1,,MATCH($K31&amp;"Принято органом регулирования",ЭЭ!$AE$8:$BB$8,0)),ЭЭ!$F$25:$F$74,$F31,ЭЭ!$AC$25:$AC$74,"Удельный расход электроэнергии"),0)</f>
        <v>0</v>
      </c>
      <c r="AJ31" s="908">
        <f ca="1">IFERROR(SUMIFS(INDEX(Electricity_LOAD_1,,MATCH($K31&amp;"Принято органом регулирования",ЭЭ!$AE$8:$BB$8,0)),ЭЭ!$F$25:$F$74,$F31,ЭЭ!$AC$25:$AC$74,"Удельный расход электроэнергии"),0)</f>
        <v>0</v>
      </c>
      <c r="AK31" s="908">
        <f ca="1">IFERROR(SUMIFS(INDEX(Electricity_LOAD_1,,MATCH($K31&amp;"Принято органом регулирования",ЭЭ!$AE$8:$BB$8,0)),ЭЭ!$F$25:$F$74,$F31,ЭЭ!$AC$25:$AC$74,"Удельный расход электроэнергии"),0)</f>
        <v>0</v>
      </c>
      <c r="AL31" s="303"/>
      <c r="AM31" s="72" t="s">
        <v>2303</v>
      </c>
      <c r="AO31" s="694" cm="1">
        <f t="array" ref="AO31">K31</f>
        <v>2026</v>
      </c>
    </row>
    <row r="32" spans="1:43" s="72" customFormat="1" ht="14.65" hidden="1" customHeight="1">
      <c r="B32" s="340" t="b">
        <f t="shared" si="0"/>
        <v>1</v>
      </c>
      <c r="E32" s="505">
        <v>15</v>
      </c>
      <c r="F32" s="3" cm="1">
        <f t="array" aca="1" ref="F32" ca="1">OFFSET(E32,-1,1)</f>
        <v>0</v>
      </c>
      <c r="K32" s="72">
        <f>first_year+1</f>
        <v>2027</v>
      </c>
      <c r="T32" s="351" t="b" cm="1">
        <f t="array" ref="T32">T31</f>
        <v>0</v>
      </c>
      <c r="X32" s="1024"/>
      <c r="Z32" s="1008"/>
      <c r="AB32" s="561" t="str">
        <f t="shared" si="1"/>
        <v>2027 год</v>
      </c>
      <c r="AC32" s="909"/>
      <c r="AD32" s="908">
        <f ca="1">IFERROR(SUMIFS(INDEX(Сценарии!$AE$25:$BF$82,,MATCH($K32&amp;"Принято органом регулирования",Сценарии!$AE$8:$BF$8,0)),Сценарии!$F$25:$F$82,$F32,Сценарии!$AC$25:$AC$82,"Индекс эффективности операционных расходов"),0)</f>
        <v>0</v>
      </c>
      <c r="AE32" s="909"/>
      <c r="AF32" s="909">
        <f ca="1">IFERROR(SUMIFS(INDEX(Баланс!$AE$25:$BB$209,,MATCH($K32&amp;"Принято органом регулирования",Баланс!$AE$8:$BB$8,0)),Баланс!$F$25:$F$209,$F32,Баланс!$AC$24:$AC$209,"Уровень потерь воды"),0)</f>
        <v>0</v>
      </c>
      <c r="AG32" s="908">
        <f ca="1">IFERROR(SUMIFS(INDEX(Electricity_LOAD_1,,MATCH($K32&amp;"Принято органом регулирования",ЭЭ!$AE$8:$BB$8,0)),ЭЭ!$F$25:$F$74,$F32,ЭЭ!$AC$25:$AC$74,"Удельный расход электроэнергии"),0)</f>
        <v>0</v>
      </c>
      <c r="AH32" s="908">
        <f ca="1">IFERROR(SUMIFS(INDEX(Electricity_LOAD_1,,MATCH($K32&amp;"Принято органом регулирования",ЭЭ!$AE$8:$BB$8,0)),ЭЭ!$F$25:$F$74,$F32,ЭЭ!$AC$25:$AC$74,"Удельный расход электроэнергии"),0)</f>
        <v>0</v>
      </c>
      <c r="AI32" s="908">
        <f ca="1">IFERROR(SUMIFS(INDEX(Electricity_LOAD_1,,MATCH($K32&amp;"Принято органом регулирования",ЭЭ!$AE$8:$BB$8,0)),ЭЭ!$F$25:$F$74,$F32,ЭЭ!$AC$25:$AC$74,"Удельный расход электроэнергии"),0)</f>
        <v>0</v>
      </c>
      <c r="AJ32" s="908">
        <f ca="1">IFERROR(SUMIFS(INDEX(Electricity_LOAD_1,,MATCH($K32&amp;"Принято органом регулирования",ЭЭ!$AE$8:$BB$8,0)),ЭЭ!$F$25:$F$74,$F32,ЭЭ!$AC$25:$AC$74,"Удельный расход электроэнергии"),0)</f>
        <v>0</v>
      </c>
      <c r="AK32" s="908">
        <f ca="1">IFERROR(SUMIFS(INDEX(Electricity_LOAD_1,,MATCH($K32&amp;"Принято органом регулирования",ЭЭ!$AE$8:$BB$8,0)),ЭЭ!$F$25:$F$74,$F32,ЭЭ!$AC$25:$AC$74,"Удельный расход электроэнергии"),0)</f>
        <v>0</v>
      </c>
      <c r="AL32" s="303"/>
      <c r="AM32" s="72" t="s">
        <v>2303</v>
      </c>
      <c r="AO32" s="694" cm="1">
        <f t="array" ref="AO32">K32</f>
        <v>2027</v>
      </c>
    </row>
    <row r="33" spans="2:41" s="72" customFormat="1" ht="14.65" hidden="1" customHeight="1">
      <c r="B33" s="340" t="b">
        <f t="shared" si="0"/>
        <v>1</v>
      </c>
      <c r="E33" s="505">
        <v>15</v>
      </c>
      <c r="F33" s="3" cm="1">
        <f t="array" aca="1" ref="F33" ca="1">OFFSET(E33,-1,1)</f>
        <v>0</v>
      </c>
      <c r="K33" s="72">
        <f>first_year+2</f>
        <v>2028</v>
      </c>
      <c r="T33" s="351" t="b" cm="1">
        <f t="array" ref="T33">T32</f>
        <v>0</v>
      </c>
      <c r="X33" s="1024"/>
      <c r="Z33" s="1008"/>
      <c r="AB33" s="561" t="str">
        <f t="shared" si="1"/>
        <v>2028 год</v>
      </c>
      <c r="AC33" s="909"/>
      <c r="AD33" s="908">
        <f ca="1">IFERROR(SUMIFS(INDEX(Сценарии!$AE$25:$BF$82,,MATCH($K33&amp;"Принято органом регулирования",Сценарии!$AE$8:$BF$8,0)),Сценарии!$F$25:$F$82,$F33,Сценарии!$AC$25:$AC$82,"Индекс эффективности операционных расходов"),0)</f>
        <v>0</v>
      </c>
      <c r="AE33" s="909"/>
      <c r="AF33" s="909">
        <f ca="1">IFERROR(SUMIFS(INDEX(Баланс!$AE$25:$BB$209,,MATCH($K33&amp;"Принято органом регулирования",Баланс!$AE$8:$BB$8,0)),Баланс!$F$25:$F$209,$F33,Баланс!$AC$24:$AC$209,"Уровень потерь воды"),0)</f>
        <v>0</v>
      </c>
      <c r="AG33" s="908">
        <f ca="1">IFERROR(SUMIFS(INDEX(Electricity_LOAD_1,,MATCH($K33&amp;"Принято органом регулирования",ЭЭ!$AE$8:$BB$8,0)),ЭЭ!$F$25:$F$74,$F33,ЭЭ!$AC$25:$AC$74,"Удельный расход электроэнергии"),0)</f>
        <v>0</v>
      </c>
      <c r="AH33" s="908">
        <f ca="1">IFERROR(SUMIFS(INDEX(Electricity_LOAD_1,,MATCH($K33&amp;"Принято органом регулирования",ЭЭ!$AE$8:$BB$8,0)),ЭЭ!$F$25:$F$74,$F33,ЭЭ!$AC$25:$AC$74,"Удельный расход электроэнергии"),0)</f>
        <v>0</v>
      </c>
      <c r="AI33" s="908">
        <f ca="1">IFERROR(SUMIFS(INDEX(Electricity_LOAD_1,,MATCH($K33&amp;"Принято органом регулирования",ЭЭ!$AE$8:$BB$8,0)),ЭЭ!$F$25:$F$74,$F33,ЭЭ!$AC$25:$AC$74,"Удельный расход электроэнергии"),0)</f>
        <v>0</v>
      </c>
      <c r="AJ33" s="908">
        <f ca="1">IFERROR(SUMIFS(INDEX(Electricity_LOAD_1,,MATCH($K33&amp;"Принято органом регулирования",ЭЭ!$AE$8:$BB$8,0)),ЭЭ!$F$25:$F$74,$F33,ЭЭ!$AC$25:$AC$74,"Удельный расход электроэнергии"),0)</f>
        <v>0</v>
      </c>
      <c r="AK33" s="908">
        <f ca="1">IFERROR(SUMIFS(INDEX(Electricity_LOAD_1,,MATCH($K33&amp;"Принято органом регулирования",ЭЭ!$AE$8:$BB$8,0)),ЭЭ!$F$25:$F$74,$F33,ЭЭ!$AC$25:$AC$74,"Удельный расход электроэнергии"),0)</f>
        <v>0</v>
      </c>
      <c r="AL33" s="303"/>
      <c r="AM33" s="72" t="s">
        <v>2303</v>
      </c>
      <c r="AO33" s="694" cm="1">
        <f t="array" ref="AO33">K33</f>
        <v>2028</v>
      </c>
    </row>
    <row r="34" spans="2:41" s="72" customFormat="1" ht="14.65" hidden="1" customHeight="1">
      <c r="B34" s="340" t="b">
        <f t="shared" si="0"/>
        <v>0</v>
      </c>
      <c r="E34" s="505">
        <v>15</v>
      </c>
      <c r="F34" s="3" cm="1">
        <f t="array" aca="1" ref="F34" ca="1">OFFSET(E34,-1,1)</f>
        <v>0</v>
      </c>
      <c r="K34" s="72">
        <f>first_year+3</f>
        <v>2029</v>
      </c>
      <c r="T34" s="351" t="b" cm="1">
        <f t="array" ref="T34">T33</f>
        <v>0</v>
      </c>
      <c r="X34" s="1024"/>
      <c r="Z34" s="1008"/>
      <c r="AB34" s="561" t="str">
        <f t="shared" si="1"/>
        <v>2029 год</v>
      </c>
      <c r="AC34" s="909"/>
      <c r="AD34" s="908">
        <f ca="1">IFERROR(SUMIFS(INDEX(Сценарии!$AE$25:$BF$82,,MATCH($K34&amp;"Принято органом регулирования",Сценарии!$AE$8:$BF$8,0)),Сценарии!$F$25:$F$82,$F34,Сценарии!$AC$25:$AC$82,"Индекс эффективности операционных расходов"),0)</f>
        <v>0</v>
      </c>
      <c r="AE34" s="909"/>
      <c r="AF34" s="909">
        <f ca="1">IFERROR(SUMIFS(INDEX(Баланс!$AE$25:$BB$209,,MATCH($K34&amp;"Принято органом регулирования",Баланс!$AE$8:$BB$8,0)),Баланс!$F$25:$F$209,$F34,Баланс!$AC$24:$AC$209,"Уровень потерь воды"),0)</f>
        <v>0</v>
      </c>
      <c r="AG34" s="908">
        <f ca="1">IFERROR(SUMIFS(INDEX(Electricity_LOAD_1,,MATCH($K34&amp;"Принято органом регулирования",ЭЭ!$AE$8:$BB$8,0)),ЭЭ!$F$25:$F$74,$F34,ЭЭ!$AC$25:$AC$74,"Удельный расход электроэнергии"),0)</f>
        <v>0</v>
      </c>
      <c r="AH34" s="908">
        <f ca="1">IFERROR(SUMIFS(INDEX(Electricity_LOAD_1,,MATCH($K34&amp;"Принято органом регулирования",ЭЭ!$AE$8:$BB$8,0)),ЭЭ!$F$25:$F$74,$F34,ЭЭ!$AC$25:$AC$74,"Удельный расход электроэнергии"),0)</f>
        <v>0</v>
      </c>
      <c r="AI34" s="908">
        <f ca="1">IFERROR(SUMIFS(INDEX(Electricity_LOAD_1,,MATCH($K34&amp;"Принято органом регулирования",ЭЭ!$AE$8:$BB$8,0)),ЭЭ!$F$25:$F$74,$F34,ЭЭ!$AC$25:$AC$74,"Удельный расход электроэнергии"),0)</f>
        <v>0</v>
      </c>
      <c r="AJ34" s="908">
        <f ca="1">IFERROR(SUMIFS(INDEX(Electricity_LOAD_1,,MATCH($K34&amp;"Принято органом регулирования",ЭЭ!$AE$8:$BB$8,0)),ЭЭ!$F$25:$F$74,$F34,ЭЭ!$AC$25:$AC$74,"Удельный расход электроэнергии"),0)</f>
        <v>0</v>
      </c>
      <c r="AK34" s="908">
        <f ca="1">IFERROR(SUMIFS(INDEX(Electricity_LOAD_1,,MATCH($K34&amp;"Принято органом регулирования",ЭЭ!$AE$8:$BB$8,0)),ЭЭ!$F$25:$F$74,$F34,ЭЭ!$AC$25:$AC$74,"Удельный расход электроэнергии"),0)</f>
        <v>0</v>
      </c>
      <c r="AL34" s="303"/>
      <c r="AM34" s="72" t="s">
        <v>2303</v>
      </c>
      <c r="AO34" s="694" cm="1">
        <f t="array" ref="AO34">K34</f>
        <v>2029</v>
      </c>
    </row>
    <row r="35" spans="2:41" s="72" customFormat="1" ht="14.65" hidden="1" customHeight="1">
      <c r="B35" s="340" t="b">
        <f t="shared" si="0"/>
        <v>0</v>
      </c>
      <c r="E35" s="505">
        <v>15</v>
      </c>
      <c r="F35" s="3" cm="1">
        <f t="array" aca="1" ref="F35" ca="1">OFFSET(E35,-1,1)</f>
        <v>0</v>
      </c>
      <c r="K35" s="72">
        <f>first_year+4</f>
        <v>2030</v>
      </c>
      <c r="T35" s="351" t="b" cm="1">
        <f t="array" ref="T35">T34</f>
        <v>0</v>
      </c>
      <c r="X35" s="1024"/>
      <c r="Z35" s="1008"/>
      <c r="AB35" s="561" t="str">
        <f t="shared" si="1"/>
        <v>2030 год</v>
      </c>
      <c r="AC35" s="909"/>
      <c r="AD35" s="908">
        <f ca="1">IFERROR(SUMIFS(INDEX(Сценарии!$AE$25:$BF$82,,MATCH($K35&amp;"Принято органом регулирования",Сценарии!$AE$8:$BF$8,0)),Сценарии!$F$25:$F$82,$F35,Сценарии!$AC$25:$AC$82,"Индекс эффективности операционных расходов"),0)</f>
        <v>0</v>
      </c>
      <c r="AE35" s="909"/>
      <c r="AF35" s="909">
        <f ca="1">IFERROR(SUMIFS(INDEX(Баланс!$AE$25:$BB$209,,MATCH($K35&amp;"Принято органом регулирования",Баланс!$AE$8:$BB$8,0)),Баланс!$F$25:$F$209,$F35,Баланс!$AC$24:$AC$209,"Уровень потерь воды"),0)</f>
        <v>0</v>
      </c>
      <c r="AG35" s="908">
        <f ca="1">IFERROR(SUMIFS(INDEX(Electricity_LOAD_1,,MATCH($K35&amp;"Принято органом регулирования",ЭЭ!$AE$8:$BB$8,0)),ЭЭ!$F$25:$F$74,$F35,ЭЭ!$AC$25:$AC$74,"Удельный расход электроэнергии"),0)</f>
        <v>0</v>
      </c>
      <c r="AH35" s="908">
        <f ca="1">IFERROR(SUMIFS(INDEX(Electricity_LOAD_1,,MATCH($K35&amp;"Принято органом регулирования",ЭЭ!$AE$8:$BB$8,0)),ЭЭ!$F$25:$F$74,$F35,ЭЭ!$AC$25:$AC$74,"Удельный расход электроэнергии"),0)</f>
        <v>0</v>
      </c>
      <c r="AI35" s="908">
        <f ca="1">IFERROR(SUMIFS(INDEX(Electricity_LOAD_1,,MATCH($K35&amp;"Принято органом регулирования",ЭЭ!$AE$8:$BB$8,0)),ЭЭ!$F$25:$F$74,$F35,ЭЭ!$AC$25:$AC$74,"Удельный расход электроэнергии"),0)</f>
        <v>0</v>
      </c>
      <c r="AJ35" s="908">
        <f ca="1">IFERROR(SUMIFS(INDEX(Electricity_LOAD_1,,MATCH($K35&amp;"Принято органом регулирования",ЭЭ!$AE$8:$BB$8,0)),ЭЭ!$F$25:$F$74,$F35,ЭЭ!$AC$25:$AC$74,"Удельный расход электроэнергии"),0)</f>
        <v>0</v>
      </c>
      <c r="AK35" s="908">
        <f ca="1">IFERROR(SUMIFS(INDEX(Electricity_LOAD_1,,MATCH($K35&amp;"Принято органом регулирования",ЭЭ!$AE$8:$BB$8,0)),ЭЭ!$F$25:$F$74,$F35,ЭЭ!$AC$25:$AC$74,"Удельный расход электроэнергии"),0)</f>
        <v>0</v>
      </c>
      <c r="AL35" s="303"/>
      <c r="AM35" s="72" t="s">
        <v>2303</v>
      </c>
      <c r="AO35" s="694" cm="1">
        <f t="array" ref="AO35">K35</f>
        <v>2030</v>
      </c>
    </row>
    <row r="36" spans="2:41" s="72" customFormat="1" ht="14.65" hidden="1" customHeight="1">
      <c r="B36" s="340" t="b">
        <f t="shared" si="0"/>
        <v>0</v>
      </c>
      <c r="E36" s="505">
        <v>15</v>
      </c>
      <c r="F36" s="3" cm="1">
        <f t="array" aca="1" ref="F36" ca="1">OFFSET(E36,-1,1)</f>
        <v>0</v>
      </c>
      <c r="K36" s="72">
        <f>first_year+5</f>
        <v>2031</v>
      </c>
      <c r="T36" s="351" t="b" cm="1">
        <f t="array" ref="T36">T35</f>
        <v>0</v>
      </c>
      <c r="X36" s="1024"/>
      <c r="Z36" s="1008"/>
      <c r="AB36" s="561" t="str">
        <f t="shared" si="1"/>
        <v>2031 год</v>
      </c>
      <c r="AC36" s="909"/>
      <c r="AD36" s="908">
        <f ca="1">IFERROR(SUMIFS(INDEX(Сценарии!$AE$25:$BF$82,,MATCH($K36&amp;"Принято органом регулирования",Сценарии!$AE$8:$BF$8,0)),Сценарии!$F$25:$F$82,$F36,Сценарии!$AC$25:$AC$82,"Индекс эффективности операционных расходов"),0)</f>
        <v>0</v>
      </c>
      <c r="AE36" s="909"/>
      <c r="AF36" s="909">
        <f ca="1">IFERROR(SUMIFS(INDEX(Баланс!$AE$25:$BB$209,,MATCH($K36&amp;"Принято органом регулирования",Баланс!$AE$8:$BB$8,0)),Баланс!$F$25:$F$209,$F36,Баланс!$AC$24:$AC$209,"Уровень потерь воды"),0)</f>
        <v>0</v>
      </c>
      <c r="AG36" s="908">
        <f ca="1">IFERROR(SUMIFS(INDEX(Electricity_LOAD_1,,MATCH($K36&amp;"Принято органом регулирования",ЭЭ!$AE$8:$BB$8,0)),ЭЭ!$F$25:$F$74,$F36,ЭЭ!$AC$25:$AC$74,"Удельный расход электроэнергии"),0)</f>
        <v>0</v>
      </c>
      <c r="AH36" s="908">
        <f ca="1">IFERROR(SUMIFS(INDEX(Electricity_LOAD_1,,MATCH($K36&amp;"Принято органом регулирования",ЭЭ!$AE$8:$BB$8,0)),ЭЭ!$F$25:$F$74,$F36,ЭЭ!$AC$25:$AC$74,"Удельный расход электроэнергии"),0)</f>
        <v>0</v>
      </c>
      <c r="AI36" s="908">
        <f ca="1">IFERROR(SUMIFS(INDEX(Electricity_LOAD_1,,MATCH($K36&amp;"Принято органом регулирования",ЭЭ!$AE$8:$BB$8,0)),ЭЭ!$F$25:$F$74,$F36,ЭЭ!$AC$25:$AC$74,"Удельный расход электроэнергии"),0)</f>
        <v>0</v>
      </c>
      <c r="AJ36" s="908">
        <f ca="1">IFERROR(SUMIFS(INDEX(Electricity_LOAD_1,,MATCH($K36&amp;"Принято органом регулирования",ЭЭ!$AE$8:$BB$8,0)),ЭЭ!$F$25:$F$74,$F36,ЭЭ!$AC$25:$AC$74,"Удельный расход электроэнергии"),0)</f>
        <v>0</v>
      </c>
      <c r="AK36" s="908">
        <f ca="1">IFERROR(SUMIFS(INDEX(Electricity_LOAD_1,,MATCH($K36&amp;"Принято органом регулирования",ЭЭ!$AE$8:$BB$8,0)),ЭЭ!$F$25:$F$74,$F36,ЭЭ!$AC$25:$AC$74,"Удельный расход электроэнергии"),0)</f>
        <v>0</v>
      </c>
      <c r="AL36" s="303"/>
      <c r="AM36" s="72" t="s">
        <v>2303</v>
      </c>
      <c r="AO36" s="694" cm="1">
        <f t="array" ref="AO36">K36</f>
        <v>2031</v>
      </c>
    </row>
    <row r="37" spans="2:41" s="72" customFormat="1" ht="14.65" hidden="1" customHeight="1">
      <c r="B37" s="340" t="b">
        <f t="shared" si="0"/>
        <v>0</v>
      </c>
      <c r="E37" s="505">
        <v>15</v>
      </c>
      <c r="F37" s="3" cm="1">
        <f t="array" aca="1" ref="F37" ca="1">OFFSET(E37,-1,1)</f>
        <v>0</v>
      </c>
      <c r="K37" s="72">
        <f>first_year+6</f>
        <v>2032</v>
      </c>
      <c r="T37" s="351" t="b" cm="1">
        <f t="array" ref="T37">T36</f>
        <v>0</v>
      </c>
      <c r="X37" s="1024"/>
      <c r="Z37" s="1008"/>
      <c r="AB37" s="561" t="str">
        <f t="shared" si="1"/>
        <v>2032 год</v>
      </c>
      <c r="AC37" s="909"/>
      <c r="AD37" s="908">
        <f ca="1">IFERROR(SUMIFS(INDEX(Сценарии!$AE$25:$BF$82,,MATCH($K37&amp;"Принято органом регулирования",Сценарии!$AE$8:$BF$8,0)),Сценарии!$F$25:$F$82,$F37,Сценарии!$AC$25:$AC$82,"Индекс эффективности операционных расходов"),0)</f>
        <v>0</v>
      </c>
      <c r="AE37" s="909"/>
      <c r="AF37" s="909">
        <f ca="1">IFERROR(SUMIFS(INDEX(Баланс!$AE$25:$BB$209,,MATCH($K37&amp;"Принято органом регулирования",Баланс!$AE$8:$BB$8,0)),Баланс!$F$25:$F$209,$F37,Баланс!$AC$24:$AC$209,"Уровень потерь воды"),0)</f>
        <v>0</v>
      </c>
      <c r="AG37" s="908">
        <f ca="1">IFERROR(SUMIFS(INDEX(Electricity_LOAD_1,,MATCH($K37&amp;"Принято органом регулирования",ЭЭ!$AE$8:$BB$8,0)),ЭЭ!$F$25:$F$74,$F37,ЭЭ!$AC$25:$AC$74,"Удельный расход электроэнергии"),0)</f>
        <v>0</v>
      </c>
      <c r="AH37" s="908">
        <f ca="1">IFERROR(SUMIFS(INDEX(Electricity_LOAD_1,,MATCH($K37&amp;"Принято органом регулирования",ЭЭ!$AE$8:$BB$8,0)),ЭЭ!$F$25:$F$74,$F37,ЭЭ!$AC$25:$AC$74,"Удельный расход электроэнергии"),0)</f>
        <v>0</v>
      </c>
      <c r="AI37" s="908">
        <f ca="1">IFERROR(SUMIFS(INDEX(Electricity_LOAD_1,,MATCH($K37&amp;"Принято органом регулирования",ЭЭ!$AE$8:$BB$8,0)),ЭЭ!$F$25:$F$74,$F37,ЭЭ!$AC$25:$AC$74,"Удельный расход электроэнергии"),0)</f>
        <v>0</v>
      </c>
      <c r="AJ37" s="908">
        <f ca="1">IFERROR(SUMIFS(INDEX(Electricity_LOAD_1,,MATCH($K37&amp;"Принято органом регулирования",ЭЭ!$AE$8:$BB$8,0)),ЭЭ!$F$25:$F$74,$F37,ЭЭ!$AC$25:$AC$74,"Удельный расход электроэнергии"),0)</f>
        <v>0</v>
      </c>
      <c r="AK37" s="908">
        <f ca="1">IFERROR(SUMIFS(INDEX(Electricity_LOAD_1,,MATCH($K37&amp;"Принято органом регулирования",ЭЭ!$AE$8:$BB$8,0)),ЭЭ!$F$25:$F$74,$F37,ЭЭ!$AC$25:$AC$74,"Удельный расход электроэнергии"),0)</f>
        <v>0</v>
      </c>
      <c r="AL37" s="303"/>
      <c r="AM37" s="72" t="s">
        <v>2303</v>
      </c>
      <c r="AO37" s="694" cm="1">
        <f t="array" ref="AO37">K37</f>
        <v>2032</v>
      </c>
    </row>
    <row r="38" spans="2:41" s="72" customFormat="1" ht="14.65" hidden="1" customHeight="1">
      <c r="B38" s="340" t="b">
        <f t="shared" si="0"/>
        <v>0</v>
      </c>
      <c r="E38" s="505">
        <v>15</v>
      </c>
      <c r="F38" s="3" cm="1">
        <f t="array" aca="1" ref="F38" ca="1">OFFSET(E38,-1,1)</f>
        <v>0</v>
      </c>
      <c r="K38" s="72">
        <f>first_year+7</f>
        <v>2033</v>
      </c>
      <c r="T38" s="351" t="b" cm="1">
        <f t="array" ref="T38">T37</f>
        <v>0</v>
      </c>
      <c r="X38" s="1024"/>
      <c r="Z38" s="1008"/>
      <c r="AB38" s="561" t="str">
        <f t="shared" si="1"/>
        <v>2033 год</v>
      </c>
      <c r="AC38" s="909"/>
      <c r="AD38" s="908">
        <f ca="1">IFERROR(SUMIFS(INDEX(Сценарии!$AE$25:$BF$82,,MATCH($K38&amp;"Принято органом регулирования",Сценарии!$AE$8:$BF$8,0)),Сценарии!$F$25:$F$82,$F38,Сценарии!$AC$25:$AC$82,"Индекс эффективности операционных расходов"),0)</f>
        <v>0</v>
      </c>
      <c r="AE38" s="909"/>
      <c r="AF38" s="909">
        <f ca="1">IFERROR(SUMIFS(INDEX(Баланс!$AE$25:$BB$209,,MATCH($K38&amp;"Принято органом регулирования",Баланс!$AE$8:$BB$8,0)),Баланс!$F$25:$F$209,$F38,Баланс!$AC$24:$AC$209,"Уровень потерь воды"),0)</f>
        <v>0</v>
      </c>
      <c r="AG38" s="908">
        <f ca="1">IFERROR(SUMIFS(INDEX(Electricity_LOAD_1,,MATCH($K38&amp;"Принято органом регулирования",ЭЭ!$AE$8:$BB$8,0)),ЭЭ!$F$25:$F$74,$F38,ЭЭ!$AC$25:$AC$74,"Удельный расход электроэнергии"),0)</f>
        <v>0</v>
      </c>
      <c r="AH38" s="908">
        <f ca="1">IFERROR(SUMIFS(INDEX(Electricity_LOAD_1,,MATCH($K38&amp;"Принято органом регулирования",ЭЭ!$AE$8:$BB$8,0)),ЭЭ!$F$25:$F$74,$F38,ЭЭ!$AC$25:$AC$74,"Удельный расход электроэнергии"),0)</f>
        <v>0</v>
      </c>
      <c r="AI38" s="908">
        <f ca="1">IFERROR(SUMIFS(INDEX(Electricity_LOAD_1,,MATCH($K38&amp;"Принято органом регулирования",ЭЭ!$AE$8:$BB$8,0)),ЭЭ!$F$25:$F$74,$F38,ЭЭ!$AC$25:$AC$74,"Удельный расход электроэнергии"),0)</f>
        <v>0</v>
      </c>
      <c r="AJ38" s="908">
        <f ca="1">IFERROR(SUMIFS(INDEX(Electricity_LOAD_1,,MATCH($K38&amp;"Принято органом регулирования",ЭЭ!$AE$8:$BB$8,0)),ЭЭ!$F$25:$F$74,$F38,ЭЭ!$AC$25:$AC$74,"Удельный расход электроэнергии"),0)</f>
        <v>0</v>
      </c>
      <c r="AK38" s="908">
        <f ca="1">IFERROR(SUMIFS(INDEX(Electricity_LOAD_1,,MATCH($K38&amp;"Принято органом регулирования",ЭЭ!$AE$8:$BB$8,0)),ЭЭ!$F$25:$F$74,$F38,ЭЭ!$AC$25:$AC$74,"Удельный расход электроэнергии"),0)</f>
        <v>0</v>
      </c>
      <c r="AL38" s="303"/>
      <c r="AM38" s="72" t="s">
        <v>2303</v>
      </c>
      <c r="AO38" s="694" cm="1">
        <f t="array" ref="AO38">K38</f>
        <v>2033</v>
      </c>
    </row>
    <row r="39" spans="2:41" s="72" customFormat="1" ht="14.65" hidden="1" customHeight="1">
      <c r="B39" s="340" t="b">
        <f t="shared" si="0"/>
        <v>0</v>
      </c>
      <c r="E39" s="505">
        <v>15</v>
      </c>
      <c r="F39" s="3" cm="1">
        <f t="array" aca="1" ref="F39" ca="1">OFFSET(E39,-1,1)</f>
        <v>0</v>
      </c>
      <c r="K39" s="72">
        <f>first_year+8</f>
        <v>2034</v>
      </c>
      <c r="T39" s="351" t="b" cm="1">
        <f t="array" ref="T39">T38</f>
        <v>0</v>
      </c>
      <c r="X39" s="1024"/>
      <c r="Z39" s="1008"/>
      <c r="AB39" s="561" t="str">
        <f t="shared" si="1"/>
        <v>2034 год</v>
      </c>
      <c r="AC39" s="909"/>
      <c r="AD39" s="908">
        <f ca="1">IFERROR(SUMIFS(INDEX(Сценарии!$AE$25:$BF$82,,MATCH($K39&amp;"Принято органом регулирования",Сценарии!$AE$8:$BF$8,0)),Сценарии!$F$25:$F$82,$F39,Сценарии!$AC$25:$AC$82,"Индекс эффективности операционных расходов"),0)</f>
        <v>0</v>
      </c>
      <c r="AE39" s="909"/>
      <c r="AF39" s="909">
        <f ca="1">IFERROR(SUMIFS(INDEX(Баланс!$AE$25:$BB$209,,MATCH($K39&amp;"Принято органом регулирования",Баланс!$AE$8:$BB$8,0)),Баланс!$F$25:$F$209,$F39,Баланс!$AC$24:$AC$209,"Уровень потерь воды"),0)</f>
        <v>0</v>
      </c>
      <c r="AG39" s="908">
        <f ca="1">IFERROR(SUMIFS(INDEX(Electricity_LOAD_1,,MATCH($K39&amp;"Принято органом регулирования",ЭЭ!$AE$8:$BB$8,0)),ЭЭ!$F$25:$F$74,$F39,ЭЭ!$AC$25:$AC$74,"Удельный расход электроэнергии"),0)</f>
        <v>0</v>
      </c>
      <c r="AH39" s="908">
        <f ca="1">IFERROR(SUMIFS(INDEX(Electricity_LOAD_1,,MATCH($K39&amp;"Принято органом регулирования",ЭЭ!$AE$8:$BB$8,0)),ЭЭ!$F$25:$F$74,$F39,ЭЭ!$AC$25:$AC$74,"Удельный расход электроэнергии"),0)</f>
        <v>0</v>
      </c>
      <c r="AI39" s="908">
        <f ca="1">IFERROR(SUMIFS(INDEX(Electricity_LOAD_1,,MATCH($K39&amp;"Принято органом регулирования",ЭЭ!$AE$8:$BB$8,0)),ЭЭ!$F$25:$F$74,$F39,ЭЭ!$AC$25:$AC$74,"Удельный расход электроэнергии"),0)</f>
        <v>0</v>
      </c>
      <c r="AJ39" s="908">
        <f ca="1">IFERROR(SUMIFS(INDEX(Electricity_LOAD_1,,MATCH($K39&amp;"Принято органом регулирования",ЭЭ!$AE$8:$BB$8,0)),ЭЭ!$F$25:$F$74,$F39,ЭЭ!$AC$25:$AC$74,"Удельный расход электроэнергии"),0)</f>
        <v>0</v>
      </c>
      <c r="AK39" s="908">
        <f ca="1">IFERROR(SUMIFS(INDEX(Electricity_LOAD_1,,MATCH($K39&amp;"Принято органом регулирования",ЭЭ!$AE$8:$BB$8,0)),ЭЭ!$F$25:$F$74,$F39,ЭЭ!$AC$25:$AC$74,"Удельный расход электроэнергии"),0)</f>
        <v>0</v>
      </c>
      <c r="AL39" s="303"/>
      <c r="AM39" s="72" t="s">
        <v>2303</v>
      </c>
      <c r="AO39" s="694" cm="1">
        <f t="array" ref="AO39">K39</f>
        <v>2034</v>
      </c>
    </row>
    <row r="40" spans="2:41" s="72" customFormat="1" ht="14.65" hidden="1" customHeight="1">
      <c r="B40" s="340" t="b">
        <f t="shared" si="0"/>
        <v>0</v>
      </c>
      <c r="E40" s="505">
        <v>15</v>
      </c>
      <c r="F40" s="3" cm="1">
        <f t="array" aca="1" ref="F40" ca="1">OFFSET(E40,-1,1)</f>
        <v>0</v>
      </c>
      <c r="K40" s="72">
        <f>first_year+9</f>
        <v>2035</v>
      </c>
      <c r="T40" s="351" t="b" cm="1">
        <f t="array" ref="T40">T39</f>
        <v>0</v>
      </c>
      <c r="X40" s="1024"/>
      <c r="Z40" s="1008"/>
      <c r="AB40" s="561" t="str">
        <f t="shared" si="1"/>
        <v>2035 год</v>
      </c>
      <c r="AC40" s="909"/>
      <c r="AD40" s="908">
        <f ca="1">IFERROR(SUMIFS(INDEX(Сценарии!$AE$25:$BF$82,,MATCH($K40&amp;"Принято органом регулирования",Сценарии!$AE$8:$BF$8,0)),Сценарии!$F$25:$F$82,$F40,Сценарии!$AC$25:$AC$82,"Индекс эффективности операционных расходов"),0)</f>
        <v>0</v>
      </c>
      <c r="AE40" s="909"/>
      <c r="AF40" s="909">
        <f ca="1">IFERROR(SUMIFS(INDEX(Баланс!$AE$25:$BB$209,,MATCH($K40&amp;"Принято органом регулирования",Баланс!$AE$8:$BB$8,0)),Баланс!$F$25:$F$209,$F40,Баланс!$AC$24:$AC$209,"Уровень потерь воды"),0)</f>
        <v>0</v>
      </c>
      <c r="AG40" s="908">
        <f ca="1">IFERROR(SUMIFS(INDEX(Electricity_LOAD_1,,MATCH($K40&amp;"Принято органом регулирования",ЭЭ!$AE$8:$BB$8,0)),ЭЭ!$F$25:$F$74,$F40,ЭЭ!$AC$25:$AC$74,"Удельный расход электроэнергии"),0)</f>
        <v>0</v>
      </c>
      <c r="AH40" s="908">
        <f ca="1">IFERROR(SUMIFS(INDEX(Electricity_LOAD_1,,MATCH($K40&amp;"Принято органом регулирования",ЭЭ!$AE$8:$BB$8,0)),ЭЭ!$F$25:$F$74,$F40,ЭЭ!$AC$25:$AC$74,"Удельный расход электроэнергии"),0)</f>
        <v>0</v>
      </c>
      <c r="AI40" s="908">
        <f ca="1">IFERROR(SUMIFS(INDEX(Electricity_LOAD_1,,MATCH($K40&amp;"Принято органом регулирования",ЭЭ!$AE$8:$BB$8,0)),ЭЭ!$F$25:$F$74,$F40,ЭЭ!$AC$25:$AC$74,"Удельный расход электроэнергии"),0)</f>
        <v>0</v>
      </c>
      <c r="AJ40" s="908">
        <f ca="1">IFERROR(SUMIFS(INDEX(Electricity_LOAD_1,,MATCH($K40&amp;"Принято органом регулирования",ЭЭ!$AE$8:$BB$8,0)),ЭЭ!$F$25:$F$74,$F40,ЭЭ!$AC$25:$AC$74,"Удельный расход электроэнергии"),0)</f>
        <v>0</v>
      </c>
      <c r="AK40" s="908">
        <f ca="1">IFERROR(SUMIFS(INDEX(Electricity_LOAD_1,,MATCH($K40&amp;"Принято органом регулирования",ЭЭ!$AE$8:$BB$8,0)),ЭЭ!$F$25:$F$74,$F40,ЭЭ!$AC$25:$AC$74,"Удельный расход электроэнергии"),0)</f>
        <v>0</v>
      </c>
      <c r="AL40" s="303"/>
      <c r="AM40" s="72" t="s">
        <v>2303</v>
      </c>
      <c r="AO40" s="694" cm="1">
        <f t="array" ref="AO40">K40</f>
        <v>2035</v>
      </c>
    </row>
    <row r="41" spans="2:41" s="72" customFormat="1" ht="14.65" hidden="1" customHeight="1">
      <c r="B41" s="340" t="b">
        <f t="shared" si="0"/>
        <v>0</v>
      </c>
      <c r="E41" s="505">
        <v>15</v>
      </c>
      <c r="F41" s="3" cm="1">
        <f t="array" aca="1" ref="F41" ca="1">OFFSET(E41,-1,1)</f>
        <v>0</v>
      </c>
      <c r="K41" s="72">
        <f>first_year+10</f>
        <v>2036</v>
      </c>
      <c r="T41" s="351" t="b" cm="1">
        <f t="array" ref="T41">T40</f>
        <v>0</v>
      </c>
      <c r="X41" s="1024"/>
      <c r="Z41" s="1008"/>
      <c r="AB41" s="561" t="str">
        <f t="shared" si="1"/>
        <v>2036 год</v>
      </c>
      <c r="AC41" s="909"/>
      <c r="AD41" s="908"/>
      <c r="AE41" s="909"/>
      <c r="AF41" s="909"/>
      <c r="AG41" s="908"/>
      <c r="AH41" s="908"/>
      <c r="AI41" s="908"/>
      <c r="AJ41" s="908"/>
      <c r="AK41" s="910"/>
      <c r="AL41" s="303"/>
      <c r="AO41" s="694" cm="1">
        <f t="array" ref="AO41">K41</f>
        <v>2036</v>
      </c>
    </row>
    <row r="42" spans="2:41" s="72" customFormat="1" ht="14.65" hidden="1" customHeight="1">
      <c r="B42" s="340" t="b">
        <f t="shared" si="0"/>
        <v>0</v>
      </c>
      <c r="E42" s="505">
        <v>15</v>
      </c>
      <c r="F42" s="3" cm="1">
        <f t="array" aca="1" ref="F42" ca="1">OFFSET(E42,-1,1)</f>
        <v>0</v>
      </c>
      <c r="K42" s="72">
        <f>first_year+11</f>
        <v>2037</v>
      </c>
      <c r="T42" s="351" t="b" cm="1">
        <f t="array" ref="T42">T41</f>
        <v>0</v>
      </c>
      <c r="X42" s="1024"/>
      <c r="Z42" s="1008"/>
      <c r="AB42" s="167" t="str">
        <f t="shared" si="1"/>
        <v>2037 год</v>
      </c>
      <c r="AC42" s="909"/>
      <c r="AD42" s="911"/>
      <c r="AE42" s="912"/>
      <c r="AF42" s="912"/>
      <c r="AG42" s="911"/>
      <c r="AH42" s="911"/>
      <c r="AI42" s="911"/>
      <c r="AJ42" s="911"/>
      <c r="AK42" s="913"/>
      <c r="AL42" s="303"/>
      <c r="AO42" s="694" cm="1">
        <f t="array" ref="AO42">K42</f>
        <v>2037</v>
      </c>
    </row>
    <row r="43" spans="2:41" s="72" customFormat="1" ht="14.65" hidden="1" customHeight="1">
      <c r="B43" s="340" t="b">
        <f t="shared" si="0"/>
        <v>0</v>
      </c>
      <c r="E43" s="505">
        <v>15</v>
      </c>
      <c r="F43" s="3" cm="1">
        <f t="array" aca="1" ref="F43" ca="1">OFFSET(E43,-1,1)</f>
        <v>0</v>
      </c>
      <c r="K43" s="72">
        <f>first_year+12</f>
        <v>2038</v>
      </c>
      <c r="T43" s="351" t="b" cm="1">
        <f t="array" ref="T43">T42</f>
        <v>0</v>
      </c>
      <c r="X43" s="1024"/>
      <c r="Z43" s="1008"/>
      <c r="AB43" s="167" t="str">
        <f t="shared" si="1"/>
        <v>2038 год</v>
      </c>
      <c r="AC43" s="909"/>
      <c r="AD43" s="911"/>
      <c r="AE43" s="912"/>
      <c r="AF43" s="912"/>
      <c r="AG43" s="911"/>
      <c r="AH43" s="911"/>
      <c r="AI43" s="911"/>
      <c r="AJ43" s="911"/>
      <c r="AK43" s="913"/>
      <c r="AL43" s="303"/>
      <c r="AO43" s="694" cm="1">
        <f t="array" ref="AO43">K43</f>
        <v>2038</v>
      </c>
    </row>
    <row r="44" spans="2:41" s="72" customFormat="1" ht="14.65" hidden="1" customHeight="1">
      <c r="B44" s="340" t="b">
        <f t="shared" si="0"/>
        <v>0</v>
      </c>
      <c r="E44" s="505">
        <v>15</v>
      </c>
      <c r="F44" s="3" cm="1">
        <f t="array" aca="1" ref="F44" ca="1">OFFSET(E44,-1,1)</f>
        <v>0</v>
      </c>
      <c r="K44" s="72">
        <f>first_year+13</f>
        <v>2039</v>
      </c>
      <c r="T44" s="351" t="b" cm="1">
        <f t="array" ref="T44">T43</f>
        <v>0</v>
      </c>
      <c r="X44" s="1024"/>
      <c r="Z44" s="1008"/>
      <c r="AB44" s="167" t="str">
        <f t="shared" si="1"/>
        <v>2039 год</v>
      </c>
      <c r="AC44" s="909"/>
      <c r="AD44" s="911"/>
      <c r="AE44" s="912"/>
      <c r="AF44" s="912"/>
      <c r="AG44" s="911"/>
      <c r="AH44" s="911"/>
      <c r="AI44" s="911"/>
      <c r="AJ44" s="911"/>
      <c r="AK44" s="913"/>
      <c r="AL44" s="303"/>
      <c r="AO44" s="694" cm="1">
        <f t="array" ref="AO44">K44</f>
        <v>2039</v>
      </c>
    </row>
    <row r="45" spans="2:41" s="72" customFormat="1" ht="14.65" hidden="1" customHeight="1">
      <c r="B45" s="340" t="b">
        <f t="shared" si="0"/>
        <v>0</v>
      </c>
      <c r="E45" s="505">
        <v>15</v>
      </c>
      <c r="F45" s="3" cm="1">
        <f t="array" aca="1" ref="F45" ca="1">OFFSET(E45,-1,1)</f>
        <v>0</v>
      </c>
      <c r="K45" s="72">
        <f>first_year+14</f>
        <v>2040</v>
      </c>
      <c r="T45" s="351" t="b" cm="1">
        <f t="array" ref="T45">T44</f>
        <v>0</v>
      </c>
      <c r="X45" s="1024"/>
      <c r="Z45" s="1008"/>
      <c r="AB45" s="167" t="str">
        <f t="shared" si="1"/>
        <v>2040 год</v>
      </c>
      <c r="AC45" s="909"/>
      <c r="AD45" s="911"/>
      <c r="AE45" s="912"/>
      <c r="AF45" s="912"/>
      <c r="AG45" s="911"/>
      <c r="AH45" s="911"/>
      <c r="AI45" s="911"/>
      <c r="AJ45" s="911"/>
      <c r="AK45" s="913"/>
      <c r="AL45" s="303"/>
      <c r="AO45" s="694" cm="1">
        <f t="array" ref="AO45">K45</f>
        <v>2040</v>
      </c>
    </row>
    <row r="46" spans="2:41" s="72" customFormat="1" ht="14.65" hidden="1" customHeight="1">
      <c r="B46" s="340" t="b">
        <f t="shared" si="0"/>
        <v>0</v>
      </c>
      <c r="E46" s="505">
        <v>15</v>
      </c>
      <c r="F46" s="3" cm="1">
        <f t="array" aca="1" ref="F46" ca="1">OFFSET(E46,-1,1)</f>
        <v>0</v>
      </c>
      <c r="K46" s="72">
        <f>first_year+15</f>
        <v>2041</v>
      </c>
      <c r="T46" s="351" t="b" cm="1">
        <f t="array" ref="T46">T45</f>
        <v>0</v>
      </c>
      <c r="X46" s="1024"/>
      <c r="Z46" s="1008"/>
      <c r="AB46" s="167" t="str">
        <f t="shared" si="1"/>
        <v>2041 год</v>
      </c>
      <c r="AC46" s="909"/>
      <c r="AD46" s="911"/>
      <c r="AE46" s="912"/>
      <c r="AF46" s="912"/>
      <c r="AG46" s="911"/>
      <c r="AH46" s="911"/>
      <c r="AI46" s="911"/>
      <c r="AJ46" s="911"/>
      <c r="AK46" s="913"/>
      <c r="AL46" s="303"/>
      <c r="AO46" s="694" cm="1">
        <f t="array" ref="AO46">K46</f>
        <v>2041</v>
      </c>
    </row>
    <row r="47" spans="2:41" s="72" customFormat="1" ht="14.65" hidden="1" customHeight="1">
      <c r="B47" s="340" t="b">
        <f t="shared" si="0"/>
        <v>0</v>
      </c>
      <c r="E47" s="505">
        <v>15</v>
      </c>
      <c r="F47" s="3" cm="1">
        <f t="array" aca="1" ref="F47" ca="1">OFFSET(E47,-1,1)</f>
        <v>0</v>
      </c>
      <c r="K47" s="72">
        <f>first_year+16</f>
        <v>2042</v>
      </c>
      <c r="T47" s="351" t="b" cm="1">
        <f t="array" ref="T47">T46</f>
        <v>0</v>
      </c>
      <c r="X47" s="1024"/>
      <c r="Z47" s="1008"/>
      <c r="AB47" s="167" t="str">
        <f t="shared" si="1"/>
        <v>2042 год</v>
      </c>
      <c r="AC47" s="909"/>
      <c r="AD47" s="911"/>
      <c r="AE47" s="912"/>
      <c r="AF47" s="912"/>
      <c r="AG47" s="911"/>
      <c r="AH47" s="911"/>
      <c r="AI47" s="911"/>
      <c r="AJ47" s="911"/>
      <c r="AK47" s="913"/>
      <c r="AL47" s="303"/>
      <c r="AO47" s="694" cm="1">
        <f t="array" ref="AO47">K47</f>
        <v>2042</v>
      </c>
    </row>
    <row r="48" spans="2:41" s="72" customFormat="1" ht="14.65" hidden="1" customHeight="1">
      <c r="B48" s="340" t="b">
        <f t="shared" si="0"/>
        <v>0</v>
      </c>
      <c r="E48" s="505">
        <v>15</v>
      </c>
      <c r="F48" s="3" cm="1">
        <f t="array" aca="1" ref="F48" ca="1">OFFSET(E48,-1,1)</f>
        <v>0</v>
      </c>
      <c r="K48" s="72">
        <f>first_year+17</f>
        <v>2043</v>
      </c>
      <c r="T48" s="351" t="b" cm="1">
        <f t="array" ref="T48">T47</f>
        <v>0</v>
      </c>
      <c r="X48" s="1024"/>
      <c r="Z48" s="1008"/>
      <c r="AB48" s="167" t="str">
        <f t="shared" si="1"/>
        <v>2043 год</v>
      </c>
      <c r="AC48" s="909"/>
      <c r="AD48" s="911"/>
      <c r="AE48" s="912"/>
      <c r="AF48" s="912"/>
      <c r="AG48" s="911"/>
      <c r="AH48" s="911"/>
      <c r="AI48" s="911"/>
      <c r="AJ48" s="911"/>
      <c r="AK48" s="913"/>
      <c r="AL48" s="303"/>
      <c r="AO48" s="694" cm="1">
        <f t="array" ref="AO48">K48</f>
        <v>2043</v>
      </c>
    </row>
    <row r="49" spans="2:41" s="72" customFormat="1" ht="14.65" hidden="1" customHeight="1">
      <c r="B49" s="340" t="b">
        <f t="shared" si="0"/>
        <v>0</v>
      </c>
      <c r="E49" s="505">
        <v>15</v>
      </c>
      <c r="F49" s="3" cm="1">
        <f t="array" aca="1" ref="F49" ca="1">OFFSET(E49,-1,1)</f>
        <v>0</v>
      </c>
      <c r="K49" s="72">
        <f>first_year+18</f>
        <v>2044</v>
      </c>
      <c r="T49" s="351" t="b" cm="1">
        <f t="array" ref="T49">T48</f>
        <v>0</v>
      </c>
      <c r="X49" s="1024"/>
      <c r="Z49" s="1008"/>
      <c r="AB49" s="167" t="str">
        <f t="shared" si="1"/>
        <v>2044 год</v>
      </c>
      <c r="AC49" s="909"/>
      <c r="AD49" s="911"/>
      <c r="AE49" s="912"/>
      <c r="AF49" s="912"/>
      <c r="AG49" s="911"/>
      <c r="AH49" s="911"/>
      <c r="AI49" s="911"/>
      <c r="AJ49" s="911"/>
      <c r="AK49" s="913"/>
      <c r="AL49" s="303"/>
      <c r="AO49" s="694" cm="1">
        <f t="array" ref="AO49">K49</f>
        <v>2044</v>
      </c>
    </row>
    <row r="50" spans="2:41" s="72" customFormat="1" ht="14.65" hidden="1" customHeight="1">
      <c r="B50" s="340" t="b">
        <f t="shared" si="0"/>
        <v>0</v>
      </c>
      <c r="E50" s="505">
        <v>15</v>
      </c>
      <c r="F50" s="3" cm="1">
        <f t="array" aca="1" ref="F50" ca="1">OFFSET(E50,-1,1)</f>
        <v>0</v>
      </c>
      <c r="K50" s="72">
        <f>first_year+19</f>
        <v>2045</v>
      </c>
      <c r="T50" s="351" t="b" cm="1">
        <f t="array" ref="T50">T49</f>
        <v>0</v>
      </c>
      <c r="X50" s="1024"/>
      <c r="Z50" s="1008"/>
      <c r="AB50" s="167" t="str">
        <f t="shared" si="1"/>
        <v>2045 год</v>
      </c>
      <c r="AC50" s="909"/>
      <c r="AD50" s="911"/>
      <c r="AE50" s="912"/>
      <c r="AF50" s="912"/>
      <c r="AG50" s="911"/>
      <c r="AH50" s="911"/>
      <c r="AI50" s="911"/>
      <c r="AJ50" s="911"/>
      <c r="AK50" s="913"/>
      <c r="AL50" s="303"/>
      <c r="AO50" s="694" cm="1">
        <f t="array" ref="AO50">K50</f>
        <v>2045</v>
      </c>
    </row>
    <row r="51" spans="2:41" s="72" customFormat="1" ht="14.65" hidden="1" customHeight="1">
      <c r="B51" s="340" t="b">
        <f t="shared" si="0"/>
        <v>0</v>
      </c>
      <c r="E51" s="505">
        <v>15</v>
      </c>
      <c r="F51" s="3" cm="1">
        <f t="array" aca="1" ref="F51" ca="1">OFFSET(E51,-1,1)</f>
        <v>0</v>
      </c>
      <c r="K51" s="72">
        <f>first_year+20</f>
        <v>2046</v>
      </c>
      <c r="T51" s="351" t="b" cm="1">
        <f t="array" ref="T51">T50</f>
        <v>0</v>
      </c>
      <c r="X51" s="1024"/>
      <c r="Z51" s="1008"/>
      <c r="AB51" s="167" t="str">
        <f t="shared" si="1"/>
        <v>2046 год</v>
      </c>
      <c r="AC51" s="909"/>
      <c r="AD51" s="911"/>
      <c r="AE51" s="912"/>
      <c r="AF51" s="912"/>
      <c r="AG51" s="911"/>
      <c r="AH51" s="911"/>
      <c r="AI51" s="911"/>
      <c r="AJ51" s="911"/>
      <c r="AK51" s="913"/>
      <c r="AL51" s="303"/>
      <c r="AO51" s="694" cm="1">
        <f t="array" ref="AO51">K51</f>
        <v>2046</v>
      </c>
    </row>
    <row r="52" spans="2:41" s="72" customFormat="1" ht="14.65" hidden="1" customHeight="1">
      <c r="B52" s="340" t="b">
        <f t="shared" si="0"/>
        <v>0</v>
      </c>
      <c r="E52" s="505">
        <v>15</v>
      </c>
      <c r="F52" s="3" cm="1">
        <f t="array" aca="1" ref="F52" ca="1">OFFSET(E52,-1,1)</f>
        <v>0</v>
      </c>
      <c r="K52" s="72">
        <f>first_year+21</f>
        <v>2047</v>
      </c>
      <c r="T52" s="351" t="b" cm="1">
        <f t="array" ref="T52">T51</f>
        <v>0</v>
      </c>
      <c r="X52" s="1024"/>
      <c r="Z52" s="1008"/>
      <c r="AB52" s="167" t="str">
        <f t="shared" si="1"/>
        <v>2047 год</v>
      </c>
      <c r="AC52" s="909"/>
      <c r="AD52" s="911"/>
      <c r="AE52" s="912"/>
      <c r="AF52" s="912"/>
      <c r="AG52" s="911"/>
      <c r="AH52" s="911"/>
      <c r="AI52" s="911"/>
      <c r="AJ52" s="911"/>
      <c r="AK52" s="913"/>
      <c r="AL52" s="303"/>
      <c r="AO52" s="694" cm="1">
        <f t="array" ref="AO52">K52</f>
        <v>2047</v>
      </c>
    </row>
    <row r="53" spans="2:41" s="72" customFormat="1" ht="14.65" hidden="1" customHeight="1">
      <c r="B53" s="340" t="b">
        <f t="shared" si="0"/>
        <v>0</v>
      </c>
      <c r="E53" s="505">
        <v>15</v>
      </c>
      <c r="F53" s="3" cm="1">
        <f t="array" aca="1" ref="F53" ca="1">OFFSET(E53,-1,1)</f>
        <v>0</v>
      </c>
      <c r="K53" s="72">
        <f>first_year+22</f>
        <v>2048</v>
      </c>
      <c r="T53" s="351" t="b" cm="1">
        <f t="array" ref="T53">T52</f>
        <v>0</v>
      </c>
      <c r="X53" s="1024"/>
      <c r="Z53" s="1008"/>
      <c r="AB53" s="167" t="str">
        <f t="shared" si="1"/>
        <v>2048 год</v>
      </c>
      <c r="AC53" s="909"/>
      <c r="AD53" s="911"/>
      <c r="AE53" s="912"/>
      <c r="AF53" s="912"/>
      <c r="AG53" s="911"/>
      <c r="AH53" s="911"/>
      <c r="AI53" s="911"/>
      <c r="AJ53" s="911"/>
      <c r="AK53" s="913"/>
      <c r="AL53" s="303"/>
      <c r="AO53" s="694" cm="1">
        <f t="array" ref="AO53">K53</f>
        <v>2048</v>
      </c>
    </row>
    <row r="54" spans="2:41" s="72" customFormat="1" ht="14.65" hidden="1" customHeight="1">
      <c r="B54" s="340" t="b">
        <f t="shared" si="0"/>
        <v>0</v>
      </c>
      <c r="E54" s="505">
        <v>15</v>
      </c>
      <c r="F54" s="3" cm="1">
        <f t="array" aca="1" ref="F54" ca="1">OFFSET(E54,-1,1)</f>
        <v>0</v>
      </c>
      <c r="K54" s="72">
        <f>first_year+23</f>
        <v>2049</v>
      </c>
      <c r="T54" s="351" t="b" cm="1">
        <f t="array" ref="T54">T53</f>
        <v>0</v>
      </c>
      <c r="X54" s="1024"/>
      <c r="Z54" s="1008"/>
      <c r="AB54" s="167" t="str">
        <f t="shared" si="1"/>
        <v>2049 год</v>
      </c>
      <c r="AC54" s="909"/>
      <c r="AD54" s="911"/>
      <c r="AE54" s="912"/>
      <c r="AF54" s="912"/>
      <c r="AG54" s="911"/>
      <c r="AH54" s="911"/>
      <c r="AI54" s="911"/>
      <c r="AJ54" s="911"/>
      <c r="AK54" s="913"/>
      <c r="AL54" s="303"/>
      <c r="AO54" s="694" cm="1">
        <f t="array" ref="AO54">K54</f>
        <v>2049</v>
      </c>
    </row>
    <row r="55" spans="2:41" s="72" customFormat="1" ht="14.65" hidden="1" customHeight="1">
      <c r="B55" s="340" t="b">
        <f t="shared" si="0"/>
        <v>0</v>
      </c>
      <c r="E55" s="505">
        <v>15</v>
      </c>
      <c r="F55" s="3" cm="1">
        <f t="array" aca="1" ref="F55" ca="1">OFFSET(E55,-1,1)</f>
        <v>0</v>
      </c>
      <c r="K55" s="72">
        <f>first_year+24</f>
        <v>2050</v>
      </c>
      <c r="T55" s="351" t="b" cm="1">
        <f t="array" ref="T55">T54</f>
        <v>0</v>
      </c>
      <c r="X55" s="1024"/>
      <c r="Z55" s="1008"/>
      <c r="AB55" s="167" t="str">
        <f t="shared" si="1"/>
        <v>2050 год</v>
      </c>
      <c r="AC55" s="909"/>
      <c r="AD55" s="911"/>
      <c r="AE55" s="912"/>
      <c r="AF55" s="912"/>
      <c r="AG55" s="911"/>
      <c r="AH55" s="911"/>
      <c r="AI55" s="911"/>
      <c r="AJ55" s="911"/>
      <c r="AK55" s="913"/>
      <c r="AL55" s="303"/>
      <c r="AO55" s="694" cm="1">
        <f t="array" ref="AO55">K55</f>
        <v>2050</v>
      </c>
    </row>
    <row r="56" spans="2:41" s="72" customFormat="1" ht="14.65" hidden="1" customHeight="1">
      <c r="B56" s="340" t="b">
        <f t="shared" si="0"/>
        <v>0</v>
      </c>
      <c r="E56" s="505">
        <v>15</v>
      </c>
      <c r="F56" s="3" cm="1">
        <f t="array" aca="1" ref="F56" ca="1">OFFSET(E56,-1,1)</f>
        <v>0</v>
      </c>
      <c r="K56" s="72">
        <f>first_year+25</f>
        <v>2051</v>
      </c>
      <c r="T56" s="351" t="b" cm="1">
        <f t="array" ref="T56">T55</f>
        <v>0</v>
      </c>
      <c r="X56" s="1024"/>
      <c r="Z56" s="1008"/>
      <c r="AB56" s="167" t="str">
        <f t="shared" si="1"/>
        <v>2051 год</v>
      </c>
      <c r="AC56" s="909"/>
      <c r="AD56" s="911"/>
      <c r="AE56" s="912"/>
      <c r="AF56" s="912"/>
      <c r="AG56" s="911"/>
      <c r="AH56" s="911"/>
      <c r="AI56" s="911"/>
      <c r="AJ56" s="911"/>
      <c r="AK56" s="913"/>
      <c r="AL56" s="303"/>
      <c r="AO56" s="694" cm="1">
        <f t="array" ref="AO56">K56</f>
        <v>2051</v>
      </c>
    </row>
    <row r="57" spans="2:41" s="72" customFormat="1" ht="14.65" hidden="1" customHeight="1">
      <c r="B57" s="340" t="b">
        <f t="shared" si="0"/>
        <v>0</v>
      </c>
      <c r="E57" s="505">
        <v>15</v>
      </c>
      <c r="F57" s="3" cm="1">
        <f t="array" aca="1" ref="F57" ca="1">OFFSET(E57,-1,1)</f>
        <v>0</v>
      </c>
      <c r="K57" s="72">
        <f>first_year+26</f>
        <v>2052</v>
      </c>
      <c r="T57" s="351" t="b" cm="1">
        <f t="array" ref="T57">T56</f>
        <v>0</v>
      </c>
      <c r="X57" s="1024"/>
      <c r="Z57" s="1008"/>
      <c r="AB57" s="167" t="str">
        <f t="shared" si="1"/>
        <v>2052 год</v>
      </c>
      <c r="AC57" s="909"/>
      <c r="AD57" s="911"/>
      <c r="AE57" s="912"/>
      <c r="AF57" s="912"/>
      <c r="AG57" s="911"/>
      <c r="AH57" s="911"/>
      <c r="AI57" s="911"/>
      <c r="AJ57" s="911"/>
      <c r="AK57" s="913"/>
      <c r="AL57" s="303"/>
      <c r="AO57" s="694" cm="1">
        <f t="array" ref="AO57">K57</f>
        <v>2052</v>
      </c>
    </row>
    <row r="58" spans="2:41" s="72" customFormat="1" ht="14.65" hidden="1" customHeight="1">
      <c r="B58" s="340" t="b">
        <f t="shared" si="0"/>
        <v>0</v>
      </c>
      <c r="E58" s="505">
        <v>15</v>
      </c>
      <c r="F58" s="3" cm="1">
        <f t="array" aca="1" ref="F58" ca="1">OFFSET(E58,-1,1)</f>
        <v>0</v>
      </c>
      <c r="K58" s="72">
        <f>first_year+27</f>
        <v>2053</v>
      </c>
      <c r="T58" s="351" t="b" cm="1">
        <f t="array" ref="T58">T57</f>
        <v>0</v>
      </c>
      <c r="X58" s="1024"/>
      <c r="Z58" s="1008"/>
      <c r="AB58" s="167" t="str">
        <f t="shared" si="1"/>
        <v>2053 год</v>
      </c>
      <c r="AC58" s="909"/>
      <c r="AD58" s="911"/>
      <c r="AE58" s="912"/>
      <c r="AF58" s="912"/>
      <c r="AG58" s="911"/>
      <c r="AH58" s="911"/>
      <c r="AI58" s="911"/>
      <c r="AJ58" s="911"/>
      <c r="AK58" s="913"/>
      <c r="AL58" s="303"/>
      <c r="AO58" s="694" cm="1">
        <f t="array" ref="AO58">K58</f>
        <v>2053</v>
      </c>
    </row>
    <row r="59" spans="2:41" s="72" customFormat="1" ht="14.65" hidden="1" customHeight="1">
      <c r="B59" s="340" t="b">
        <f t="shared" si="0"/>
        <v>0</v>
      </c>
      <c r="E59" s="505">
        <v>15</v>
      </c>
      <c r="F59" s="3" cm="1">
        <f t="array" aca="1" ref="F59" ca="1">OFFSET(E59,-1,1)</f>
        <v>0</v>
      </c>
      <c r="K59" s="72">
        <f>first_year+28</f>
        <v>2054</v>
      </c>
      <c r="T59" s="351" t="b" cm="1">
        <f t="array" ref="T59">T58</f>
        <v>0</v>
      </c>
      <c r="X59" s="1024"/>
      <c r="Z59" s="1008"/>
      <c r="AB59" s="167" t="str">
        <f t="shared" si="1"/>
        <v>2054 год</v>
      </c>
      <c r="AC59" s="909"/>
      <c r="AD59" s="911"/>
      <c r="AE59" s="912"/>
      <c r="AF59" s="912"/>
      <c r="AG59" s="911"/>
      <c r="AH59" s="911"/>
      <c r="AI59" s="911"/>
      <c r="AJ59" s="911"/>
      <c r="AK59" s="913"/>
      <c r="AL59" s="303"/>
      <c r="AO59" s="694" cm="1">
        <f t="array" ref="AO59">K59</f>
        <v>2054</v>
      </c>
    </row>
    <row r="60" spans="2:41" s="72" customFormat="1" ht="14.65" hidden="1" customHeight="1">
      <c r="B60" s="340" t="b">
        <f t="shared" si="0"/>
        <v>0</v>
      </c>
      <c r="E60" s="505">
        <v>15</v>
      </c>
      <c r="F60" s="3" cm="1">
        <f t="array" aca="1" ref="F60" ca="1">OFFSET(E60,-1,1)</f>
        <v>0</v>
      </c>
      <c r="K60" s="72">
        <f>first_year+29</f>
        <v>2055</v>
      </c>
      <c r="T60" s="351" t="b" cm="1">
        <f t="array" ref="T60">T59</f>
        <v>0</v>
      </c>
      <c r="X60" s="1024"/>
      <c r="Z60" s="1008"/>
      <c r="AB60" s="167" t="str">
        <f t="shared" si="1"/>
        <v>2055 год</v>
      </c>
      <c r="AC60" s="909"/>
      <c r="AD60" s="911"/>
      <c r="AE60" s="912"/>
      <c r="AF60" s="912"/>
      <c r="AG60" s="911"/>
      <c r="AH60" s="911"/>
      <c r="AI60" s="911"/>
      <c r="AJ60" s="911"/>
      <c r="AK60" s="913"/>
      <c r="AL60" s="303"/>
      <c r="AO60" s="694" cm="1">
        <f t="array" ref="AO60">K60</f>
        <v>2055</v>
      </c>
    </row>
    <row r="61" spans="2:41" s="72" customFormat="1" ht="14.65" hidden="1" customHeight="1">
      <c r="B61" s="340" t="b">
        <f t="shared" si="0"/>
        <v>0</v>
      </c>
      <c r="E61" s="505">
        <v>15</v>
      </c>
      <c r="F61" s="3" cm="1">
        <f t="array" aca="1" ref="F61" ca="1">OFFSET(E61,-1,1)</f>
        <v>0</v>
      </c>
      <c r="K61" s="72">
        <f>first_year+30</f>
        <v>2056</v>
      </c>
      <c r="T61" s="351" t="b" cm="1">
        <f t="array" ref="T61">T60</f>
        <v>0</v>
      </c>
      <c r="X61" s="1024"/>
      <c r="Z61" s="1008"/>
      <c r="AB61" s="167" t="str">
        <f t="shared" si="1"/>
        <v>2056 год</v>
      </c>
      <c r="AC61" s="909"/>
      <c r="AD61" s="911"/>
      <c r="AE61" s="912"/>
      <c r="AF61" s="912"/>
      <c r="AG61" s="911"/>
      <c r="AH61" s="911"/>
      <c r="AI61" s="911"/>
      <c r="AJ61" s="911"/>
      <c r="AK61" s="913"/>
      <c r="AL61" s="303"/>
      <c r="AO61" s="694" cm="1">
        <f t="array" ref="AO61">K61</f>
        <v>2056</v>
      </c>
    </row>
    <row r="62" spans="2:41" s="72" customFormat="1" ht="14.65" hidden="1" customHeight="1">
      <c r="B62" s="340" t="b">
        <f t="shared" si="0"/>
        <v>0</v>
      </c>
      <c r="E62" s="505">
        <v>15</v>
      </c>
      <c r="F62" s="3" cm="1">
        <f t="array" aca="1" ref="F62" ca="1">OFFSET(E62,-1,1)</f>
        <v>0</v>
      </c>
      <c r="K62" s="72">
        <f>first_year+31</f>
        <v>2057</v>
      </c>
      <c r="T62" s="351" t="b" cm="1">
        <f t="array" ref="T62">T61</f>
        <v>0</v>
      </c>
      <c r="X62" s="1024"/>
      <c r="Z62" s="1008"/>
      <c r="AB62" s="167" t="str">
        <f t="shared" si="1"/>
        <v>2057 год</v>
      </c>
      <c r="AC62" s="909"/>
      <c r="AD62" s="911"/>
      <c r="AE62" s="912"/>
      <c r="AF62" s="912"/>
      <c r="AG62" s="911"/>
      <c r="AH62" s="911"/>
      <c r="AI62" s="911"/>
      <c r="AJ62" s="911"/>
      <c r="AK62" s="913"/>
      <c r="AL62" s="303"/>
      <c r="AO62" s="694" cm="1">
        <f t="array" ref="AO62">K62</f>
        <v>2057</v>
      </c>
    </row>
    <row r="63" spans="2:41" s="72" customFormat="1" ht="14.65" hidden="1" customHeight="1">
      <c r="B63" s="340" t="b">
        <f t="shared" ref="B63:B80" si="2">K63&lt;first_year+PERIOD_LENGTH</f>
        <v>0</v>
      </c>
      <c r="E63" s="505">
        <v>15</v>
      </c>
      <c r="F63" s="3" cm="1">
        <f t="array" aca="1" ref="F63" ca="1">OFFSET(E63,-1,1)</f>
        <v>0</v>
      </c>
      <c r="K63" s="72">
        <f>first_year+32</f>
        <v>2058</v>
      </c>
      <c r="T63" s="351" t="b" cm="1">
        <f t="array" ref="T63">T62</f>
        <v>0</v>
      </c>
      <c r="X63" s="1024"/>
      <c r="Z63" s="1008"/>
      <c r="AB63" s="167" t="str">
        <f t="shared" ref="AB63:AB80" si="3">K63&amp;" год"</f>
        <v>2058 год</v>
      </c>
      <c r="AC63" s="909"/>
      <c r="AD63" s="911"/>
      <c r="AE63" s="912"/>
      <c r="AF63" s="912"/>
      <c r="AG63" s="911"/>
      <c r="AH63" s="911"/>
      <c r="AI63" s="911"/>
      <c r="AJ63" s="911"/>
      <c r="AK63" s="913"/>
      <c r="AL63" s="303"/>
      <c r="AO63" s="694" cm="1">
        <f t="array" ref="AO63">K63</f>
        <v>2058</v>
      </c>
    </row>
    <row r="64" spans="2:41" s="72" customFormat="1" ht="14.65" hidden="1" customHeight="1">
      <c r="B64" s="340" t="b">
        <f t="shared" si="2"/>
        <v>0</v>
      </c>
      <c r="E64" s="505">
        <v>15</v>
      </c>
      <c r="F64" s="3" cm="1">
        <f t="array" aca="1" ref="F64" ca="1">OFFSET(E64,-1,1)</f>
        <v>0</v>
      </c>
      <c r="K64" s="72">
        <f>first_year+33</f>
        <v>2059</v>
      </c>
      <c r="T64" s="351" t="b" cm="1">
        <f t="array" ref="T64">T63</f>
        <v>0</v>
      </c>
      <c r="X64" s="1024"/>
      <c r="Z64" s="1008"/>
      <c r="AB64" s="167" t="str">
        <f t="shared" si="3"/>
        <v>2059 год</v>
      </c>
      <c r="AC64" s="909"/>
      <c r="AD64" s="911"/>
      <c r="AE64" s="912"/>
      <c r="AF64" s="912"/>
      <c r="AG64" s="911"/>
      <c r="AH64" s="911"/>
      <c r="AI64" s="911"/>
      <c r="AJ64" s="911"/>
      <c r="AK64" s="913"/>
      <c r="AL64" s="303"/>
      <c r="AO64" s="694" cm="1">
        <f t="array" ref="AO64">K64</f>
        <v>2059</v>
      </c>
    </row>
    <row r="65" spans="2:41" s="72" customFormat="1" ht="14.65" hidden="1" customHeight="1">
      <c r="B65" s="340" t="b">
        <f t="shared" si="2"/>
        <v>0</v>
      </c>
      <c r="E65" s="505">
        <v>15</v>
      </c>
      <c r="F65" s="3" cm="1">
        <f t="array" aca="1" ref="F65" ca="1">OFFSET(E65,-1,1)</f>
        <v>0</v>
      </c>
      <c r="K65" s="72">
        <f>first_year+34</f>
        <v>2060</v>
      </c>
      <c r="T65" s="351" t="b" cm="1">
        <f t="array" ref="T65">T64</f>
        <v>0</v>
      </c>
      <c r="X65" s="1024"/>
      <c r="Z65" s="1008"/>
      <c r="AB65" s="167" t="str">
        <f t="shared" si="3"/>
        <v>2060 год</v>
      </c>
      <c r="AC65" s="909"/>
      <c r="AD65" s="911"/>
      <c r="AE65" s="912"/>
      <c r="AF65" s="912"/>
      <c r="AG65" s="911"/>
      <c r="AH65" s="911"/>
      <c r="AI65" s="911"/>
      <c r="AJ65" s="911"/>
      <c r="AK65" s="913"/>
      <c r="AL65" s="303"/>
      <c r="AO65" s="694" cm="1">
        <f t="array" ref="AO65">K65</f>
        <v>2060</v>
      </c>
    </row>
    <row r="66" spans="2:41" s="72" customFormat="1" ht="14.65" hidden="1" customHeight="1">
      <c r="B66" s="340" t="b">
        <f t="shared" si="2"/>
        <v>0</v>
      </c>
      <c r="E66" s="505">
        <v>15</v>
      </c>
      <c r="F66" s="3" cm="1">
        <f t="array" aca="1" ref="F66" ca="1">OFFSET(E66,-1,1)</f>
        <v>0</v>
      </c>
      <c r="K66" s="72">
        <f>first_year+35</f>
        <v>2061</v>
      </c>
      <c r="T66" s="351" t="b" cm="1">
        <f t="array" ref="T66">T65</f>
        <v>0</v>
      </c>
      <c r="X66" s="1024"/>
      <c r="Z66" s="1008"/>
      <c r="AB66" s="167" t="str">
        <f t="shared" si="3"/>
        <v>2061 год</v>
      </c>
      <c r="AC66" s="909"/>
      <c r="AD66" s="911"/>
      <c r="AE66" s="912"/>
      <c r="AF66" s="912"/>
      <c r="AG66" s="911"/>
      <c r="AH66" s="911"/>
      <c r="AI66" s="911"/>
      <c r="AJ66" s="911"/>
      <c r="AK66" s="913"/>
      <c r="AL66" s="303"/>
      <c r="AO66" s="694" cm="1">
        <f t="array" ref="AO66">K66</f>
        <v>2061</v>
      </c>
    </row>
    <row r="67" spans="2:41" s="72" customFormat="1" ht="14.65" hidden="1" customHeight="1">
      <c r="B67" s="340" t="b">
        <f t="shared" si="2"/>
        <v>0</v>
      </c>
      <c r="E67" s="505">
        <v>15</v>
      </c>
      <c r="F67" s="3" cm="1">
        <f t="array" aca="1" ref="F67" ca="1">OFFSET(E67,-1,1)</f>
        <v>0</v>
      </c>
      <c r="K67" s="72">
        <f>first_year+36</f>
        <v>2062</v>
      </c>
      <c r="T67" s="351" t="b" cm="1">
        <f t="array" ref="T67">T66</f>
        <v>0</v>
      </c>
      <c r="X67" s="1024"/>
      <c r="Z67" s="1008"/>
      <c r="AB67" s="167" t="str">
        <f t="shared" si="3"/>
        <v>2062 год</v>
      </c>
      <c r="AC67" s="909"/>
      <c r="AD67" s="911"/>
      <c r="AE67" s="912"/>
      <c r="AF67" s="912"/>
      <c r="AG67" s="911"/>
      <c r="AH67" s="911"/>
      <c r="AI67" s="911"/>
      <c r="AJ67" s="911"/>
      <c r="AK67" s="913"/>
      <c r="AL67" s="303"/>
      <c r="AO67" s="694" cm="1">
        <f t="array" ref="AO67">K67</f>
        <v>2062</v>
      </c>
    </row>
    <row r="68" spans="2:41" s="72" customFormat="1" ht="14.65" hidden="1" customHeight="1">
      <c r="B68" s="340" t="b">
        <f t="shared" si="2"/>
        <v>0</v>
      </c>
      <c r="E68" s="505">
        <v>15</v>
      </c>
      <c r="F68" s="3" cm="1">
        <f t="array" aca="1" ref="F68" ca="1">OFFSET(E68,-1,1)</f>
        <v>0</v>
      </c>
      <c r="K68" s="72">
        <f>first_year+37</f>
        <v>2063</v>
      </c>
      <c r="T68" s="351" t="b" cm="1">
        <f t="array" ref="T68">T67</f>
        <v>0</v>
      </c>
      <c r="X68" s="1024"/>
      <c r="Z68" s="1008"/>
      <c r="AB68" s="167" t="str">
        <f t="shared" si="3"/>
        <v>2063 год</v>
      </c>
      <c r="AC68" s="909"/>
      <c r="AD68" s="911"/>
      <c r="AE68" s="912"/>
      <c r="AF68" s="912"/>
      <c r="AG68" s="911"/>
      <c r="AH68" s="911"/>
      <c r="AI68" s="911"/>
      <c r="AJ68" s="911"/>
      <c r="AK68" s="913"/>
      <c r="AL68" s="303"/>
      <c r="AO68" s="694" cm="1">
        <f t="array" ref="AO68">K68</f>
        <v>2063</v>
      </c>
    </row>
    <row r="69" spans="2:41" s="72" customFormat="1" ht="14.65" hidden="1" customHeight="1">
      <c r="B69" s="340" t="b">
        <f t="shared" si="2"/>
        <v>0</v>
      </c>
      <c r="E69" s="505">
        <v>15</v>
      </c>
      <c r="F69" s="3" cm="1">
        <f t="array" aca="1" ref="F69" ca="1">OFFSET(E69,-1,1)</f>
        <v>0</v>
      </c>
      <c r="K69" s="72">
        <f>first_year+38</f>
        <v>2064</v>
      </c>
      <c r="T69" s="351" t="b" cm="1">
        <f t="array" ref="T69">T68</f>
        <v>0</v>
      </c>
      <c r="X69" s="1024"/>
      <c r="Z69" s="1008"/>
      <c r="AB69" s="167" t="str">
        <f t="shared" si="3"/>
        <v>2064 год</v>
      </c>
      <c r="AC69" s="909"/>
      <c r="AD69" s="911"/>
      <c r="AE69" s="912"/>
      <c r="AF69" s="912"/>
      <c r="AG69" s="911"/>
      <c r="AH69" s="911"/>
      <c r="AI69" s="911"/>
      <c r="AJ69" s="911"/>
      <c r="AK69" s="913"/>
      <c r="AL69" s="303"/>
      <c r="AO69" s="694" cm="1">
        <f t="array" ref="AO69">K69</f>
        <v>2064</v>
      </c>
    </row>
    <row r="70" spans="2:41" s="72" customFormat="1" ht="14.65" hidden="1" customHeight="1">
      <c r="B70" s="340" t="b">
        <f t="shared" si="2"/>
        <v>0</v>
      </c>
      <c r="E70" s="505">
        <v>15</v>
      </c>
      <c r="F70" s="3" cm="1">
        <f t="array" aca="1" ref="F70" ca="1">OFFSET(E70,-1,1)</f>
        <v>0</v>
      </c>
      <c r="K70" s="72">
        <f>first_year+39</f>
        <v>2065</v>
      </c>
      <c r="T70" s="351" t="b" cm="1">
        <f t="array" ref="T70">T69</f>
        <v>0</v>
      </c>
      <c r="X70" s="1024"/>
      <c r="Z70" s="1008"/>
      <c r="AB70" s="167" t="str">
        <f t="shared" si="3"/>
        <v>2065 год</v>
      </c>
      <c r="AC70" s="909"/>
      <c r="AD70" s="911"/>
      <c r="AE70" s="912"/>
      <c r="AF70" s="912"/>
      <c r="AG70" s="911"/>
      <c r="AH70" s="911"/>
      <c r="AI70" s="911"/>
      <c r="AJ70" s="911"/>
      <c r="AK70" s="913"/>
      <c r="AL70" s="303"/>
      <c r="AO70" s="694" cm="1">
        <f t="array" ref="AO70">K70</f>
        <v>2065</v>
      </c>
    </row>
    <row r="71" spans="2:41" s="72" customFormat="1" ht="14.65" hidden="1" customHeight="1">
      <c r="B71" s="340" t="b">
        <f t="shared" si="2"/>
        <v>0</v>
      </c>
      <c r="E71" s="505">
        <v>15</v>
      </c>
      <c r="F71" s="3" cm="1">
        <f t="array" aca="1" ref="F71" ca="1">OFFSET(E71,-1,1)</f>
        <v>0</v>
      </c>
      <c r="K71" s="72">
        <f>first_year+40</f>
        <v>2066</v>
      </c>
      <c r="T71" s="351" t="b" cm="1">
        <f t="array" ref="T71">T70</f>
        <v>0</v>
      </c>
      <c r="X71" s="1024"/>
      <c r="Z71" s="1008"/>
      <c r="AB71" s="167" t="str">
        <f t="shared" si="3"/>
        <v>2066 год</v>
      </c>
      <c r="AC71" s="909"/>
      <c r="AD71" s="911"/>
      <c r="AE71" s="912"/>
      <c r="AF71" s="912"/>
      <c r="AG71" s="911"/>
      <c r="AH71" s="911"/>
      <c r="AI71" s="911"/>
      <c r="AJ71" s="911"/>
      <c r="AK71" s="913"/>
      <c r="AL71" s="303"/>
      <c r="AO71" s="694" cm="1">
        <f t="array" ref="AO71">K71</f>
        <v>2066</v>
      </c>
    </row>
    <row r="72" spans="2:41" s="72" customFormat="1" ht="14.65" hidden="1" customHeight="1">
      <c r="B72" s="340" t="b">
        <f t="shared" si="2"/>
        <v>0</v>
      </c>
      <c r="E72" s="505">
        <v>15</v>
      </c>
      <c r="F72" s="3" cm="1">
        <f t="array" aca="1" ref="F72" ca="1">OFFSET(E72,-1,1)</f>
        <v>0</v>
      </c>
      <c r="K72" s="72">
        <f>first_year+41</f>
        <v>2067</v>
      </c>
      <c r="T72" s="351" t="b" cm="1">
        <f t="array" ref="T72">T71</f>
        <v>0</v>
      </c>
      <c r="X72" s="1024"/>
      <c r="Z72" s="1008"/>
      <c r="AB72" s="167" t="str">
        <f t="shared" si="3"/>
        <v>2067 год</v>
      </c>
      <c r="AC72" s="909"/>
      <c r="AD72" s="911"/>
      <c r="AE72" s="912"/>
      <c r="AF72" s="912"/>
      <c r="AG72" s="911"/>
      <c r="AH72" s="911"/>
      <c r="AI72" s="911"/>
      <c r="AJ72" s="911"/>
      <c r="AK72" s="913"/>
      <c r="AL72" s="303"/>
      <c r="AO72" s="694" cm="1">
        <f t="array" ref="AO72">K72</f>
        <v>2067</v>
      </c>
    </row>
    <row r="73" spans="2:41" s="72" customFormat="1" ht="14.65" hidden="1" customHeight="1">
      <c r="B73" s="340" t="b">
        <f t="shared" si="2"/>
        <v>0</v>
      </c>
      <c r="E73" s="505">
        <v>15</v>
      </c>
      <c r="F73" s="3" cm="1">
        <f t="array" aca="1" ref="F73" ca="1">OFFSET(E73,-1,1)</f>
        <v>0</v>
      </c>
      <c r="K73" s="72">
        <f>first_year+42</f>
        <v>2068</v>
      </c>
      <c r="T73" s="351" t="b" cm="1">
        <f t="array" ref="T73">T72</f>
        <v>0</v>
      </c>
      <c r="X73" s="1024"/>
      <c r="Z73" s="1008"/>
      <c r="AB73" s="167" t="str">
        <f t="shared" si="3"/>
        <v>2068 год</v>
      </c>
      <c r="AC73" s="909"/>
      <c r="AD73" s="911"/>
      <c r="AE73" s="912"/>
      <c r="AF73" s="912"/>
      <c r="AG73" s="911"/>
      <c r="AH73" s="911"/>
      <c r="AI73" s="911"/>
      <c r="AJ73" s="911"/>
      <c r="AK73" s="913"/>
      <c r="AL73" s="303"/>
      <c r="AO73" s="694" cm="1">
        <f t="array" ref="AO73">K73</f>
        <v>2068</v>
      </c>
    </row>
    <row r="74" spans="2:41" s="72" customFormat="1" ht="14.65" hidden="1" customHeight="1">
      <c r="B74" s="340" t="b">
        <f t="shared" si="2"/>
        <v>0</v>
      </c>
      <c r="E74" s="505">
        <v>15</v>
      </c>
      <c r="F74" s="3" cm="1">
        <f t="array" aca="1" ref="F74" ca="1">OFFSET(E74,-1,1)</f>
        <v>0</v>
      </c>
      <c r="K74" s="72">
        <f>first_year+43</f>
        <v>2069</v>
      </c>
      <c r="T74" s="351" t="b" cm="1">
        <f t="array" ref="T74">T73</f>
        <v>0</v>
      </c>
      <c r="X74" s="1024"/>
      <c r="Z74" s="1008"/>
      <c r="AB74" s="167" t="str">
        <f t="shared" si="3"/>
        <v>2069 год</v>
      </c>
      <c r="AC74" s="909"/>
      <c r="AD74" s="911"/>
      <c r="AE74" s="912"/>
      <c r="AF74" s="912"/>
      <c r="AG74" s="911"/>
      <c r="AH74" s="911"/>
      <c r="AI74" s="911"/>
      <c r="AJ74" s="911"/>
      <c r="AK74" s="913"/>
      <c r="AL74" s="303"/>
      <c r="AO74" s="694" cm="1">
        <f t="array" ref="AO74">K74</f>
        <v>2069</v>
      </c>
    </row>
    <row r="75" spans="2:41" s="72" customFormat="1" ht="14.65" hidden="1" customHeight="1">
      <c r="B75" s="340" t="b">
        <f t="shared" si="2"/>
        <v>0</v>
      </c>
      <c r="E75" s="505">
        <v>15</v>
      </c>
      <c r="F75" s="3" cm="1">
        <f t="array" aca="1" ref="F75" ca="1">OFFSET(E75,-1,1)</f>
        <v>0</v>
      </c>
      <c r="K75" s="72">
        <f>first_year+44</f>
        <v>2070</v>
      </c>
      <c r="T75" s="351" t="b" cm="1">
        <f t="array" ref="T75">T74</f>
        <v>0</v>
      </c>
      <c r="X75" s="1024"/>
      <c r="Z75" s="1008"/>
      <c r="AB75" s="167" t="str">
        <f t="shared" si="3"/>
        <v>2070 год</v>
      </c>
      <c r="AC75" s="909"/>
      <c r="AD75" s="911"/>
      <c r="AE75" s="912"/>
      <c r="AF75" s="912"/>
      <c r="AG75" s="911"/>
      <c r="AH75" s="911"/>
      <c r="AI75" s="911"/>
      <c r="AJ75" s="911"/>
      <c r="AK75" s="913"/>
      <c r="AL75" s="303"/>
      <c r="AO75" s="694" cm="1">
        <f t="array" ref="AO75">K75</f>
        <v>2070</v>
      </c>
    </row>
    <row r="76" spans="2:41" s="72" customFormat="1" ht="14.65" hidden="1" customHeight="1">
      <c r="B76" s="340" t="b">
        <f t="shared" si="2"/>
        <v>0</v>
      </c>
      <c r="E76" s="505">
        <v>15</v>
      </c>
      <c r="F76" s="3" cm="1">
        <f t="array" aca="1" ref="F76" ca="1">OFFSET(E76,-1,1)</f>
        <v>0</v>
      </c>
      <c r="K76" s="72">
        <f>first_year+45</f>
        <v>2071</v>
      </c>
      <c r="T76" s="351" t="b" cm="1">
        <f t="array" ref="T76">T75</f>
        <v>0</v>
      </c>
      <c r="X76" s="1024"/>
      <c r="Z76" s="1008"/>
      <c r="AB76" s="167" t="str">
        <f t="shared" si="3"/>
        <v>2071 год</v>
      </c>
      <c r="AC76" s="909"/>
      <c r="AD76" s="911"/>
      <c r="AE76" s="912"/>
      <c r="AF76" s="912"/>
      <c r="AG76" s="911"/>
      <c r="AH76" s="911"/>
      <c r="AI76" s="911"/>
      <c r="AJ76" s="911"/>
      <c r="AK76" s="913"/>
      <c r="AL76" s="303"/>
      <c r="AO76" s="694" cm="1">
        <f t="array" ref="AO76">K76</f>
        <v>2071</v>
      </c>
    </row>
    <row r="77" spans="2:41" s="72" customFormat="1" ht="14.65" hidden="1" customHeight="1">
      <c r="B77" s="340" t="b">
        <f t="shared" si="2"/>
        <v>0</v>
      </c>
      <c r="E77" s="505">
        <v>15</v>
      </c>
      <c r="F77" s="3" cm="1">
        <f t="array" aca="1" ref="F77" ca="1">OFFSET(E77,-1,1)</f>
        <v>0</v>
      </c>
      <c r="K77" s="72">
        <f>first_year+46</f>
        <v>2072</v>
      </c>
      <c r="T77" s="351" t="b" cm="1">
        <f t="array" ref="T77">T76</f>
        <v>0</v>
      </c>
      <c r="X77" s="1024"/>
      <c r="Z77" s="1008"/>
      <c r="AB77" s="167" t="str">
        <f t="shared" si="3"/>
        <v>2072 год</v>
      </c>
      <c r="AC77" s="909"/>
      <c r="AD77" s="911"/>
      <c r="AE77" s="912"/>
      <c r="AF77" s="912"/>
      <c r="AG77" s="911"/>
      <c r="AH77" s="911"/>
      <c r="AI77" s="911"/>
      <c r="AJ77" s="911"/>
      <c r="AK77" s="913"/>
      <c r="AL77" s="303"/>
      <c r="AO77" s="694" cm="1">
        <f t="array" ref="AO77">K77</f>
        <v>2072</v>
      </c>
    </row>
    <row r="78" spans="2:41" s="72" customFormat="1" ht="14.65" hidden="1" customHeight="1">
      <c r="B78" s="340" t="b">
        <f t="shared" si="2"/>
        <v>0</v>
      </c>
      <c r="E78" s="505">
        <v>15</v>
      </c>
      <c r="F78" s="3" cm="1">
        <f t="array" aca="1" ref="F78" ca="1">OFFSET(E78,-1,1)</f>
        <v>0</v>
      </c>
      <c r="K78" s="72">
        <f>first_year+47</f>
        <v>2073</v>
      </c>
      <c r="T78" s="351" t="b" cm="1">
        <f t="array" ref="T78">T77</f>
        <v>0</v>
      </c>
      <c r="X78" s="1024"/>
      <c r="Z78" s="1008"/>
      <c r="AB78" s="167" t="str">
        <f t="shared" si="3"/>
        <v>2073 год</v>
      </c>
      <c r="AC78" s="909"/>
      <c r="AD78" s="911"/>
      <c r="AE78" s="912"/>
      <c r="AF78" s="912"/>
      <c r="AG78" s="911"/>
      <c r="AH78" s="911"/>
      <c r="AI78" s="911"/>
      <c r="AJ78" s="911"/>
      <c r="AK78" s="913"/>
      <c r="AL78" s="303"/>
      <c r="AO78" s="694" cm="1">
        <f t="array" ref="AO78">K78</f>
        <v>2073</v>
      </c>
    </row>
    <row r="79" spans="2:41" s="72" customFormat="1" ht="14.65" hidden="1" customHeight="1">
      <c r="B79" s="340" t="b">
        <f t="shared" si="2"/>
        <v>0</v>
      </c>
      <c r="E79" s="505">
        <v>15</v>
      </c>
      <c r="F79" s="3" cm="1">
        <f t="array" aca="1" ref="F79" ca="1">OFFSET(E79,-1,1)</f>
        <v>0</v>
      </c>
      <c r="K79" s="72">
        <f>first_year+48</f>
        <v>2074</v>
      </c>
      <c r="T79" s="351" t="b" cm="1">
        <f t="array" ref="T79">T78</f>
        <v>0</v>
      </c>
      <c r="X79" s="1024"/>
      <c r="Z79" s="1008"/>
      <c r="AB79" s="167" t="str">
        <f t="shared" si="3"/>
        <v>2074 год</v>
      </c>
      <c r="AC79" s="909"/>
      <c r="AD79" s="911"/>
      <c r="AE79" s="912"/>
      <c r="AF79" s="912"/>
      <c r="AG79" s="911"/>
      <c r="AH79" s="911"/>
      <c r="AI79" s="911"/>
      <c r="AJ79" s="911"/>
      <c r="AK79" s="913"/>
      <c r="AL79" s="303"/>
      <c r="AO79" s="694" cm="1">
        <f t="array" ref="AO79">K79</f>
        <v>2074</v>
      </c>
    </row>
    <row r="80" spans="2:41" s="72" customFormat="1" ht="14.65" hidden="1" customHeight="1">
      <c r="B80" s="340" t="b">
        <f t="shared" si="2"/>
        <v>0</v>
      </c>
      <c r="E80" s="505">
        <v>15</v>
      </c>
      <c r="F80" s="3" cm="1">
        <f t="array" aca="1" ref="F80" ca="1">OFFSET(E80,-1,1)</f>
        <v>0</v>
      </c>
      <c r="K80" s="72">
        <f>first_year+49</f>
        <v>2075</v>
      </c>
      <c r="T80" s="351" t="b" cm="1">
        <f t="array" ref="T80">T79</f>
        <v>0</v>
      </c>
      <c r="X80" s="1024"/>
      <c r="Z80" s="1008"/>
      <c r="AB80" s="167" t="str">
        <f t="shared" si="3"/>
        <v>2075 год</v>
      </c>
      <c r="AC80" s="909"/>
      <c r="AD80" s="911"/>
      <c r="AE80" s="912"/>
      <c r="AF80" s="912"/>
      <c r="AG80" s="911"/>
      <c r="AH80" s="911"/>
      <c r="AI80" s="911"/>
      <c r="AJ80" s="911"/>
      <c r="AK80" s="913"/>
      <c r="AL80" s="303"/>
      <c r="AO80" s="694" cm="1">
        <f t="array" ref="AO80">K80</f>
        <v>2075</v>
      </c>
    </row>
    <row r="81" spans="1:43" s="394" customFormat="1" ht="23.45" customHeight="1">
      <c r="A81" s="38"/>
      <c r="B81" s="43"/>
      <c r="C81" s="38"/>
      <c r="D81" s="38"/>
      <c r="E81" s="446">
        <v>15</v>
      </c>
      <c r="F81" s="17" t="str" cm="1">
        <f t="array" ref="F81">X81</f>
        <v>1</v>
      </c>
      <c r="G81" s="38"/>
      <c r="H81" s="38"/>
      <c r="I81" s="38"/>
      <c r="J81" s="38"/>
      <c r="K81" s="38"/>
      <c r="L81" s="38"/>
      <c r="M81" s="38"/>
      <c r="N81" s="38"/>
      <c r="O81" s="38"/>
      <c r="P81" s="38"/>
      <c r="Q81" s="38"/>
      <c r="R81" s="38"/>
      <c r="S81" s="38"/>
      <c r="T81" s="351" t="b">
        <f>X81&gt;0</f>
        <v>1</v>
      </c>
      <c r="U81" s="38"/>
      <c r="V81" s="38" t="str" cm="1">
        <f t="array" ref="V81">'Калькуляция (МИ корр)'!$AB$171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81" s="38"/>
      <c r="X81" s="1024" t="s">
        <v>277</v>
      </c>
      <c r="Y81" s="38"/>
      <c r="Z81" s="1008"/>
      <c r="AA81" s="38"/>
      <c r="AB81" s="279" t="str" cm="1">
        <f t="array" ref="AB81">'Калькуляция (МИ корр)'!$AB$171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81" s="560"/>
      <c r="AD81" s="560"/>
      <c r="AE81" s="560"/>
      <c r="AF81" s="560"/>
      <c r="AG81" s="560"/>
      <c r="AH81" s="560"/>
      <c r="AI81" s="560"/>
      <c r="AJ81" s="560"/>
      <c r="AK81" s="560"/>
      <c r="AL81" s="302"/>
      <c r="AM81" s="38"/>
      <c r="AN81" s="38"/>
      <c r="AO81" s="654"/>
      <c r="AP81" s="38"/>
      <c r="AQ81" s="38"/>
    </row>
    <row r="82" spans="1:43" s="914" customFormat="1" ht="22.7" customHeight="1">
      <c r="A82" s="72"/>
      <c r="B82" s="340" t="b">
        <f t="shared" ref="B82:B113" si="4">K82&lt;first_year+PERIOD_LENGTH</f>
        <v>1</v>
      </c>
      <c r="C82" s="72"/>
      <c r="D82" s="72"/>
      <c r="E82" s="505">
        <v>15</v>
      </c>
      <c r="F82" s="3" t="str" cm="1">
        <f t="array" aca="1" ref="F82" ca="1">OFFSET(E82,-1,1)</f>
        <v>1</v>
      </c>
      <c r="G82" s="72"/>
      <c r="H82" s="72"/>
      <c r="I82" s="72"/>
      <c r="J82" s="72"/>
      <c r="K82" s="72" cm="1">
        <f t="array" ref="K82">first_year</f>
        <v>2026</v>
      </c>
      <c r="L82" s="72"/>
      <c r="M82" s="72"/>
      <c r="N82" s="72"/>
      <c r="O82" s="72"/>
      <c r="P82" s="72"/>
      <c r="Q82" s="72"/>
      <c r="R82" s="72"/>
      <c r="S82" s="72"/>
      <c r="T82" s="351" t="b" cm="1">
        <f t="array" ref="T82">T81</f>
        <v>1</v>
      </c>
      <c r="U82" s="72"/>
      <c r="V82" s="72"/>
      <c r="W82" s="72"/>
      <c r="X82" s="1024"/>
      <c r="Y82" s="72"/>
      <c r="Z82" s="1008"/>
      <c r="AA82" s="72"/>
      <c r="AB82" s="561" t="str">
        <f t="shared" ref="AB82:AB113" si="5">K82&amp;" год"</f>
        <v>2026 год</v>
      </c>
      <c r="AC82" s="608">
        <f ca="1">IF(god=first_year,SUMIFS('Калькуляция (МИ)'!AT$26:AT$315,'Калькуляция (МИ)'!F$26:F$315,F82,'Калькуляция (МИ)'!AC$26:AC$315,"операционные расходы"),IF(god&lt;first_year+3,IFERROR(SUMIFS(INDEX('Калькуляция (МИ корр)'!$AE$25:$BC$169,,MATCH(K82&amp;"Принято органом регулирования",'Калькуляция (МИ корр)'!$AE$8:$BC$8,0)),'Калькуляция (МИ корр)'!$F$25:$F$169,F82,'Калькуляция (МИ корр)'!$AC$25:$AC$169,"Операционные расходы"),0),""))</f>
        <v>201842.94417498671</v>
      </c>
      <c r="AD82" s="563">
        <f ca="1">IFERROR(SUMIFS(INDEX(Сценарии!$AE$25:$BF$82,,MATCH($K82&amp;"Принято органом регулирования",Сценарии!$AE$8:$BF$8,0)),Сценарии!$F$25:$F$82,$F82,Сценарии!$AC$25:$AC$82,"Индекс эффективности операционных расходов"),0)</f>
        <v>0</v>
      </c>
      <c r="AE82" s="562"/>
      <c r="AF82" s="562" cm="1">
        <f t="array" ref="AF82">Баланс!AS134</f>
        <v>24.410000020398375</v>
      </c>
      <c r="AG82" s="563">
        <f ca="1">IFERROR(SUMIFS(INDEX(Electricity_LOAD_1,,MATCH($K82&amp;"Принято органом регулирования",ЭЭ!$AE$8:$BB$8,0)),ЭЭ!$F$25:$F$74,$F82,ЭЭ!$AC$25:$AC$74,"Удельный расход электроэнергии"),0)</f>
        <v>2.7099996015497028</v>
      </c>
      <c r="AH82" s="563">
        <f ca="1">IFERROR(SUMIFS(INDEX(Electricity_LOAD_1,,MATCH($K82&amp;"Принято органом регулирования",ЭЭ!$AE$8:$BB$8,0)),ЭЭ!$F$25:$F$74,$F82,ЭЭ!$AC$25:$AC$74,"Удельный расход электроэнергии"),0)</f>
        <v>2.7099996015497028</v>
      </c>
      <c r="AI82" s="563">
        <f ca="1">IFERROR(SUMIFS(INDEX(Electricity_LOAD_1,,MATCH($K82&amp;"Принято органом регулирования",ЭЭ!$AE$8:$BB$8,0)),ЭЭ!$F$25:$F$74,$F82,ЭЭ!$AC$25:$AC$74,"Удельный расход электроэнергии"),0)</f>
        <v>2.7099996015497028</v>
      </c>
      <c r="AJ82" s="915"/>
      <c r="AK82" s="915"/>
      <c r="AL82" s="303"/>
      <c r="AM82" s="72" t="s">
        <v>2303</v>
      </c>
      <c r="AN82" s="72"/>
      <c r="AO82" s="694" cm="1">
        <f t="array" ref="AO82">K82</f>
        <v>2026</v>
      </c>
      <c r="AP82" s="72"/>
      <c r="AQ82" s="72"/>
    </row>
    <row r="83" spans="1:43" s="914" customFormat="1" ht="22.7" customHeight="1">
      <c r="A83" s="72"/>
      <c r="B83" s="340" t="b">
        <f t="shared" si="4"/>
        <v>1</v>
      </c>
      <c r="C83" s="72"/>
      <c r="D83" s="72"/>
      <c r="E83" s="505">
        <v>15</v>
      </c>
      <c r="F83" s="3" t="str" cm="1">
        <f t="array" aca="1" ref="F83" ca="1">OFFSET(E83,-1,1)</f>
        <v>1</v>
      </c>
      <c r="G83" s="72"/>
      <c r="H83" s="72"/>
      <c r="I83" s="72"/>
      <c r="J83" s="72"/>
      <c r="K83" s="72">
        <f>first_year+1</f>
        <v>2027</v>
      </c>
      <c r="L83" s="72"/>
      <c r="M83" s="72"/>
      <c r="N83" s="72"/>
      <c r="O83" s="72"/>
      <c r="P83" s="72"/>
      <c r="Q83" s="72"/>
      <c r="R83" s="72"/>
      <c r="S83" s="72"/>
      <c r="T83" s="351" t="b" cm="1">
        <f t="array" ref="T83">T82</f>
        <v>1</v>
      </c>
      <c r="U83" s="72"/>
      <c r="V83" s="72"/>
      <c r="W83" s="72"/>
      <c r="X83" s="1024"/>
      <c r="Y83" s="72"/>
      <c r="Z83" s="1008"/>
      <c r="AA83" s="72"/>
      <c r="AB83" s="561" t="str">
        <f t="shared" si="5"/>
        <v>2027 год</v>
      </c>
      <c r="AC83" s="562"/>
      <c r="AD83" s="563">
        <f ca="1">IFERROR(SUMIFS(INDEX(Сценарии!$AE$25:$BF$82,,MATCH($K83&amp;"Принято органом регулирования",Сценарии!$AE$8:$BF$8,0)),Сценарии!$F$25:$F$82,$F83,Сценарии!$AC$25:$AC$82,"Индекс эффективности операционных расходов"),0)</f>
        <v>1</v>
      </c>
      <c r="AE83" s="562"/>
      <c r="AF83" s="562" cm="1">
        <f t="array" ref="AF83">Баланс!AT134</f>
        <v>24.410000020398375</v>
      </c>
      <c r="AG83" s="563">
        <f ca="1">IFERROR(SUMIFS(INDEX(Electricity_LOAD_1,,MATCH($K83&amp;"Принято органом регулирования",ЭЭ!$AE$8:$BB$8,0)),ЭЭ!$F$25:$F$74,$F83,ЭЭ!$AC$25:$AC$74,"Удельный расход электроэнергии"),0)</f>
        <v>2.7099996015497028</v>
      </c>
      <c r="AH83" s="563">
        <f ca="1">IFERROR(SUMIFS(INDEX(Electricity_LOAD_1,,MATCH($K83&amp;"Принято органом регулирования",ЭЭ!$AE$8:$BB$8,0)),ЭЭ!$F$25:$F$74,$F83,ЭЭ!$AC$25:$AC$74,"Удельный расход электроэнергии"),0)</f>
        <v>2.7099996015497028</v>
      </c>
      <c r="AI83" s="563">
        <f ca="1">IFERROR(SUMIFS(INDEX(Electricity_LOAD_1,,MATCH($K83&amp;"Принято органом регулирования",ЭЭ!$AE$8:$BB$8,0)),ЭЭ!$F$25:$F$74,$F83,ЭЭ!$AC$25:$AC$74,"Удельный расход электроэнергии"),0)</f>
        <v>2.7099996015497028</v>
      </c>
      <c r="AJ83" s="915"/>
      <c r="AK83" s="915"/>
      <c r="AL83" s="303"/>
      <c r="AM83" s="72" t="s">
        <v>2303</v>
      </c>
      <c r="AN83" s="72"/>
      <c r="AO83" s="694" cm="1">
        <f t="array" ref="AO83">K83</f>
        <v>2027</v>
      </c>
      <c r="AP83" s="72"/>
      <c r="AQ83" s="72"/>
    </row>
    <row r="84" spans="1:43" s="914" customFormat="1" ht="25.7" customHeight="1">
      <c r="A84" s="72"/>
      <c r="B84" s="340" t="b">
        <f t="shared" si="4"/>
        <v>1</v>
      </c>
      <c r="C84" s="72"/>
      <c r="D84" s="72"/>
      <c r="E84" s="505">
        <v>15</v>
      </c>
      <c r="F84" s="3" t="str" cm="1">
        <f t="array" aca="1" ref="F84" ca="1">OFFSET(E84,-1,1)</f>
        <v>1</v>
      </c>
      <c r="G84" s="72"/>
      <c r="H84" s="72"/>
      <c r="I84" s="72"/>
      <c r="J84" s="72"/>
      <c r="K84" s="72">
        <f>first_year+2</f>
        <v>2028</v>
      </c>
      <c r="L84" s="72"/>
      <c r="M84" s="72"/>
      <c r="N84" s="72"/>
      <c r="O84" s="72"/>
      <c r="P84" s="72"/>
      <c r="Q84" s="72"/>
      <c r="R84" s="72"/>
      <c r="S84" s="72"/>
      <c r="T84" s="351" t="b" cm="1">
        <f t="array" ref="T84">T83</f>
        <v>1</v>
      </c>
      <c r="U84" s="72"/>
      <c r="V84" s="72"/>
      <c r="W84" s="72"/>
      <c r="X84" s="1024"/>
      <c r="Y84" s="72"/>
      <c r="Z84" s="1008"/>
      <c r="AA84" s="72"/>
      <c r="AB84" s="561" t="str">
        <f t="shared" si="5"/>
        <v>2028 год</v>
      </c>
      <c r="AC84" s="562"/>
      <c r="AD84" s="563">
        <f ca="1">IFERROR(SUMIFS(INDEX(Сценарии!$AE$25:$BF$82,,MATCH($K84&amp;"Принято органом регулирования",Сценарии!$AE$8:$BF$8,0)),Сценарии!$F$25:$F$82,$F84,Сценарии!$AC$25:$AC$82,"Индекс эффективности операционных расходов"),0)</f>
        <v>1</v>
      </c>
      <c r="AE84" s="562"/>
      <c r="AF84" s="562" cm="1">
        <f t="array" ref="AF84">Баланс!AU134</f>
        <v>24.410000020398375</v>
      </c>
      <c r="AG84" s="563">
        <f ca="1">IFERROR(SUMIFS(INDEX(Electricity_LOAD_1,,MATCH($K84&amp;"Принято органом регулирования",ЭЭ!$AE$8:$BB$8,0)),ЭЭ!$F$25:$F$74,$F84,ЭЭ!$AC$25:$AC$74,"Удельный расход электроэнергии"),0)</f>
        <v>2.7099996015497028</v>
      </c>
      <c r="AH84" s="563">
        <f ca="1">IFERROR(SUMIFS(INDEX(Electricity_LOAD_1,,MATCH($K84&amp;"Принято органом регулирования",ЭЭ!$AE$8:$BB$8,0)),ЭЭ!$F$25:$F$74,$F84,ЭЭ!$AC$25:$AC$74,"Удельный расход электроэнергии"),0)</f>
        <v>2.7099996015497028</v>
      </c>
      <c r="AI84" s="563">
        <f ca="1">IFERROR(SUMIFS(INDEX(Electricity_LOAD_1,,MATCH($K84&amp;"Принято органом регулирования",ЭЭ!$AE$8:$BB$8,0)),ЭЭ!$F$25:$F$74,$F84,ЭЭ!$AC$25:$AC$74,"Удельный расход электроэнергии"),0)</f>
        <v>2.7099996015497028</v>
      </c>
      <c r="AJ84" s="915"/>
      <c r="AK84" s="915"/>
      <c r="AL84" s="303"/>
      <c r="AM84" s="72" t="s">
        <v>2303</v>
      </c>
      <c r="AN84" s="72"/>
      <c r="AO84" s="694" cm="1">
        <f t="array" ref="AO84">K84</f>
        <v>2028</v>
      </c>
      <c r="AP84" s="72"/>
      <c r="AQ84" s="72"/>
    </row>
    <row r="85" spans="1:43" s="914" customFormat="1" ht="14.25" hidden="1" customHeight="1">
      <c r="A85" s="72"/>
      <c r="B85" s="340" t="b">
        <f t="shared" si="4"/>
        <v>0</v>
      </c>
      <c r="C85" s="72"/>
      <c r="D85" s="72"/>
      <c r="E85" s="505">
        <v>15</v>
      </c>
      <c r="F85" s="3" t="str" cm="1">
        <f t="array" aca="1" ref="F85" ca="1">OFFSET(E85,-1,1)</f>
        <v>1</v>
      </c>
      <c r="G85" s="72"/>
      <c r="H85" s="72"/>
      <c r="I85" s="72"/>
      <c r="J85" s="72"/>
      <c r="K85" s="72">
        <f>first_year+3</f>
        <v>2029</v>
      </c>
      <c r="L85" s="72"/>
      <c r="M85" s="72"/>
      <c r="N85" s="72"/>
      <c r="O85" s="72"/>
      <c r="P85" s="72"/>
      <c r="Q85" s="72"/>
      <c r="R85" s="72"/>
      <c r="S85" s="72"/>
      <c r="T85" s="351" t="b" cm="1">
        <f t="array" ref="T85">T84</f>
        <v>1</v>
      </c>
      <c r="U85" s="72"/>
      <c r="V85" s="72"/>
      <c r="W85" s="72"/>
      <c r="X85" s="1024"/>
      <c r="Y85" s="72"/>
      <c r="Z85" s="1008"/>
      <c r="AA85" s="72"/>
      <c r="AB85" s="561" t="str">
        <f t="shared" si="5"/>
        <v>2029 год</v>
      </c>
      <c r="AC85" s="909"/>
      <c r="AD85" s="908">
        <f ca="1">IFERROR(SUMIFS(INDEX(Сценарии!$AE$25:$BF$82,,MATCH($K85&amp;"Принято органом регулирования",Сценарии!$AE$8:$BF$8,0)),Сценарии!$F$25:$F$82,$F85,Сценарии!$AC$25:$AC$82,"Индекс эффективности операционных расходов"),0)</f>
        <v>0</v>
      </c>
      <c r="AE85" s="909"/>
      <c r="AF85" s="909">
        <f ca="1">IFERROR(SUMIFS(INDEX(Баланс!$AE$25:$BB$209,,MATCH($K85&amp;"Принято органом регулирования",Баланс!$AE$8:$BB$8,0)),Баланс!$F$25:$F$209,$F85,Баланс!$AC$24:$AC$209,"Уровень потерь воды"),0)</f>
        <v>0</v>
      </c>
      <c r="AG85" s="908">
        <f ca="1">IFERROR(SUMIFS(INDEX(Electricity_LOAD_1,,MATCH($K85&amp;"Принято органом регулирования",ЭЭ!$AE$8:$BB$8,0)),ЭЭ!$F$25:$F$74,$F85,ЭЭ!$AC$25:$AC$74,"Удельный расход электроэнергии"),0)</f>
        <v>0</v>
      </c>
      <c r="AH85" s="908">
        <f ca="1">IFERROR(SUMIFS(INDEX(Electricity_LOAD_1,,MATCH($K85&amp;"Принято органом регулирования",ЭЭ!$AE$8:$BB$8,0)),ЭЭ!$F$25:$F$74,$F85,ЭЭ!$AC$25:$AC$74,"Удельный расход электроэнергии"),0)</f>
        <v>0</v>
      </c>
      <c r="AI85" s="908">
        <f ca="1">IFERROR(SUMIFS(INDEX(Electricity_LOAD_1,,MATCH($K85&amp;"Принято органом регулирования",ЭЭ!$AE$8:$BB$8,0)),ЭЭ!$F$25:$F$74,$F85,ЭЭ!$AC$25:$AC$74,"Удельный расход электроэнергии"),0)</f>
        <v>0</v>
      </c>
      <c r="AJ85" s="915"/>
      <c r="AK85" s="915"/>
      <c r="AL85" s="303"/>
      <c r="AM85" s="72" t="s">
        <v>2303</v>
      </c>
      <c r="AN85" s="72"/>
      <c r="AO85" s="694" cm="1">
        <f t="array" ref="AO85">K85</f>
        <v>2029</v>
      </c>
      <c r="AP85" s="72"/>
      <c r="AQ85" s="72"/>
    </row>
    <row r="86" spans="1:43" s="914" customFormat="1" ht="14.25" hidden="1" customHeight="1">
      <c r="A86" s="72"/>
      <c r="B86" s="340" t="b">
        <f t="shared" si="4"/>
        <v>0</v>
      </c>
      <c r="C86" s="72"/>
      <c r="D86" s="72"/>
      <c r="E86" s="505">
        <v>15</v>
      </c>
      <c r="F86" s="3" t="str" cm="1">
        <f t="array" aca="1" ref="F86" ca="1">OFFSET(E86,-1,1)</f>
        <v>1</v>
      </c>
      <c r="G86" s="72"/>
      <c r="H86" s="72"/>
      <c r="I86" s="72"/>
      <c r="J86" s="72"/>
      <c r="K86" s="72">
        <f>first_year+4</f>
        <v>2030</v>
      </c>
      <c r="L86" s="72"/>
      <c r="M86" s="72"/>
      <c r="N86" s="72"/>
      <c r="O86" s="72"/>
      <c r="P86" s="72"/>
      <c r="Q86" s="72"/>
      <c r="R86" s="72"/>
      <c r="S86" s="72"/>
      <c r="T86" s="351" t="b" cm="1">
        <f t="array" ref="T86">T85</f>
        <v>1</v>
      </c>
      <c r="U86" s="72"/>
      <c r="V86" s="72"/>
      <c r="W86" s="72"/>
      <c r="X86" s="1024"/>
      <c r="Y86" s="72"/>
      <c r="Z86" s="1008"/>
      <c r="AA86" s="72"/>
      <c r="AB86" s="561" t="str">
        <f t="shared" si="5"/>
        <v>2030 год</v>
      </c>
      <c r="AC86" s="909"/>
      <c r="AD86" s="908">
        <f ca="1">IFERROR(SUMIFS(INDEX(Сценарии!$AE$25:$BF$82,,MATCH($K86&amp;"Принято органом регулирования",Сценарии!$AE$8:$BF$8,0)),Сценарии!$F$25:$F$82,$F86,Сценарии!$AC$25:$AC$82,"Индекс эффективности операционных расходов"),0)</f>
        <v>0</v>
      </c>
      <c r="AE86" s="909"/>
      <c r="AF86" s="909">
        <f ca="1">IFERROR(SUMIFS(INDEX(Баланс!$AE$25:$BB$209,,MATCH($K86&amp;"Принято органом регулирования",Баланс!$AE$8:$BB$8,0)),Баланс!$F$25:$F$209,$F86,Баланс!$AC$24:$AC$209,"Уровень потерь воды"),0)</f>
        <v>0</v>
      </c>
      <c r="AG86" s="908">
        <f ca="1">IFERROR(SUMIFS(INDEX(Electricity_LOAD_1,,MATCH($K86&amp;"Принято органом регулирования",ЭЭ!$AE$8:$BB$8,0)),ЭЭ!$F$25:$F$74,$F86,ЭЭ!$AC$25:$AC$74,"Удельный расход электроэнергии"),0)</f>
        <v>0</v>
      </c>
      <c r="AH86" s="908">
        <f ca="1">IFERROR(SUMIFS(INDEX(Electricity_LOAD_1,,MATCH($K86&amp;"Принято органом регулирования",ЭЭ!$AE$8:$BB$8,0)),ЭЭ!$F$25:$F$74,$F86,ЭЭ!$AC$25:$AC$74,"Удельный расход электроэнергии"),0)</f>
        <v>0</v>
      </c>
      <c r="AI86" s="908">
        <f ca="1">IFERROR(SUMIFS(INDEX(Electricity_LOAD_1,,MATCH($K86&amp;"Принято органом регулирования",ЭЭ!$AE$8:$BB$8,0)),ЭЭ!$F$25:$F$74,$F86,ЭЭ!$AC$25:$AC$74,"Удельный расход электроэнергии"),0)</f>
        <v>0</v>
      </c>
      <c r="AJ86" s="915"/>
      <c r="AK86" s="915"/>
      <c r="AL86" s="303"/>
      <c r="AM86" s="72" t="s">
        <v>2303</v>
      </c>
      <c r="AN86" s="72"/>
      <c r="AO86" s="694" cm="1">
        <f t="array" ref="AO86">K86</f>
        <v>2030</v>
      </c>
      <c r="AP86" s="72"/>
      <c r="AQ86" s="72"/>
    </row>
    <row r="87" spans="1:43" s="914" customFormat="1" ht="14.25" hidden="1" customHeight="1">
      <c r="A87" s="72"/>
      <c r="B87" s="340" t="b">
        <f t="shared" si="4"/>
        <v>0</v>
      </c>
      <c r="C87" s="72"/>
      <c r="D87" s="72"/>
      <c r="E87" s="505">
        <v>15</v>
      </c>
      <c r="F87" s="3" t="str" cm="1">
        <f t="array" aca="1" ref="F87" ca="1">OFFSET(E87,-1,1)</f>
        <v>1</v>
      </c>
      <c r="G87" s="72"/>
      <c r="H87" s="72"/>
      <c r="I87" s="72"/>
      <c r="J87" s="72"/>
      <c r="K87" s="72">
        <f>first_year+5</f>
        <v>2031</v>
      </c>
      <c r="L87" s="72"/>
      <c r="M87" s="72"/>
      <c r="N87" s="72"/>
      <c r="O87" s="72"/>
      <c r="P87" s="72"/>
      <c r="Q87" s="72"/>
      <c r="R87" s="72"/>
      <c r="S87" s="72"/>
      <c r="T87" s="351" t="b" cm="1">
        <f t="array" ref="T87">T86</f>
        <v>1</v>
      </c>
      <c r="U87" s="72"/>
      <c r="V87" s="72"/>
      <c r="W87" s="72"/>
      <c r="X87" s="1024"/>
      <c r="Y87" s="72"/>
      <c r="Z87" s="1008"/>
      <c r="AA87" s="72"/>
      <c r="AB87" s="561" t="str">
        <f t="shared" si="5"/>
        <v>2031 год</v>
      </c>
      <c r="AC87" s="909"/>
      <c r="AD87" s="908">
        <f ca="1">IFERROR(SUMIFS(INDEX(Сценарии!$AE$25:$BF$82,,MATCH($K87&amp;"Принято органом регулирования",Сценарии!$AE$8:$BF$8,0)),Сценарии!$F$25:$F$82,$F87,Сценарии!$AC$25:$AC$82,"Индекс эффективности операционных расходов"),0)</f>
        <v>0</v>
      </c>
      <c r="AE87" s="909"/>
      <c r="AF87" s="909">
        <f ca="1">IFERROR(SUMIFS(INDEX(Баланс!$AE$25:$BB$209,,MATCH($K87&amp;"Принято органом регулирования",Баланс!$AE$8:$BB$8,0)),Баланс!$F$25:$F$209,$F87,Баланс!$AC$24:$AC$209,"Уровень потерь воды"),0)</f>
        <v>0</v>
      </c>
      <c r="AG87" s="908">
        <f ca="1">IFERROR(SUMIFS(INDEX(Electricity_LOAD_1,,MATCH($K87&amp;"Принято органом регулирования",ЭЭ!$AE$8:$BB$8,0)),ЭЭ!$F$25:$F$74,$F87,ЭЭ!$AC$25:$AC$74,"Удельный расход электроэнергии"),0)</f>
        <v>0</v>
      </c>
      <c r="AH87" s="908">
        <f ca="1">IFERROR(SUMIFS(INDEX(Electricity_LOAD_1,,MATCH($K87&amp;"Принято органом регулирования",ЭЭ!$AE$8:$BB$8,0)),ЭЭ!$F$25:$F$74,$F87,ЭЭ!$AC$25:$AC$74,"Удельный расход электроэнергии"),0)</f>
        <v>0</v>
      </c>
      <c r="AI87" s="908">
        <f ca="1">IFERROR(SUMIFS(INDEX(Electricity_LOAD_1,,MATCH($K87&amp;"Принято органом регулирования",ЭЭ!$AE$8:$BB$8,0)),ЭЭ!$F$25:$F$74,$F87,ЭЭ!$AC$25:$AC$74,"Удельный расход электроэнергии"),0)</f>
        <v>0</v>
      </c>
      <c r="AJ87" s="915"/>
      <c r="AK87" s="915"/>
      <c r="AL87" s="303"/>
      <c r="AM87" s="72" t="s">
        <v>2303</v>
      </c>
      <c r="AN87" s="72"/>
      <c r="AO87" s="694" cm="1">
        <f t="array" ref="AO87">K87</f>
        <v>2031</v>
      </c>
      <c r="AP87" s="72"/>
      <c r="AQ87" s="72"/>
    </row>
    <row r="88" spans="1:43" s="914" customFormat="1" ht="14.25" hidden="1" customHeight="1">
      <c r="A88" s="72"/>
      <c r="B88" s="340" t="b">
        <f t="shared" si="4"/>
        <v>0</v>
      </c>
      <c r="C88" s="72"/>
      <c r="D88" s="72"/>
      <c r="E88" s="505">
        <v>15</v>
      </c>
      <c r="F88" s="3" t="str" cm="1">
        <f t="array" aca="1" ref="F88" ca="1">OFFSET(E88,-1,1)</f>
        <v>1</v>
      </c>
      <c r="G88" s="72"/>
      <c r="H88" s="72"/>
      <c r="I88" s="72"/>
      <c r="J88" s="72"/>
      <c r="K88" s="72">
        <f>first_year+6</f>
        <v>2032</v>
      </c>
      <c r="L88" s="72"/>
      <c r="M88" s="72"/>
      <c r="N88" s="72"/>
      <c r="O88" s="72"/>
      <c r="P88" s="72"/>
      <c r="Q88" s="72"/>
      <c r="R88" s="72"/>
      <c r="S88" s="72"/>
      <c r="T88" s="351" t="b" cm="1">
        <f t="array" ref="T88">T87</f>
        <v>1</v>
      </c>
      <c r="U88" s="72"/>
      <c r="V88" s="72"/>
      <c r="W88" s="72"/>
      <c r="X88" s="1024"/>
      <c r="Y88" s="72"/>
      <c r="Z88" s="1008"/>
      <c r="AA88" s="72"/>
      <c r="AB88" s="561" t="str">
        <f t="shared" si="5"/>
        <v>2032 год</v>
      </c>
      <c r="AC88" s="909"/>
      <c r="AD88" s="908">
        <f ca="1">IFERROR(SUMIFS(INDEX(Сценарии!$AE$25:$BF$82,,MATCH($K88&amp;"Принято органом регулирования",Сценарии!$AE$8:$BF$8,0)),Сценарии!$F$25:$F$82,$F88,Сценарии!$AC$25:$AC$82,"Индекс эффективности операционных расходов"),0)</f>
        <v>0</v>
      </c>
      <c r="AE88" s="909"/>
      <c r="AF88" s="909">
        <f ca="1">IFERROR(SUMIFS(INDEX(Баланс!$AE$25:$BB$209,,MATCH($K88&amp;"Принято органом регулирования",Баланс!$AE$8:$BB$8,0)),Баланс!$F$25:$F$209,$F88,Баланс!$AC$24:$AC$209,"Уровень потерь воды"),0)</f>
        <v>0</v>
      </c>
      <c r="AG88" s="908">
        <f ca="1">IFERROR(SUMIFS(INDEX(Electricity_LOAD_1,,MATCH($K88&amp;"Принято органом регулирования",ЭЭ!$AE$8:$BB$8,0)),ЭЭ!$F$25:$F$74,$F88,ЭЭ!$AC$25:$AC$74,"Удельный расход электроэнергии"),0)</f>
        <v>0</v>
      </c>
      <c r="AH88" s="908">
        <f ca="1">IFERROR(SUMIFS(INDEX(Electricity_LOAD_1,,MATCH($K88&amp;"Принято органом регулирования",ЭЭ!$AE$8:$BB$8,0)),ЭЭ!$F$25:$F$74,$F88,ЭЭ!$AC$25:$AC$74,"Удельный расход электроэнергии"),0)</f>
        <v>0</v>
      </c>
      <c r="AI88" s="908">
        <f ca="1">IFERROR(SUMIFS(INDEX(Electricity_LOAD_1,,MATCH($K88&amp;"Принято органом регулирования",ЭЭ!$AE$8:$BB$8,0)),ЭЭ!$F$25:$F$74,$F88,ЭЭ!$AC$25:$AC$74,"Удельный расход электроэнергии"),0)</f>
        <v>0</v>
      </c>
      <c r="AJ88" s="915"/>
      <c r="AK88" s="915"/>
      <c r="AL88" s="303"/>
      <c r="AM88" s="72" t="s">
        <v>2303</v>
      </c>
      <c r="AN88" s="72"/>
      <c r="AO88" s="694" cm="1">
        <f t="array" ref="AO88">K88</f>
        <v>2032</v>
      </c>
      <c r="AP88" s="72"/>
      <c r="AQ88" s="72"/>
    </row>
    <row r="89" spans="1:43" s="914" customFormat="1" ht="14.25" hidden="1" customHeight="1">
      <c r="A89" s="72"/>
      <c r="B89" s="340" t="b">
        <f t="shared" si="4"/>
        <v>0</v>
      </c>
      <c r="C89" s="72"/>
      <c r="D89" s="72"/>
      <c r="E89" s="505">
        <v>15</v>
      </c>
      <c r="F89" s="3" t="str" cm="1">
        <f t="array" aca="1" ref="F89" ca="1">OFFSET(E89,-1,1)</f>
        <v>1</v>
      </c>
      <c r="G89" s="72"/>
      <c r="H89" s="72"/>
      <c r="I89" s="72"/>
      <c r="J89" s="72"/>
      <c r="K89" s="72">
        <f>first_year+7</f>
        <v>2033</v>
      </c>
      <c r="L89" s="72"/>
      <c r="M89" s="72"/>
      <c r="N89" s="72"/>
      <c r="O89" s="72"/>
      <c r="P89" s="72"/>
      <c r="Q89" s="72"/>
      <c r="R89" s="72"/>
      <c r="S89" s="72"/>
      <c r="T89" s="351" t="b" cm="1">
        <f t="array" ref="T89">T88</f>
        <v>1</v>
      </c>
      <c r="U89" s="72"/>
      <c r="V89" s="72"/>
      <c r="W89" s="72"/>
      <c r="X89" s="1024"/>
      <c r="Y89" s="72"/>
      <c r="Z89" s="1008"/>
      <c r="AA89" s="72"/>
      <c r="AB89" s="561" t="str">
        <f t="shared" si="5"/>
        <v>2033 год</v>
      </c>
      <c r="AC89" s="909"/>
      <c r="AD89" s="908">
        <f ca="1">IFERROR(SUMIFS(INDEX(Сценарии!$AE$25:$BF$82,,MATCH($K89&amp;"Принято органом регулирования",Сценарии!$AE$8:$BF$8,0)),Сценарии!$F$25:$F$82,$F89,Сценарии!$AC$25:$AC$82,"Индекс эффективности операционных расходов"),0)</f>
        <v>0</v>
      </c>
      <c r="AE89" s="909"/>
      <c r="AF89" s="909">
        <f ca="1">IFERROR(SUMIFS(INDEX(Баланс!$AE$25:$BB$209,,MATCH($K89&amp;"Принято органом регулирования",Баланс!$AE$8:$BB$8,0)),Баланс!$F$25:$F$209,$F89,Баланс!$AC$24:$AC$209,"Уровень потерь воды"),0)</f>
        <v>0</v>
      </c>
      <c r="AG89" s="908">
        <f ca="1">IFERROR(SUMIFS(INDEX(Electricity_LOAD_1,,MATCH($K89&amp;"Принято органом регулирования",ЭЭ!$AE$8:$BB$8,0)),ЭЭ!$F$25:$F$74,$F89,ЭЭ!$AC$25:$AC$74,"Удельный расход электроэнергии"),0)</f>
        <v>0</v>
      </c>
      <c r="AH89" s="908">
        <f ca="1">IFERROR(SUMIFS(INDEX(Electricity_LOAD_1,,MATCH($K89&amp;"Принято органом регулирования",ЭЭ!$AE$8:$BB$8,0)),ЭЭ!$F$25:$F$74,$F89,ЭЭ!$AC$25:$AC$74,"Удельный расход электроэнергии"),0)</f>
        <v>0</v>
      </c>
      <c r="AI89" s="908">
        <f ca="1">IFERROR(SUMIFS(INDEX(Electricity_LOAD_1,,MATCH($K89&amp;"Принято органом регулирования",ЭЭ!$AE$8:$BB$8,0)),ЭЭ!$F$25:$F$74,$F89,ЭЭ!$AC$25:$AC$74,"Удельный расход электроэнергии"),0)</f>
        <v>0</v>
      </c>
      <c r="AJ89" s="915"/>
      <c r="AK89" s="915"/>
      <c r="AL89" s="303"/>
      <c r="AM89" s="72" t="s">
        <v>2303</v>
      </c>
      <c r="AN89" s="72"/>
      <c r="AO89" s="694" cm="1">
        <f t="array" ref="AO89">K89</f>
        <v>2033</v>
      </c>
      <c r="AP89" s="72"/>
      <c r="AQ89" s="72"/>
    </row>
    <row r="90" spans="1:43" s="914" customFormat="1" ht="14.25" hidden="1" customHeight="1">
      <c r="A90" s="72"/>
      <c r="B90" s="340" t="b">
        <f t="shared" si="4"/>
        <v>0</v>
      </c>
      <c r="C90" s="72"/>
      <c r="D90" s="72"/>
      <c r="E90" s="505">
        <v>15</v>
      </c>
      <c r="F90" s="3" t="str" cm="1">
        <f t="array" aca="1" ref="F90" ca="1">OFFSET(E90,-1,1)</f>
        <v>1</v>
      </c>
      <c r="G90" s="72"/>
      <c r="H90" s="72"/>
      <c r="I90" s="72"/>
      <c r="J90" s="72"/>
      <c r="K90" s="72">
        <f>first_year+8</f>
        <v>2034</v>
      </c>
      <c r="L90" s="72"/>
      <c r="M90" s="72"/>
      <c r="N90" s="72"/>
      <c r="O90" s="72"/>
      <c r="P90" s="72"/>
      <c r="Q90" s="72"/>
      <c r="R90" s="72"/>
      <c r="S90" s="72"/>
      <c r="T90" s="351" t="b" cm="1">
        <f t="array" ref="T90">T89</f>
        <v>1</v>
      </c>
      <c r="U90" s="72"/>
      <c r="V90" s="72"/>
      <c r="W90" s="72"/>
      <c r="X90" s="1024"/>
      <c r="Y90" s="72"/>
      <c r="Z90" s="1008"/>
      <c r="AA90" s="72"/>
      <c r="AB90" s="561" t="str">
        <f t="shared" si="5"/>
        <v>2034 год</v>
      </c>
      <c r="AC90" s="909"/>
      <c r="AD90" s="908">
        <f ca="1">IFERROR(SUMIFS(INDEX(Сценарии!$AE$25:$BF$82,,MATCH($K90&amp;"Принято органом регулирования",Сценарии!$AE$8:$BF$8,0)),Сценарии!$F$25:$F$82,$F90,Сценарии!$AC$25:$AC$82,"Индекс эффективности операционных расходов"),0)</f>
        <v>0</v>
      </c>
      <c r="AE90" s="909"/>
      <c r="AF90" s="909">
        <f ca="1">IFERROR(SUMIFS(INDEX(Баланс!$AE$25:$BB$209,,MATCH($K90&amp;"Принято органом регулирования",Баланс!$AE$8:$BB$8,0)),Баланс!$F$25:$F$209,$F90,Баланс!$AC$24:$AC$209,"Уровень потерь воды"),0)</f>
        <v>0</v>
      </c>
      <c r="AG90" s="908">
        <f ca="1">IFERROR(SUMIFS(INDEX(Electricity_LOAD_1,,MATCH($K90&amp;"Принято органом регулирования",ЭЭ!$AE$8:$BB$8,0)),ЭЭ!$F$25:$F$74,$F90,ЭЭ!$AC$25:$AC$74,"Удельный расход электроэнергии"),0)</f>
        <v>0</v>
      </c>
      <c r="AH90" s="908">
        <f ca="1">IFERROR(SUMIFS(INDEX(Electricity_LOAD_1,,MATCH($K90&amp;"Принято органом регулирования",ЭЭ!$AE$8:$BB$8,0)),ЭЭ!$F$25:$F$74,$F90,ЭЭ!$AC$25:$AC$74,"Удельный расход электроэнергии"),0)</f>
        <v>0</v>
      </c>
      <c r="AI90" s="908">
        <f ca="1">IFERROR(SUMIFS(INDEX(Electricity_LOAD_1,,MATCH($K90&amp;"Принято органом регулирования",ЭЭ!$AE$8:$BB$8,0)),ЭЭ!$F$25:$F$74,$F90,ЭЭ!$AC$25:$AC$74,"Удельный расход электроэнергии"),0)</f>
        <v>0</v>
      </c>
      <c r="AJ90" s="915"/>
      <c r="AK90" s="915"/>
      <c r="AL90" s="303"/>
      <c r="AM90" s="72" t="s">
        <v>2303</v>
      </c>
      <c r="AN90" s="72"/>
      <c r="AO90" s="694" cm="1">
        <f t="array" ref="AO90">K90</f>
        <v>2034</v>
      </c>
      <c r="AP90" s="72"/>
      <c r="AQ90" s="72"/>
    </row>
    <row r="91" spans="1:43" s="914" customFormat="1" ht="14.25" hidden="1" customHeight="1">
      <c r="A91" s="72"/>
      <c r="B91" s="340" t="b">
        <f t="shared" si="4"/>
        <v>0</v>
      </c>
      <c r="C91" s="72"/>
      <c r="D91" s="72"/>
      <c r="E91" s="505">
        <v>15</v>
      </c>
      <c r="F91" s="3" t="str" cm="1">
        <f t="array" aca="1" ref="F91" ca="1">OFFSET(E91,-1,1)</f>
        <v>1</v>
      </c>
      <c r="G91" s="72"/>
      <c r="H91" s="72"/>
      <c r="I91" s="72"/>
      <c r="J91" s="72"/>
      <c r="K91" s="72">
        <f>first_year+9</f>
        <v>2035</v>
      </c>
      <c r="L91" s="72"/>
      <c r="M91" s="72"/>
      <c r="N91" s="72"/>
      <c r="O91" s="72"/>
      <c r="P91" s="72"/>
      <c r="Q91" s="72"/>
      <c r="R91" s="72"/>
      <c r="S91" s="72"/>
      <c r="T91" s="351" t="b" cm="1">
        <f t="array" ref="T91">T90</f>
        <v>1</v>
      </c>
      <c r="U91" s="72"/>
      <c r="V91" s="72"/>
      <c r="W91" s="72"/>
      <c r="X91" s="1024"/>
      <c r="Y91" s="72"/>
      <c r="Z91" s="1008"/>
      <c r="AA91" s="72"/>
      <c r="AB91" s="561" t="str">
        <f t="shared" si="5"/>
        <v>2035 год</v>
      </c>
      <c r="AC91" s="909"/>
      <c r="AD91" s="908">
        <f ca="1">IFERROR(SUMIFS(INDEX(Сценарии!$AE$25:$BF$82,,MATCH($K91&amp;"Принято органом регулирования",Сценарии!$AE$8:$BF$8,0)),Сценарии!$F$25:$F$82,$F91,Сценарии!$AC$25:$AC$82,"Индекс эффективности операционных расходов"),0)</f>
        <v>0</v>
      </c>
      <c r="AE91" s="909"/>
      <c r="AF91" s="909">
        <f ca="1">IFERROR(SUMIFS(INDEX(Баланс!$AE$25:$BB$209,,MATCH($K91&amp;"Принято органом регулирования",Баланс!$AE$8:$BB$8,0)),Баланс!$F$25:$F$209,$F91,Баланс!$AC$24:$AC$209,"Уровень потерь воды"),0)</f>
        <v>0</v>
      </c>
      <c r="AG91" s="908">
        <f ca="1">IFERROR(SUMIFS(INDEX(Electricity_LOAD_1,,MATCH($K91&amp;"Принято органом регулирования",ЭЭ!$AE$8:$BB$8,0)),ЭЭ!$F$25:$F$74,$F91,ЭЭ!$AC$25:$AC$74,"Удельный расход электроэнергии"),0)</f>
        <v>0</v>
      </c>
      <c r="AH91" s="908">
        <f ca="1">IFERROR(SUMIFS(INDEX(Electricity_LOAD_1,,MATCH($K91&amp;"Принято органом регулирования",ЭЭ!$AE$8:$BB$8,0)),ЭЭ!$F$25:$F$74,$F91,ЭЭ!$AC$25:$AC$74,"Удельный расход электроэнергии"),0)</f>
        <v>0</v>
      </c>
      <c r="AI91" s="908">
        <f ca="1">IFERROR(SUMIFS(INDEX(Electricity_LOAD_1,,MATCH($K91&amp;"Принято органом регулирования",ЭЭ!$AE$8:$BB$8,0)),ЭЭ!$F$25:$F$74,$F91,ЭЭ!$AC$25:$AC$74,"Удельный расход электроэнергии"),0)</f>
        <v>0</v>
      </c>
      <c r="AJ91" s="915"/>
      <c r="AK91" s="915"/>
      <c r="AL91" s="303"/>
      <c r="AM91" s="72" t="s">
        <v>2303</v>
      </c>
      <c r="AN91" s="72"/>
      <c r="AO91" s="694" cm="1">
        <f t="array" ref="AO91">K91</f>
        <v>2035</v>
      </c>
      <c r="AP91" s="72"/>
      <c r="AQ91" s="72"/>
    </row>
    <row r="92" spans="1:43" s="914" customFormat="1" ht="14.25" hidden="1" customHeight="1">
      <c r="A92" s="72"/>
      <c r="B92" s="340" t="b">
        <f t="shared" si="4"/>
        <v>0</v>
      </c>
      <c r="C92" s="72"/>
      <c r="D92" s="72"/>
      <c r="E92" s="505">
        <v>15</v>
      </c>
      <c r="F92" s="3" t="str" cm="1">
        <f t="array" aca="1" ref="F92" ca="1">OFFSET(E92,-1,1)</f>
        <v>1</v>
      </c>
      <c r="G92" s="72"/>
      <c r="H92" s="72"/>
      <c r="I92" s="72"/>
      <c r="J92" s="72"/>
      <c r="K92" s="72">
        <f>first_year+10</f>
        <v>2036</v>
      </c>
      <c r="L92" s="72"/>
      <c r="M92" s="72"/>
      <c r="N92" s="72"/>
      <c r="O92" s="72"/>
      <c r="P92" s="72"/>
      <c r="Q92" s="72"/>
      <c r="R92" s="72"/>
      <c r="S92" s="72"/>
      <c r="T92" s="351" t="b" cm="1">
        <f t="array" ref="T92">T91</f>
        <v>1</v>
      </c>
      <c r="U92" s="72"/>
      <c r="V92" s="72"/>
      <c r="W92" s="72"/>
      <c r="X92" s="1024"/>
      <c r="Y92" s="72"/>
      <c r="Z92" s="1008"/>
      <c r="AA92" s="72"/>
      <c r="AB92" s="561" t="str">
        <f t="shared" si="5"/>
        <v>2036 год</v>
      </c>
      <c r="AC92" s="909"/>
      <c r="AD92" s="908"/>
      <c r="AE92" s="909"/>
      <c r="AF92" s="909"/>
      <c r="AG92" s="908"/>
      <c r="AH92" s="908"/>
      <c r="AI92" s="908"/>
      <c r="AJ92" s="915"/>
      <c r="AK92" s="916"/>
      <c r="AL92" s="303"/>
      <c r="AM92" s="72"/>
      <c r="AN92" s="72"/>
      <c r="AO92" s="694" cm="1">
        <f t="array" ref="AO92">K92</f>
        <v>2036</v>
      </c>
      <c r="AP92" s="72"/>
      <c r="AQ92" s="72"/>
    </row>
    <row r="93" spans="1:43" s="914" customFormat="1" ht="14.25" hidden="1" customHeight="1">
      <c r="A93" s="72"/>
      <c r="B93" s="340" t="b">
        <f t="shared" si="4"/>
        <v>0</v>
      </c>
      <c r="C93" s="72"/>
      <c r="D93" s="72"/>
      <c r="E93" s="505">
        <v>15</v>
      </c>
      <c r="F93" s="3" t="str" cm="1">
        <f t="array" aca="1" ref="F93" ca="1">OFFSET(E93,-1,1)</f>
        <v>1</v>
      </c>
      <c r="G93" s="72"/>
      <c r="H93" s="72"/>
      <c r="I93" s="72"/>
      <c r="J93" s="72"/>
      <c r="K93" s="72">
        <f>first_year+11</f>
        <v>2037</v>
      </c>
      <c r="L93" s="72"/>
      <c r="M93" s="72"/>
      <c r="N93" s="72"/>
      <c r="O93" s="72"/>
      <c r="P93" s="72"/>
      <c r="Q93" s="72"/>
      <c r="R93" s="72"/>
      <c r="S93" s="72"/>
      <c r="T93" s="351" t="b" cm="1">
        <f t="array" ref="T93">T92</f>
        <v>1</v>
      </c>
      <c r="U93" s="72"/>
      <c r="V93" s="72"/>
      <c r="W93" s="72"/>
      <c r="X93" s="1024"/>
      <c r="Y93" s="72"/>
      <c r="Z93" s="1008"/>
      <c r="AA93" s="72"/>
      <c r="AB93" s="167" t="str">
        <f t="shared" si="5"/>
        <v>2037 год</v>
      </c>
      <c r="AC93" s="909"/>
      <c r="AD93" s="911"/>
      <c r="AE93" s="912"/>
      <c r="AF93" s="912"/>
      <c r="AG93" s="911"/>
      <c r="AH93" s="911"/>
      <c r="AI93" s="911"/>
      <c r="AJ93" s="917"/>
      <c r="AK93" s="918"/>
      <c r="AL93" s="303"/>
      <c r="AM93" s="72"/>
      <c r="AN93" s="72"/>
      <c r="AO93" s="694" cm="1">
        <f t="array" ref="AO93">K93</f>
        <v>2037</v>
      </c>
      <c r="AP93" s="72"/>
      <c r="AQ93" s="72"/>
    </row>
    <row r="94" spans="1:43" s="914" customFormat="1" ht="14.25" hidden="1" customHeight="1">
      <c r="A94" s="72"/>
      <c r="B94" s="340" t="b">
        <f t="shared" si="4"/>
        <v>0</v>
      </c>
      <c r="C94" s="72"/>
      <c r="D94" s="72"/>
      <c r="E94" s="505">
        <v>15</v>
      </c>
      <c r="F94" s="3" t="str" cm="1">
        <f t="array" aca="1" ref="F94" ca="1">OFFSET(E94,-1,1)</f>
        <v>1</v>
      </c>
      <c r="G94" s="72"/>
      <c r="H94" s="72"/>
      <c r="I94" s="72"/>
      <c r="J94" s="72"/>
      <c r="K94" s="72">
        <f>first_year+12</f>
        <v>2038</v>
      </c>
      <c r="L94" s="72"/>
      <c r="M94" s="72"/>
      <c r="N94" s="72"/>
      <c r="O94" s="72"/>
      <c r="P94" s="72"/>
      <c r="Q94" s="72"/>
      <c r="R94" s="72"/>
      <c r="S94" s="72"/>
      <c r="T94" s="351" t="b" cm="1">
        <f t="array" ref="T94">T93</f>
        <v>1</v>
      </c>
      <c r="U94" s="72"/>
      <c r="V94" s="72"/>
      <c r="W94" s="72"/>
      <c r="X94" s="1024"/>
      <c r="Y94" s="72"/>
      <c r="Z94" s="1008"/>
      <c r="AA94" s="72"/>
      <c r="AB94" s="167" t="str">
        <f t="shared" si="5"/>
        <v>2038 год</v>
      </c>
      <c r="AC94" s="909"/>
      <c r="AD94" s="911"/>
      <c r="AE94" s="912"/>
      <c r="AF94" s="912"/>
      <c r="AG94" s="911"/>
      <c r="AH94" s="911"/>
      <c r="AI94" s="911"/>
      <c r="AJ94" s="917"/>
      <c r="AK94" s="918"/>
      <c r="AL94" s="303"/>
      <c r="AM94" s="72"/>
      <c r="AN94" s="72"/>
      <c r="AO94" s="694" cm="1">
        <f t="array" ref="AO94">K94</f>
        <v>2038</v>
      </c>
      <c r="AP94" s="72"/>
      <c r="AQ94" s="72"/>
    </row>
    <row r="95" spans="1:43" s="914" customFormat="1" ht="14.25" hidden="1" customHeight="1">
      <c r="A95" s="72"/>
      <c r="B95" s="340" t="b">
        <f t="shared" si="4"/>
        <v>0</v>
      </c>
      <c r="C95" s="72"/>
      <c r="D95" s="72"/>
      <c r="E95" s="505">
        <v>15</v>
      </c>
      <c r="F95" s="3" t="str" cm="1">
        <f t="array" aca="1" ref="F95" ca="1">OFFSET(E95,-1,1)</f>
        <v>1</v>
      </c>
      <c r="G95" s="72"/>
      <c r="H95" s="72"/>
      <c r="I95" s="72"/>
      <c r="J95" s="72"/>
      <c r="K95" s="72">
        <f>first_year+13</f>
        <v>2039</v>
      </c>
      <c r="L95" s="72"/>
      <c r="M95" s="72"/>
      <c r="N95" s="72"/>
      <c r="O95" s="72"/>
      <c r="P95" s="72"/>
      <c r="Q95" s="72"/>
      <c r="R95" s="72"/>
      <c r="S95" s="72"/>
      <c r="T95" s="351" t="b" cm="1">
        <f t="array" ref="T95">T94</f>
        <v>1</v>
      </c>
      <c r="U95" s="72"/>
      <c r="V95" s="72"/>
      <c r="W95" s="72"/>
      <c r="X95" s="1024"/>
      <c r="Y95" s="72"/>
      <c r="Z95" s="1008"/>
      <c r="AA95" s="72"/>
      <c r="AB95" s="167" t="str">
        <f t="shared" si="5"/>
        <v>2039 год</v>
      </c>
      <c r="AC95" s="909"/>
      <c r="AD95" s="911"/>
      <c r="AE95" s="912"/>
      <c r="AF95" s="912"/>
      <c r="AG95" s="911"/>
      <c r="AH95" s="911"/>
      <c r="AI95" s="911"/>
      <c r="AJ95" s="917"/>
      <c r="AK95" s="918"/>
      <c r="AL95" s="303"/>
      <c r="AM95" s="72"/>
      <c r="AN95" s="72"/>
      <c r="AO95" s="694" cm="1">
        <f t="array" ref="AO95">K95</f>
        <v>2039</v>
      </c>
      <c r="AP95" s="72"/>
      <c r="AQ95" s="72"/>
    </row>
    <row r="96" spans="1:43" s="914" customFormat="1" ht="14.25" hidden="1" customHeight="1">
      <c r="A96" s="72"/>
      <c r="B96" s="340" t="b">
        <f t="shared" si="4"/>
        <v>0</v>
      </c>
      <c r="C96" s="72"/>
      <c r="D96" s="72"/>
      <c r="E96" s="505">
        <v>15</v>
      </c>
      <c r="F96" s="3" t="str" cm="1">
        <f t="array" aca="1" ref="F96" ca="1">OFFSET(E96,-1,1)</f>
        <v>1</v>
      </c>
      <c r="G96" s="72"/>
      <c r="H96" s="72"/>
      <c r="I96" s="72"/>
      <c r="J96" s="72"/>
      <c r="K96" s="72">
        <f>first_year+14</f>
        <v>2040</v>
      </c>
      <c r="L96" s="72"/>
      <c r="M96" s="72"/>
      <c r="N96" s="72"/>
      <c r="O96" s="72"/>
      <c r="P96" s="72"/>
      <c r="Q96" s="72"/>
      <c r="R96" s="72"/>
      <c r="S96" s="72"/>
      <c r="T96" s="351" t="b" cm="1">
        <f t="array" ref="T96">T95</f>
        <v>1</v>
      </c>
      <c r="U96" s="72"/>
      <c r="V96" s="72"/>
      <c r="W96" s="72"/>
      <c r="X96" s="1024"/>
      <c r="Y96" s="72"/>
      <c r="Z96" s="1008"/>
      <c r="AA96" s="72"/>
      <c r="AB96" s="167" t="str">
        <f t="shared" si="5"/>
        <v>2040 год</v>
      </c>
      <c r="AC96" s="909"/>
      <c r="AD96" s="911"/>
      <c r="AE96" s="912"/>
      <c r="AF96" s="912"/>
      <c r="AG96" s="911"/>
      <c r="AH96" s="911"/>
      <c r="AI96" s="911"/>
      <c r="AJ96" s="917"/>
      <c r="AK96" s="918"/>
      <c r="AL96" s="303"/>
      <c r="AM96" s="72"/>
      <c r="AN96" s="72"/>
      <c r="AO96" s="694" cm="1">
        <f t="array" ref="AO96">K96</f>
        <v>2040</v>
      </c>
      <c r="AP96" s="72"/>
      <c r="AQ96" s="72"/>
    </row>
    <row r="97" spans="1:43" s="914" customFormat="1" ht="14.25" hidden="1" customHeight="1">
      <c r="A97" s="72"/>
      <c r="B97" s="340" t="b">
        <f t="shared" si="4"/>
        <v>0</v>
      </c>
      <c r="C97" s="72"/>
      <c r="D97" s="72"/>
      <c r="E97" s="505">
        <v>15</v>
      </c>
      <c r="F97" s="3" t="str" cm="1">
        <f t="array" aca="1" ref="F97" ca="1">OFFSET(E97,-1,1)</f>
        <v>1</v>
      </c>
      <c r="G97" s="72"/>
      <c r="H97" s="72"/>
      <c r="I97" s="72"/>
      <c r="J97" s="72"/>
      <c r="K97" s="72">
        <f>first_year+15</f>
        <v>2041</v>
      </c>
      <c r="L97" s="72"/>
      <c r="M97" s="72"/>
      <c r="N97" s="72"/>
      <c r="O97" s="72"/>
      <c r="P97" s="72"/>
      <c r="Q97" s="72"/>
      <c r="R97" s="72"/>
      <c r="S97" s="72"/>
      <c r="T97" s="351" t="b" cm="1">
        <f t="array" ref="T97">T96</f>
        <v>1</v>
      </c>
      <c r="U97" s="72"/>
      <c r="V97" s="72"/>
      <c r="W97" s="72"/>
      <c r="X97" s="1024"/>
      <c r="Y97" s="72"/>
      <c r="Z97" s="1008"/>
      <c r="AA97" s="72"/>
      <c r="AB97" s="167" t="str">
        <f t="shared" si="5"/>
        <v>2041 год</v>
      </c>
      <c r="AC97" s="909"/>
      <c r="AD97" s="911"/>
      <c r="AE97" s="912"/>
      <c r="AF97" s="912"/>
      <c r="AG97" s="911"/>
      <c r="AH97" s="911"/>
      <c r="AI97" s="911"/>
      <c r="AJ97" s="917"/>
      <c r="AK97" s="918"/>
      <c r="AL97" s="303"/>
      <c r="AM97" s="72"/>
      <c r="AN97" s="72"/>
      <c r="AO97" s="694" cm="1">
        <f t="array" ref="AO97">K97</f>
        <v>2041</v>
      </c>
      <c r="AP97" s="72"/>
      <c r="AQ97" s="72"/>
    </row>
    <row r="98" spans="1:43" s="914" customFormat="1" ht="14.25" hidden="1" customHeight="1">
      <c r="A98" s="72"/>
      <c r="B98" s="340" t="b">
        <f t="shared" si="4"/>
        <v>0</v>
      </c>
      <c r="C98" s="72"/>
      <c r="D98" s="72"/>
      <c r="E98" s="505">
        <v>15</v>
      </c>
      <c r="F98" s="3" t="str" cm="1">
        <f t="array" aca="1" ref="F98" ca="1">OFFSET(E98,-1,1)</f>
        <v>1</v>
      </c>
      <c r="G98" s="72"/>
      <c r="H98" s="72"/>
      <c r="I98" s="72"/>
      <c r="J98" s="72"/>
      <c r="K98" s="72">
        <f>first_year+16</f>
        <v>2042</v>
      </c>
      <c r="L98" s="72"/>
      <c r="M98" s="72"/>
      <c r="N98" s="72"/>
      <c r="O98" s="72"/>
      <c r="P98" s="72"/>
      <c r="Q98" s="72"/>
      <c r="R98" s="72"/>
      <c r="S98" s="72"/>
      <c r="T98" s="351" t="b" cm="1">
        <f t="array" ref="T98">T97</f>
        <v>1</v>
      </c>
      <c r="U98" s="72"/>
      <c r="V98" s="72"/>
      <c r="W98" s="72"/>
      <c r="X98" s="1024"/>
      <c r="Y98" s="72"/>
      <c r="Z98" s="1008"/>
      <c r="AA98" s="72"/>
      <c r="AB98" s="167" t="str">
        <f t="shared" si="5"/>
        <v>2042 год</v>
      </c>
      <c r="AC98" s="909"/>
      <c r="AD98" s="911"/>
      <c r="AE98" s="912"/>
      <c r="AF98" s="912"/>
      <c r="AG98" s="911"/>
      <c r="AH98" s="911"/>
      <c r="AI98" s="911"/>
      <c r="AJ98" s="917"/>
      <c r="AK98" s="918"/>
      <c r="AL98" s="303"/>
      <c r="AM98" s="72"/>
      <c r="AN98" s="72"/>
      <c r="AO98" s="694" cm="1">
        <f t="array" ref="AO98">K98</f>
        <v>2042</v>
      </c>
      <c r="AP98" s="72"/>
      <c r="AQ98" s="72"/>
    </row>
    <row r="99" spans="1:43" s="914" customFormat="1" ht="14.25" hidden="1" customHeight="1">
      <c r="A99" s="72"/>
      <c r="B99" s="340" t="b">
        <f t="shared" si="4"/>
        <v>0</v>
      </c>
      <c r="C99" s="72"/>
      <c r="D99" s="72"/>
      <c r="E99" s="505">
        <v>15</v>
      </c>
      <c r="F99" s="3" t="str" cm="1">
        <f t="array" aca="1" ref="F99" ca="1">OFFSET(E99,-1,1)</f>
        <v>1</v>
      </c>
      <c r="G99" s="72"/>
      <c r="H99" s="72"/>
      <c r="I99" s="72"/>
      <c r="J99" s="72"/>
      <c r="K99" s="72">
        <f>first_year+17</f>
        <v>2043</v>
      </c>
      <c r="L99" s="72"/>
      <c r="M99" s="72"/>
      <c r="N99" s="72"/>
      <c r="O99" s="72"/>
      <c r="P99" s="72"/>
      <c r="Q99" s="72"/>
      <c r="R99" s="72"/>
      <c r="S99" s="72"/>
      <c r="T99" s="351" t="b" cm="1">
        <f t="array" ref="T99">T98</f>
        <v>1</v>
      </c>
      <c r="U99" s="72"/>
      <c r="V99" s="72"/>
      <c r="W99" s="72"/>
      <c r="X99" s="1024"/>
      <c r="Y99" s="72"/>
      <c r="Z99" s="1008"/>
      <c r="AA99" s="72"/>
      <c r="AB99" s="167" t="str">
        <f t="shared" si="5"/>
        <v>2043 год</v>
      </c>
      <c r="AC99" s="909"/>
      <c r="AD99" s="911"/>
      <c r="AE99" s="912"/>
      <c r="AF99" s="912"/>
      <c r="AG99" s="911"/>
      <c r="AH99" s="911"/>
      <c r="AI99" s="911"/>
      <c r="AJ99" s="917"/>
      <c r="AK99" s="918"/>
      <c r="AL99" s="303"/>
      <c r="AM99" s="72"/>
      <c r="AN99" s="72"/>
      <c r="AO99" s="694" cm="1">
        <f t="array" ref="AO99">K99</f>
        <v>2043</v>
      </c>
      <c r="AP99" s="72"/>
      <c r="AQ99" s="72"/>
    </row>
    <row r="100" spans="1:43" s="914" customFormat="1" ht="14.25" hidden="1" customHeight="1">
      <c r="A100" s="72"/>
      <c r="B100" s="340" t="b">
        <f t="shared" si="4"/>
        <v>0</v>
      </c>
      <c r="C100" s="72"/>
      <c r="D100" s="72"/>
      <c r="E100" s="505">
        <v>15</v>
      </c>
      <c r="F100" s="3" t="str" cm="1">
        <f t="array" aca="1" ref="F100" ca="1">OFFSET(E100,-1,1)</f>
        <v>1</v>
      </c>
      <c r="G100" s="72"/>
      <c r="H100" s="72"/>
      <c r="I100" s="72"/>
      <c r="J100" s="72"/>
      <c r="K100" s="72">
        <f>first_year+18</f>
        <v>2044</v>
      </c>
      <c r="L100" s="72"/>
      <c r="M100" s="72"/>
      <c r="N100" s="72"/>
      <c r="O100" s="72"/>
      <c r="P100" s="72"/>
      <c r="Q100" s="72"/>
      <c r="R100" s="72"/>
      <c r="S100" s="72"/>
      <c r="T100" s="351" t="b" cm="1">
        <f t="array" ref="T100">T99</f>
        <v>1</v>
      </c>
      <c r="U100" s="72"/>
      <c r="V100" s="72"/>
      <c r="W100" s="72"/>
      <c r="X100" s="1024"/>
      <c r="Y100" s="72"/>
      <c r="Z100" s="1008"/>
      <c r="AA100" s="72"/>
      <c r="AB100" s="167" t="str">
        <f t="shared" si="5"/>
        <v>2044 год</v>
      </c>
      <c r="AC100" s="909"/>
      <c r="AD100" s="911"/>
      <c r="AE100" s="912"/>
      <c r="AF100" s="912"/>
      <c r="AG100" s="911"/>
      <c r="AH100" s="911"/>
      <c r="AI100" s="911"/>
      <c r="AJ100" s="917"/>
      <c r="AK100" s="918"/>
      <c r="AL100" s="303"/>
      <c r="AM100" s="72"/>
      <c r="AN100" s="72"/>
      <c r="AO100" s="694" cm="1">
        <f t="array" ref="AO100">K100</f>
        <v>2044</v>
      </c>
      <c r="AP100" s="72"/>
      <c r="AQ100" s="72"/>
    </row>
    <row r="101" spans="1:43" s="914" customFormat="1" ht="14.25" hidden="1" customHeight="1">
      <c r="A101" s="72"/>
      <c r="B101" s="340" t="b">
        <f t="shared" si="4"/>
        <v>0</v>
      </c>
      <c r="C101" s="72"/>
      <c r="D101" s="72"/>
      <c r="E101" s="505">
        <v>15</v>
      </c>
      <c r="F101" s="3" t="str" cm="1">
        <f t="array" aca="1" ref="F101" ca="1">OFFSET(E101,-1,1)</f>
        <v>1</v>
      </c>
      <c r="G101" s="72"/>
      <c r="H101" s="72"/>
      <c r="I101" s="72"/>
      <c r="J101" s="72"/>
      <c r="K101" s="72">
        <f>first_year+19</f>
        <v>2045</v>
      </c>
      <c r="L101" s="72"/>
      <c r="M101" s="72"/>
      <c r="N101" s="72"/>
      <c r="O101" s="72"/>
      <c r="P101" s="72"/>
      <c r="Q101" s="72"/>
      <c r="R101" s="72"/>
      <c r="S101" s="72"/>
      <c r="T101" s="351" t="b" cm="1">
        <f t="array" ref="T101">T100</f>
        <v>1</v>
      </c>
      <c r="U101" s="72"/>
      <c r="V101" s="72"/>
      <c r="W101" s="72"/>
      <c r="X101" s="1024"/>
      <c r="Y101" s="72"/>
      <c r="Z101" s="1008"/>
      <c r="AA101" s="72"/>
      <c r="AB101" s="167" t="str">
        <f t="shared" si="5"/>
        <v>2045 год</v>
      </c>
      <c r="AC101" s="909"/>
      <c r="AD101" s="911"/>
      <c r="AE101" s="912"/>
      <c r="AF101" s="912"/>
      <c r="AG101" s="911"/>
      <c r="AH101" s="911"/>
      <c r="AI101" s="911"/>
      <c r="AJ101" s="917"/>
      <c r="AK101" s="918"/>
      <c r="AL101" s="303"/>
      <c r="AM101" s="72"/>
      <c r="AN101" s="72"/>
      <c r="AO101" s="694" cm="1">
        <f t="array" ref="AO101">K101</f>
        <v>2045</v>
      </c>
      <c r="AP101" s="72"/>
      <c r="AQ101" s="72"/>
    </row>
    <row r="102" spans="1:43" s="914" customFormat="1" ht="14.25" hidden="1" customHeight="1">
      <c r="A102" s="72"/>
      <c r="B102" s="340" t="b">
        <f t="shared" si="4"/>
        <v>0</v>
      </c>
      <c r="C102" s="72"/>
      <c r="D102" s="72"/>
      <c r="E102" s="505">
        <v>15</v>
      </c>
      <c r="F102" s="3" t="str" cm="1">
        <f t="array" aca="1" ref="F102" ca="1">OFFSET(E102,-1,1)</f>
        <v>1</v>
      </c>
      <c r="G102" s="72"/>
      <c r="H102" s="72"/>
      <c r="I102" s="72"/>
      <c r="J102" s="72"/>
      <c r="K102" s="72">
        <f>first_year+20</f>
        <v>2046</v>
      </c>
      <c r="L102" s="72"/>
      <c r="M102" s="72"/>
      <c r="N102" s="72"/>
      <c r="O102" s="72"/>
      <c r="P102" s="72"/>
      <c r="Q102" s="72"/>
      <c r="R102" s="72"/>
      <c r="S102" s="72"/>
      <c r="T102" s="351" t="b" cm="1">
        <f t="array" ref="T102">T101</f>
        <v>1</v>
      </c>
      <c r="U102" s="72"/>
      <c r="V102" s="72"/>
      <c r="W102" s="72"/>
      <c r="X102" s="1024"/>
      <c r="Y102" s="72"/>
      <c r="Z102" s="1008"/>
      <c r="AA102" s="72"/>
      <c r="AB102" s="167" t="str">
        <f t="shared" si="5"/>
        <v>2046 год</v>
      </c>
      <c r="AC102" s="909"/>
      <c r="AD102" s="911"/>
      <c r="AE102" s="912"/>
      <c r="AF102" s="912"/>
      <c r="AG102" s="911"/>
      <c r="AH102" s="911"/>
      <c r="AI102" s="911"/>
      <c r="AJ102" s="917"/>
      <c r="AK102" s="918"/>
      <c r="AL102" s="303"/>
      <c r="AM102" s="72"/>
      <c r="AN102" s="72"/>
      <c r="AO102" s="694" cm="1">
        <f t="array" ref="AO102">K102</f>
        <v>2046</v>
      </c>
      <c r="AP102" s="72"/>
      <c r="AQ102" s="72"/>
    </row>
    <row r="103" spans="1:43" s="914" customFormat="1" ht="14.25" hidden="1" customHeight="1">
      <c r="A103" s="72"/>
      <c r="B103" s="340" t="b">
        <f t="shared" si="4"/>
        <v>0</v>
      </c>
      <c r="C103" s="72"/>
      <c r="D103" s="72"/>
      <c r="E103" s="505">
        <v>15</v>
      </c>
      <c r="F103" s="3" t="str" cm="1">
        <f t="array" aca="1" ref="F103" ca="1">OFFSET(E103,-1,1)</f>
        <v>1</v>
      </c>
      <c r="G103" s="72"/>
      <c r="H103" s="72"/>
      <c r="I103" s="72"/>
      <c r="J103" s="72"/>
      <c r="K103" s="72">
        <f>first_year+21</f>
        <v>2047</v>
      </c>
      <c r="L103" s="72"/>
      <c r="M103" s="72"/>
      <c r="N103" s="72"/>
      <c r="O103" s="72"/>
      <c r="P103" s="72"/>
      <c r="Q103" s="72"/>
      <c r="R103" s="72"/>
      <c r="S103" s="72"/>
      <c r="T103" s="351" t="b" cm="1">
        <f t="array" ref="T103">T102</f>
        <v>1</v>
      </c>
      <c r="U103" s="72"/>
      <c r="V103" s="72"/>
      <c r="W103" s="72"/>
      <c r="X103" s="1024"/>
      <c r="Y103" s="72"/>
      <c r="Z103" s="1008"/>
      <c r="AA103" s="72"/>
      <c r="AB103" s="167" t="str">
        <f t="shared" si="5"/>
        <v>2047 год</v>
      </c>
      <c r="AC103" s="909"/>
      <c r="AD103" s="911"/>
      <c r="AE103" s="912"/>
      <c r="AF103" s="912"/>
      <c r="AG103" s="911"/>
      <c r="AH103" s="911"/>
      <c r="AI103" s="911"/>
      <c r="AJ103" s="917"/>
      <c r="AK103" s="918"/>
      <c r="AL103" s="303"/>
      <c r="AM103" s="72"/>
      <c r="AN103" s="72"/>
      <c r="AO103" s="694" cm="1">
        <f t="array" ref="AO103">K103</f>
        <v>2047</v>
      </c>
      <c r="AP103" s="72"/>
      <c r="AQ103" s="72"/>
    </row>
    <row r="104" spans="1:43" s="914" customFormat="1" ht="14.25" hidden="1" customHeight="1">
      <c r="A104" s="72"/>
      <c r="B104" s="340" t="b">
        <f t="shared" si="4"/>
        <v>0</v>
      </c>
      <c r="C104" s="72"/>
      <c r="D104" s="72"/>
      <c r="E104" s="505">
        <v>15</v>
      </c>
      <c r="F104" s="3" t="str" cm="1">
        <f t="array" aca="1" ref="F104" ca="1">OFFSET(E104,-1,1)</f>
        <v>1</v>
      </c>
      <c r="G104" s="72"/>
      <c r="H104" s="72"/>
      <c r="I104" s="72"/>
      <c r="J104" s="72"/>
      <c r="K104" s="72">
        <f>first_year+22</f>
        <v>2048</v>
      </c>
      <c r="L104" s="72"/>
      <c r="M104" s="72"/>
      <c r="N104" s="72"/>
      <c r="O104" s="72"/>
      <c r="P104" s="72"/>
      <c r="Q104" s="72"/>
      <c r="R104" s="72"/>
      <c r="S104" s="72"/>
      <c r="T104" s="351" t="b" cm="1">
        <f t="array" ref="T104">T103</f>
        <v>1</v>
      </c>
      <c r="U104" s="72"/>
      <c r="V104" s="72"/>
      <c r="W104" s="72"/>
      <c r="X104" s="1024"/>
      <c r="Y104" s="72"/>
      <c r="Z104" s="1008"/>
      <c r="AA104" s="72"/>
      <c r="AB104" s="167" t="str">
        <f t="shared" si="5"/>
        <v>2048 год</v>
      </c>
      <c r="AC104" s="909"/>
      <c r="AD104" s="911"/>
      <c r="AE104" s="912"/>
      <c r="AF104" s="912"/>
      <c r="AG104" s="911"/>
      <c r="AH104" s="911"/>
      <c r="AI104" s="911"/>
      <c r="AJ104" s="917"/>
      <c r="AK104" s="918"/>
      <c r="AL104" s="303"/>
      <c r="AM104" s="72"/>
      <c r="AN104" s="72"/>
      <c r="AO104" s="694" cm="1">
        <f t="array" ref="AO104">K104</f>
        <v>2048</v>
      </c>
      <c r="AP104" s="72"/>
      <c r="AQ104" s="72"/>
    </row>
    <row r="105" spans="1:43" s="914" customFormat="1" ht="14.25" hidden="1" customHeight="1">
      <c r="A105" s="72"/>
      <c r="B105" s="340" t="b">
        <f t="shared" si="4"/>
        <v>0</v>
      </c>
      <c r="C105" s="72"/>
      <c r="D105" s="72"/>
      <c r="E105" s="505">
        <v>15</v>
      </c>
      <c r="F105" s="3" t="str" cm="1">
        <f t="array" aca="1" ref="F105" ca="1">OFFSET(E105,-1,1)</f>
        <v>1</v>
      </c>
      <c r="G105" s="72"/>
      <c r="H105" s="72"/>
      <c r="I105" s="72"/>
      <c r="J105" s="72"/>
      <c r="K105" s="72">
        <f>first_year+23</f>
        <v>2049</v>
      </c>
      <c r="L105" s="72"/>
      <c r="M105" s="72"/>
      <c r="N105" s="72"/>
      <c r="O105" s="72"/>
      <c r="P105" s="72"/>
      <c r="Q105" s="72"/>
      <c r="R105" s="72"/>
      <c r="S105" s="72"/>
      <c r="T105" s="351" t="b" cm="1">
        <f t="array" ref="T105">T104</f>
        <v>1</v>
      </c>
      <c r="U105" s="72"/>
      <c r="V105" s="72"/>
      <c r="W105" s="72"/>
      <c r="X105" s="1024"/>
      <c r="Y105" s="72"/>
      <c r="Z105" s="1008"/>
      <c r="AA105" s="72"/>
      <c r="AB105" s="167" t="str">
        <f t="shared" si="5"/>
        <v>2049 год</v>
      </c>
      <c r="AC105" s="909"/>
      <c r="AD105" s="911"/>
      <c r="AE105" s="912"/>
      <c r="AF105" s="912"/>
      <c r="AG105" s="911"/>
      <c r="AH105" s="911"/>
      <c r="AI105" s="911"/>
      <c r="AJ105" s="917"/>
      <c r="AK105" s="918"/>
      <c r="AL105" s="303"/>
      <c r="AM105" s="72"/>
      <c r="AN105" s="72"/>
      <c r="AO105" s="694" cm="1">
        <f t="array" ref="AO105">K105</f>
        <v>2049</v>
      </c>
      <c r="AP105" s="72"/>
      <c r="AQ105" s="72"/>
    </row>
    <row r="106" spans="1:43" s="914" customFormat="1" ht="14.25" hidden="1" customHeight="1">
      <c r="A106" s="72"/>
      <c r="B106" s="340" t="b">
        <f t="shared" si="4"/>
        <v>0</v>
      </c>
      <c r="C106" s="72"/>
      <c r="D106" s="72"/>
      <c r="E106" s="505">
        <v>15</v>
      </c>
      <c r="F106" s="3" t="str" cm="1">
        <f t="array" aca="1" ref="F106" ca="1">OFFSET(E106,-1,1)</f>
        <v>1</v>
      </c>
      <c r="G106" s="72"/>
      <c r="H106" s="72"/>
      <c r="I106" s="72"/>
      <c r="J106" s="72"/>
      <c r="K106" s="72">
        <f>first_year+24</f>
        <v>2050</v>
      </c>
      <c r="L106" s="72"/>
      <c r="M106" s="72"/>
      <c r="N106" s="72"/>
      <c r="O106" s="72"/>
      <c r="P106" s="72"/>
      <c r="Q106" s="72"/>
      <c r="R106" s="72"/>
      <c r="S106" s="72"/>
      <c r="T106" s="351" t="b" cm="1">
        <f t="array" ref="T106">T105</f>
        <v>1</v>
      </c>
      <c r="U106" s="72"/>
      <c r="V106" s="72"/>
      <c r="W106" s="72"/>
      <c r="X106" s="1024"/>
      <c r="Y106" s="72"/>
      <c r="Z106" s="1008"/>
      <c r="AA106" s="72"/>
      <c r="AB106" s="167" t="str">
        <f t="shared" si="5"/>
        <v>2050 год</v>
      </c>
      <c r="AC106" s="909"/>
      <c r="AD106" s="911"/>
      <c r="AE106" s="912"/>
      <c r="AF106" s="912"/>
      <c r="AG106" s="911"/>
      <c r="AH106" s="911"/>
      <c r="AI106" s="911"/>
      <c r="AJ106" s="917"/>
      <c r="AK106" s="918"/>
      <c r="AL106" s="303"/>
      <c r="AM106" s="72"/>
      <c r="AN106" s="72"/>
      <c r="AO106" s="694" cm="1">
        <f t="array" ref="AO106">K106</f>
        <v>2050</v>
      </c>
      <c r="AP106" s="72"/>
      <c r="AQ106" s="72"/>
    </row>
    <row r="107" spans="1:43" s="914" customFormat="1" ht="14.25" hidden="1" customHeight="1">
      <c r="A107" s="72"/>
      <c r="B107" s="340" t="b">
        <f t="shared" si="4"/>
        <v>0</v>
      </c>
      <c r="C107" s="72"/>
      <c r="D107" s="72"/>
      <c r="E107" s="505">
        <v>15</v>
      </c>
      <c r="F107" s="3" t="str" cm="1">
        <f t="array" aca="1" ref="F107" ca="1">OFFSET(E107,-1,1)</f>
        <v>1</v>
      </c>
      <c r="G107" s="72"/>
      <c r="H107" s="72"/>
      <c r="I107" s="72"/>
      <c r="J107" s="72"/>
      <c r="K107" s="72">
        <f>first_year+25</f>
        <v>2051</v>
      </c>
      <c r="L107" s="72"/>
      <c r="M107" s="72"/>
      <c r="N107" s="72"/>
      <c r="O107" s="72"/>
      <c r="P107" s="72"/>
      <c r="Q107" s="72"/>
      <c r="R107" s="72"/>
      <c r="S107" s="72"/>
      <c r="T107" s="351" t="b" cm="1">
        <f t="array" ref="T107">T106</f>
        <v>1</v>
      </c>
      <c r="U107" s="72"/>
      <c r="V107" s="72"/>
      <c r="W107" s="72"/>
      <c r="X107" s="1024"/>
      <c r="Y107" s="72"/>
      <c r="Z107" s="1008"/>
      <c r="AA107" s="72"/>
      <c r="AB107" s="167" t="str">
        <f t="shared" si="5"/>
        <v>2051 год</v>
      </c>
      <c r="AC107" s="909"/>
      <c r="AD107" s="911"/>
      <c r="AE107" s="912"/>
      <c r="AF107" s="912"/>
      <c r="AG107" s="911"/>
      <c r="AH107" s="911"/>
      <c r="AI107" s="911"/>
      <c r="AJ107" s="917"/>
      <c r="AK107" s="918"/>
      <c r="AL107" s="303"/>
      <c r="AM107" s="72"/>
      <c r="AN107" s="72"/>
      <c r="AO107" s="694" cm="1">
        <f t="array" ref="AO107">K107</f>
        <v>2051</v>
      </c>
      <c r="AP107" s="72"/>
      <c r="AQ107" s="72"/>
    </row>
    <row r="108" spans="1:43" s="914" customFormat="1" ht="14.25" hidden="1" customHeight="1">
      <c r="A108" s="72"/>
      <c r="B108" s="340" t="b">
        <f t="shared" si="4"/>
        <v>0</v>
      </c>
      <c r="C108" s="72"/>
      <c r="D108" s="72"/>
      <c r="E108" s="505">
        <v>15</v>
      </c>
      <c r="F108" s="3" t="str" cm="1">
        <f t="array" aca="1" ref="F108" ca="1">OFFSET(E108,-1,1)</f>
        <v>1</v>
      </c>
      <c r="G108" s="72"/>
      <c r="H108" s="72"/>
      <c r="I108" s="72"/>
      <c r="J108" s="72"/>
      <c r="K108" s="72">
        <f>first_year+26</f>
        <v>2052</v>
      </c>
      <c r="L108" s="72"/>
      <c r="M108" s="72"/>
      <c r="N108" s="72"/>
      <c r="O108" s="72"/>
      <c r="P108" s="72"/>
      <c r="Q108" s="72"/>
      <c r="R108" s="72"/>
      <c r="S108" s="72"/>
      <c r="T108" s="351" t="b" cm="1">
        <f t="array" ref="T108">T107</f>
        <v>1</v>
      </c>
      <c r="U108" s="72"/>
      <c r="V108" s="72"/>
      <c r="W108" s="72"/>
      <c r="X108" s="1024"/>
      <c r="Y108" s="72"/>
      <c r="Z108" s="1008"/>
      <c r="AA108" s="72"/>
      <c r="AB108" s="167" t="str">
        <f t="shared" si="5"/>
        <v>2052 год</v>
      </c>
      <c r="AC108" s="909"/>
      <c r="AD108" s="911"/>
      <c r="AE108" s="912"/>
      <c r="AF108" s="912"/>
      <c r="AG108" s="911"/>
      <c r="AH108" s="911"/>
      <c r="AI108" s="911"/>
      <c r="AJ108" s="917"/>
      <c r="AK108" s="918"/>
      <c r="AL108" s="303"/>
      <c r="AM108" s="72"/>
      <c r="AN108" s="72"/>
      <c r="AO108" s="694" cm="1">
        <f t="array" ref="AO108">K108</f>
        <v>2052</v>
      </c>
      <c r="AP108" s="72"/>
      <c r="AQ108" s="72"/>
    </row>
    <row r="109" spans="1:43" s="914" customFormat="1" ht="14.25" hidden="1" customHeight="1">
      <c r="A109" s="72"/>
      <c r="B109" s="340" t="b">
        <f t="shared" si="4"/>
        <v>0</v>
      </c>
      <c r="C109" s="72"/>
      <c r="D109" s="72"/>
      <c r="E109" s="505">
        <v>15</v>
      </c>
      <c r="F109" s="3" t="str" cm="1">
        <f t="array" aca="1" ref="F109" ca="1">OFFSET(E109,-1,1)</f>
        <v>1</v>
      </c>
      <c r="G109" s="72"/>
      <c r="H109" s="72"/>
      <c r="I109" s="72"/>
      <c r="J109" s="72"/>
      <c r="K109" s="72">
        <f>first_year+27</f>
        <v>2053</v>
      </c>
      <c r="L109" s="72"/>
      <c r="M109" s="72"/>
      <c r="N109" s="72"/>
      <c r="O109" s="72"/>
      <c r="P109" s="72"/>
      <c r="Q109" s="72"/>
      <c r="R109" s="72"/>
      <c r="S109" s="72"/>
      <c r="T109" s="351" t="b" cm="1">
        <f t="array" ref="T109">T108</f>
        <v>1</v>
      </c>
      <c r="U109" s="72"/>
      <c r="V109" s="72"/>
      <c r="W109" s="72"/>
      <c r="X109" s="1024"/>
      <c r="Y109" s="72"/>
      <c r="Z109" s="1008"/>
      <c r="AA109" s="72"/>
      <c r="AB109" s="167" t="str">
        <f t="shared" si="5"/>
        <v>2053 год</v>
      </c>
      <c r="AC109" s="909"/>
      <c r="AD109" s="911"/>
      <c r="AE109" s="912"/>
      <c r="AF109" s="912"/>
      <c r="AG109" s="911"/>
      <c r="AH109" s="911"/>
      <c r="AI109" s="911"/>
      <c r="AJ109" s="917"/>
      <c r="AK109" s="918"/>
      <c r="AL109" s="303"/>
      <c r="AM109" s="72"/>
      <c r="AN109" s="72"/>
      <c r="AO109" s="694" cm="1">
        <f t="array" ref="AO109">K109</f>
        <v>2053</v>
      </c>
      <c r="AP109" s="72"/>
      <c r="AQ109" s="72"/>
    </row>
    <row r="110" spans="1:43" s="914" customFormat="1" ht="14.25" hidden="1" customHeight="1">
      <c r="A110" s="72"/>
      <c r="B110" s="340" t="b">
        <f t="shared" si="4"/>
        <v>0</v>
      </c>
      <c r="C110" s="72"/>
      <c r="D110" s="72"/>
      <c r="E110" s="505">
        <v>15</v>
      </c>
      <c r="F110" s="3" t="str" cm="1">
        <f t="array" aca="1" ref="F110" ca="1">OFFSET(E110,-1,1)</f>
        <v>1</v>
      </c>
      <c r="G110" s="72"/>
      <c r="H110" s="72"/>
      <c r="I110" s="72"/>
      <c r="J110" s="72"/>
      <c r="K110" s="72">
        <f>first_year+28</f>
        <v>2054</v>
      </c>
      <c r="L110" s="72"/>
      <c r="M110" s="72"/>
      <c r="N110" s="72"/>
      <c r="O110" s="72"/>
      <c r="P110" s="72"/>
      <c r="Q110" s="72"/>
      <c r="R110" s="72"/>
      <c r="S110" s="72"/>
      <c r="T110" s="351" t="b" cm="1">
        <f t="array" ref="T110">T109</f>
        <v>1</v>
      </c>
      <c r="U110" s="72"/>
      <c r="V110" s="72"/>
      <c r="W110" s="72"/>
      <c r="X110" s="1024"/>
      <c r="Y110" s="72"/>
      <c r="Z110" s="1008"/>
      <c r="AA110" s="72"/>
      <c r="AB110" s="167" t="str">
        <f t="shared" si="5"/>
        <v>2054 год</v>
      </c>
      <c r="AC110" s="909"/>
      <c r="AD110" s="911"/>
      <c r="AE110" s="912"/>
      <c r="AF110" s="912"/>
      <c r="AG110" s="911"/>
      <c r="AH110" s="911"/>
      <c r="AI110" s="911"/>
      <c r="AJ110" s="917"/>
      <c r="AK110" s="918"/>
      <c r="AL110" s="303"/>
      <c r="AM110" s="72"/>
      <c r="AN110" s="72"/>
      <c r="AO110" s="694" cm="1">
        <f t="array" ref="AO110">K110</f>
        <v>2054</v>
      </c>
      <c r="AP110" s="72"/>
      <c r="AQ110" s="72"/>
    </row>
    <row r="111" spans="1:43" s="914" customFormat="1" ht="14.25" hidden="1" customHeight="1">
      <c r="A111" s="72"/>
      <c r="B111" s="340" t="b">
        <f t="shared" si="4"/>
        <v>0</v>
      </c>
      <c r="C111" s="72"/>
      <c r="D111" s="72"/>
      <c r="E111" s="505">
        <v>15</v>
      </c>
      <c r="F111" s="3" t="str" cm="1">
        <f t="array" aca="1" ref="F111" ca="1">OFFSET(E111,-1,1)</f>
        <v>1</v>
      </c>
      <c r="G111" s="72"/>
      <c r="H111" s="72"/>
      <c r="I111" s="72"/>
      <c r="J111" s="72"/>
      <c r="K111" s="72">
        <f>first_year+29</f>
        <v>2055</v>
      </c>
      <c r="L111" s="72"/>
      <c r="M111" s="72"/>
      <c r="N111" s="72"/>
      <c r="O111" s="72"/>
      <c r="P111" s="72"/>
      <c r="Q111" s="72"/>
      <c r="R111" s="72"/>
      <c r="S111" s="72"/>
      <c r="T111" s="351" t="b" cm="1">
        <f t="array" ref="T111">T110</f>
        <v>1</v>
      </c>
      <c r="U111" s="72"/>
      <c r="V111" s="72"/>
      <c r="W111" s="72"/>
      <c r="X111" s="1024"/>
      <c r="Y111" s="72"/>
      <c r="Z111" s="1008"/>
      <c r="AA111" s="72"/>
      <c r="AB111" s="167" t="str">
        <f t="shared" si="5"/>
        <v>2055 год</v>
      </c>
      <c r="AC111" s="909"/>
      <c r="AD111" s="911"/>
      <c r="AE111" s="912"/>
      <c r="AF111" s="912"/>
      <c r="AG111" s="911"/>
      <c r="AH111" s="911"/>
      <c r="AI111" s="911"/>
      <c r="AJ111" s="917"/>
      <c r="AK111" s="918"/>
      <c r="AL111" s="303"/>
      <c r="AM111" s="72"/>
      <c r="AN111" s="72"/>
      <c r="AO111" s="694" cm="1">
        <f t="array" ref="AO111">K111</f>
        <v>2055</v>
      </c>
      <c r="AP111" s="72"/>
      <c r="AQ111" s="72"/>
    </row>
    <row r="112" spans="1:43" s="914" customFormat="1" ht="14.25" hidden="1" customHeight="1">
      <c r="A112" s="72"/>
      <c r="B112" s="340" t="b">
        <f t="shared" si="4"/>
        <v>0</v>
      </c>
      <c r="C112" s="72"/>
      <c r="D112" s="72"/>
      <c r="E112" s="505">
        <v>15</v>
      </c>
      <c r="F112" s="3" t="str" cm="1">
        <f t="array" aca="1" ref="F112" ca="1">OFFSET(E112,-1,1)</f>
        <v>1</v>
      </c>
      <c r="G112" s="72"/>
      <c r="H112" s="72"/>
      <c r="I112" s="72"/>
      <c r="J112" s="72"/>
      <c r="K112" s="72">
        <f>first_year+30</f>
        <v>2056</v>
      </c>
      <c r="L112" s="72"/>
      <c r="M112" s="72"/>
      <c r="N112" s="72"/>
      <c r="O112" s="72"/>
      <c r="P112" s="72"/>
      <c r="Q112" s="72"/>
      <c r="R112" s="72"/>
      <c r="S112" s="72"/>
      <c r="T112" s="351" t="b" cm="1">
        <f t="array" ref="T112">T111</f>
        <v>1</v>
      </c>
      <c r="U112" s="72"/>
      <c r="V112" s="72"/>
      <c r="W112" s="72"/>
      <c r="X112" s="1024"/>
      <c r="Y112" s="72"/>
      <c r="Z112" s="1008"/>
      <c r="AA112" s="72"/>
      <c r="AB112" s="167" t="str">
        <f t="shared" si="5"/>
        <v>2056 год</v>
      </c>
      <c r="AC112" s="909"/>
      <c r="AD112" s="911"/>
      <c r="AE112" s="912"/>
      <c r="AF112" s="912"/>
      <c r="AG112" s="911"/>
      <c r="AH112" s="911"/>
      <c r="AI112" s="911"/>
      <c r="AJ112" s="917"/>
      <c r="AK112" s="918"/>
      <c r="AL112" s="303"/>
      <c r="AM112" s="72"/>
      <c r="AN112" s="72"/>
      <c r="AO112" s="694" cm="1">
        <f t="array" ref="AO112">K112</f>
        <v>2056</v>
      </c>
      <c r="AP112" s="72"/>
      <c r="AQ112" s="72"/>
    </row>
    <row r="113" spans="1:43" s="914" customFormat="1" ht="14.25" hidden="1" customHeight="1">
      <c r="A113" s="72"/>
      <c r="B113" s="340" t="b">
        <f t="shared" si="4"/>
        <v>0</v>
      </c>
      <c r="C113" s="72"/>
      <c r="D113" s="72"/>
      <c r="E113" s="505">
        <v>15</v>
      </c>
      <c r="F113" s="3" t="str" cm="1">
        <f t="array" aca="1" ref="F113" ca="1">OFFSET(E113,-1,1)</f>
        <v>1</v>
      </c>
      <c r="G113" s="72"/>
      <c r="H113" s="72"/>
      <c r="I113" s="72"/>
      <c r="J113" s="72"/>
      <c r="K113" s="72">
        <f>first_year+31</f>
        <v>2057</v>
      </c>
      <c r="L113" s="72"/>
      <c r="M113" s="72"/>
      <c r="N113" s="72"/>
      <c r="O113" s="72"/>
      <c r="P113" s="72"/>
      <c r="Q113" s="72"/>
      <c r="R113" s="72"/>
      <c r="S113" s="72"/>
      <c r="T113" s="351" t="b" cm="1">
        <f t="array" ref="T113">T112</f>
        <v>1</v>
      </c>
      <c r="U113" s="72"/>
      <c r="V113" s="72"/>
      <c r="W113" s="72"/>
      <c r="X113" s="1024"/>
      <c r="Y113" s="72"/>
      <c r="Z113" s="1008"/>
      <c r="AA113" s="72"/>
      <c r="AB113" s="167" t="str">
        <f t="shared" si="5"/>
        <v>2057 год</v>
      </c>
      <c r="AC113" s="909"/>
      <c r="AD113" s="911"/>
      <c r="AE113" s="912"/>
      <c r="AF113" s="912"/>
      <c r="AG113" s="911"/>
      <c r="AH113" s="911"/>
      <c r="AI113" s="911"/>
      <c r="AJ113" s="917"/>
      <c r="AK113" s="918"/>
      <c r="AL113" s="303"/>
      <c r="AM113" s="72"/>
      <c r="AN113" s="72"/>
      <c r="AO113" s="694" cm="1">
        <f t="array" ref="AO113">K113</f>
        <v>2057</v>
      </c>
      <c r="AP113" s="72"/>
      <c r="AQ113" s="72"/>
    </row>
    <row r="114" spans="1:43" s="914" customFormat="1" ht="14.25" hidden="1" customHeight="1">
      <c r="A114" s="72"/>
      <c r="B114" s="340" t="b">
        <f t="shared" ref="B114:B131" si="6">K114&lt;first_year+PERIOD_LENGTH</f>
        <v>0</v>
      </c>
      <c r="C114" s="72"/>
      <c r="D114" s="72"/>
      <c r="E114" s="505">
        <v>15</v>
      </c>
      <c r="F114" s="3" t="str" cm="1">
        <f t="array" aca="1" ref="F114" ca="1">OFFSET(E114,-1,1)</f>
        <v>1</v>
      </c>
      <c r="G114" s="72"/>
      <c r="H114" s="72"/>
      <c r="I114" s="72"/>
      <c r="J114" s="72"/>
      <c r="K114" s="72">
        <f>first_year+32</f>
        <v>2058</v>
      </c>
      <c r="L114" s="72"/>
      <c r="M114" s="72"/>
      <c r="N114" s="72"/>
      <c r="O114" s="72"/>
      <c r="P114" s="72"/>
      <c r="Q114" s="72"/>
      <c r="R114" s="72"/>
      <c r="S114" s="72"/>
      <c r="T114" s="351" t="b" cm="1">
        <f t="array" ref="T114">T113</f>
        <v>1</v>
      </c>
      <c r="U114" s="72"/>
      <c r="V114" s="72"/>
      <c r="W114" s="72"/>
      <c r="X114" s="1024"/>
      <c r="Y114" s="72"/>
      <c r="Z114" s="1008"/>
      <c r="AA114" s="72"/>
      <c r="AB114" s="167" t="str">
        <f t="shared" ref="AB114:AB131" si="7">K114&amp;" год"</f>
        <v>2058 год</v>
      </c>
      <c r="AC114" s="909"/>
      <c r="AD114" s="911"/>
      <c r="AE114" s="912"/>
      <c r="AF114" s="912"/>
      <c r="AG114" s="911"/>
      <c r="AH114" s="911"/>
      <c r="AI114" s="911"/>
      <c r="AJ114" s="917"/>
      <c r="AK114" s="918"/>
      <c r="AL114" s="303"/>
      <c r="AM114" s="72"/>
      <c r="AN114" s="72"/>
      <c r="AO114" s="694" cm="1">
        <f t="array" ref="AO114">K114</f>
        <v>2058</v>
      </c>
      <c r="AP114" s="72"/>
      <c r="AQ114" s="72"/>
    </row>
    <row r="115" spans="1:43" s="914" customFormat="1" ht="14.25" hidden="1" customHeight="1">
      <c r="A115" s="72"/>
      <c r="B115" s="340" t="b">
        <f t="shared" si="6"/>
        <v>0</v>
      </c>
      <c r="C115" s="72"/>
      <c r="D115" s="72"/>
      <c r="E115" s="505">
        <v>15</v>
      </c>
      <c r="F115" s="3" t="str" cm="1">
        <f t="array" aca="1" ref="F115" ca="1">OFFSET(E115,-1,1)</f>
        <v>1</v>
      </c>
      <c r="G115" s="72"/>
      <c r="H115" s="72"/>
      <c r="I115" s="72"/>
      <c r="J115" s="72"/>
      <c r="K115" s="72">
        <f>first_year+33</f>
        <v>2059</v>
      </c>
      <c r="L115" s="72"/>
      <c r="M115" s="72"/>
      <c r="N115" s="72"/>
      <c r="O115" s="72"/>
      <c r="P115" s="72"/>
      <c r="Q115" s="72"/>
      <c r="R115" s="72"/>
      <c r="S115" s="72"/>
      <c r="T115" s="351" t="b" cm="1">
        <f t="array" ref="T115">T114</f>
        <v>1</v>
      </c>
      <c r="U115" s="72"/>
      <c r="V115" s="72"/>
      <c r="W115" s="72"/>
      <c r="X115" s="1024"/>
      <c r="Y115" s="72"/>
      <c r="Z115" s="1008"/>
      <c r="AA115" s="72"/>
      <c r="AB115" s="167" t="str">
        <f t="shared" si="7"/>
        <v>2059 год</v>
      </c>
      <c r="AC115" s="909"/>
      <c r="AD115" s="911"/>
      <c r="AE115" s="912"/>
      <c r="AF115" s="912"/>
      <c r="AG115" s="911"/>
      <c r="AH115" s="911"/>
      <c r="AI115" s="911"/>
      <c r="AJ115" s="917"/>
      <c r="AK115" s="918"/>
      <c r="AL115" s="303"/>
      <c r="AM115" s="72"/>
      <c r="AN115" s="72"/>
      <c r="AO115" s="694" cm="1">
        <f t="array" ref="AO115">K115</f>
        <v>2059</v>
      </c>
      <c r="AP115" s="72"/>
      <c r="AQ115" s="72"/>
    </row>
    <row r="116" spans="1:43" s="914" customFormat="1" ht="14.25" hidden="1" customHeight="1">
      <c r="A116" s="72"/>
      <c r="B116" s="340" t="b">
        <f t="shared" si="6"/>
        <v>0</v>
      </c>
      <c r="C116" s="72"/>
      <c r="D116" s="72"/>
      <c r="E116" s="505">
        <v>15</v>
      </c>
      <c r="F116" s="3" t="str" cm="1">
        <f t="array" aca="1" ref="F116" ca="1">OFFSET(E116,-1,1)</f>
        <v>1</v>
      </c>
      <c r="G116" s="72"/>
      <c r="H116" s="72"/>
      <c r="I116" s="72"/>
      <c r="J116" s="72"/>
      <c r="K116" s="72">
        <f>first_year+34</f>
        <v>2060</v>
      </c>
      <c r="L116" s="72"/>
      <c r="M116" s="72"/>
      <c r="N116" s="72"/>
      <c r="O116" s="72"/>
      <c r="P116" s="72"/>
      <c r="Q116" s="72"/>
      <c r="R116" s="72"/>
      <c r="S116" s="72"/>
      <c r="T116" s="351" t="b" cm="1">
        <f t="array" ref="T116">T115</f>
        <v>1</v>
      </c>
      <c r="U116" s="72"/>
      <c r="V116" s="72"/>
      <c r="W116" s="72"/>
      <c r="X116" s="1024"/>
      <c r="Y116" s="72"/>
      <c r="Z116" s="1008"/>
      <c r="AA116" s="72"/>
      <c r="AB116" s="167" t="str">
        <f t="shared" si="7"/>
        <v>2060 год</v>
      </c>
      <c r="AC116" s="909"/>
      <c r="AD116" s="911"/>
      <c r="AE116" s="912"/>
      <c r="AF116" s="912"/>
      <c r="AG116" s="911"/>
      <c r="AH116" s="911"/>
      <c r="AI116" s="911"/>
      <c r="AJ116" s="917"/>
      <c r="AK116" s="918"/>
      <c r="AL116" s="303"/>
      <c r="AM116" s="72"/>
      <c r="AN116" s="72"/>
      <c r="AO116" s="694" cm="1">
        <f t="array" ref="AO116">K116</f>
        <v>2060</v>
      </c>
      <c r="AP116" s="72"/>
      <c r="AQ116" s="72"/>
    </row>
    <row r="117" spans="1:43" s="914" customFormat="1" ht="14.25" hidden="1" customHeight="1">
      <c r="A117" s="72"/>
      <c r="B117" s="340" t="b">
        <f t="shared" si="6"/>
        <v>0</v>
      </c>
      <c r="C117" s="72"/>
      <c r="D117" s="72"/>
      <c r="E117" s="505">
        <v>15</v>
      </c>
      <c r="F117" s="3" t="str" cm="1">
        <f t="array" aca="1" ref="F117" ca="1">OFFSET(E117,-1,1)</f>
        <v>1</v>
      </c>
      <c r="G117" s="72"/>
      <c r="H117" s="72"/>
      <c r="I117" s="72"/>
      <c r="J117" s="72"/>
      <c r="K117" s="72">
        <f>first_year+35</f>
        <v>2061</v>
      </c>
      <c r="L117" s="72"/>
      <c r="M117" s="72"/>
      <c r="N117" s="72"/>
      <c r="O117" s="72"/>
      <c r="P117" s="72"/>
      <c r="Q117" s="72"/>
      <c r="R117" s="72"/>
      <c r="S117" s="72"/>
      <c r="T117" s="351" t="b" cm="1">
        <f t="array" ref="T117">T116</f>
        <v>1</v>
      </c>
      <c r="U117" s="72"/>
      <c r="V117" s="72"/>
      <c r="W117" s="72"/>
      <c r="X117" s="1024"/>
      <c r="Y117" s="72"/>
      <c r="Z117" s="1008"/>
      <c r="AA117" s="72"/>
      <c r="AB117" s="167" t="str">
        <f t="shared" si="7"/>
        <v>2061 год</v>
      </c>
      <c r="AC117" s="909"/>
      <c r="AD117" s="911"/>
      <c r="AE117" s="912"/>
      <c r="AF117" s="912"/>
      <c r="AG117" s="911"/>
      <c r="AH117" s="911"/>
      <c r="AI117" s="911"/>
      <c r="AJ117" s="917"/>
      <c r="AK117" s="918"/>
      <c r="AL117" s="303"/>
      <c r="AM117" s="72"/>
      <c r="AN117" s="72"/>
      <c r="AO117" s="694" cm="1">
        <f t="array" ref="AO117">K117</f>
        <v>2061</v>
      </c>
      <c r="AP117" s="72"/>
      <c r="AQ117" s="72"/>
    </row>
    <row r="118" spans="1:43" s="914" customFormat="1" ht="14.25" hidden="1" customHeight="1">
      <c r="A118" s="72"/>
      <c r="B118" s="340" t="b">
        <f t="shared" si="6"/>
        <v>0</v>
      </c>
      <c r="C118" s="72"/>
      <c r="D118" s="72"/>
      <c r="E118" s="505">
        <v>15</v>
      </c>
      <c r="F118" s="3" t="str" cm="1">
        <f t="array" aca="1" ref="F118" ca="1">OFFSET(E118,-1,1)</f>
        <v>1</v>
      </c>
      <c r="G118" s="72"/>
      <c r="H118" s="72"/>
      <c r="I118" s="72"/>
      <c r="J118" s="72"/>
      <c r="K118" s="72">
        <f>first_year+36</f>
        <v>2062</v>
      </c>
      <c r="L118" s="72"/>
      <c r="M118" s="72"/>
      <c r="N118" s="72"/>
      <c r="O118" s="72"/>
      <c r="P118" s="72"/>
      <c r="Q118" s="72"/>
      <c r="R118" s="72"/>
      <c r="S118" s="72"/>
      <c r="T118" s="351" t="b" cm="1">
        <f t="array" ref="T118">T117</f>
        <v>1</v>
      </c>
      <c r="U118" s="72"/>
      <c r="V118" s="72"/>
      <c r="W118" s="72"/>
      <c r="X118" s="1024"/>
      <c r="Y118" s="72"/>
      <c r="Z118" s="1008"/>
      <c r="AA118" s="72"/>
      <c r="AB118" s="167" t="str">
        <f t="shared" si="7"/>
        <v>2062 год</v>
      </c>
      <c r="AC118" s="909"/>
      <c r="AD118" s="911"/>
      <c r="AE118" s="912"/>
      <c r="AF118" s="912"/>
      <c r="AG118" s="911"/>
      <c r="AH118" s="911"/>
      <c r="AI118" s="911"/>
      <c r="AJ118" s="917"/>
      <c r="AK118" s="918"/>
      <c r="AL118" s="303"/>
      <c r="AM118" s="72"/>
      <c r="AN118" s="72"/>
      <c r="AO118" s="694" cm="1">
        <f t="array" ref="AO118">K118</f>
        <v>2062</v>
      </c>
      <c r="AP118" s="72"/>
      <c r="AQ118" s="72"/>
    </row>
    <row r="119" spans="1:43" s="914" customFormat="1" ht="14.25" hidden="1" customHeight="1">
      <c r="A119" s="72"/>
      <c r="B119" s="340" t="b">
        <f t="shared" si="6"/>
        <v>0</v>
      </c>
      <c r="C119" s="72"/>
      <c r="D119" s="72"/>
      <c r="E119" s="505">
        <v>15</v>
      </c>
      <c r="F119" s="3" t="str" cm="1">
        <f t="array" aca="1" ref="F119" ca="1">OFFSET(E119,-1,1)</f>
        <v>1</v>
      </c>
      <c r="G119" s="72"/>
      <c r="H119" s="72"/>
      <c r="I119" s="72"/>
      <c r="J119" s="72"/>
      <c r="K119" s="72">
        <f>first_year+37</f>
        <v>2063</v>
      </c>
      <c r="L119" s="72"/>
      <c r="M119" s="72"/>
      <c r="N119" s="72"/>
      <c r="O119" s="72"/>
      <c r="P119" s="72"/>
      <c r="Q119" s="72"/>
      <c r="R119" s="72"/>
      <c r="S119" s="72"/>
      <c r="T119" s="351" t="b" cm="1">
        <f t="array" ref="T119">T118</f>
        <v>1</v>
      </c>
      <c r="U119" s="72"/>
      <c r="V119" s="72"/>
      <c r="W119" s="72"/>
      <c r="X119" s="1024"/>
      <c r="Y119" s="72"/>
      <c r="Z119" s="1008"/>
      <c r="AA119" s="72"/>
      <c r="AB119" s="167" t="str">
        <f t="shared" si="7"/>
        <v>2063 год</v>
      </c>
      <c r="AC119" s="909"/>
      <c r="AD119" s="911"/>
      <c r="AE119" s="912"/>
      <c r="AF119" s="912"/>
      <c r="AG119" s="911"/>
      <c r="AH119" s="911"/>
      <c r="AI119" s="911"/>
      <c r="AJ119" s="917"/>
      <c r="AK119" s="918"/>
      <c r="AL119" s="303"/>
      <c r="AM119" s="72"/>
      <c r="AN119" s="72"/>
      <c r="AO119" s="694" cm="1">
        <f t="array" ref="AO119">K119</f>
        <v>2063</v>
      </c>
      <c r="AP119" s="72"/>
      <c r="AQ119" s="72"/>
    </row>
    <row r="120" spans="1:43" s="914" customFormat="1" ht="14.25" hidden="1" customHeight="1">
      <c r="A120" s="72"/>
      <c r="B120" s="340" t="b">
        <f t="shared" si="6"/>
        <v>0</v>
      </c>
      <c r="C120" s="72"/>
      <c r="D120" s="72"/>
      <c r="E120" s="505">
        <v>15</v>
      </c>
      <c r="F120" s="3" t="str" cm="1">
        <f t="array" aca="1" ref="F120" ca="1">OFFSET(E120,-1,1)</f>
        <v>1</v>
      </c>
      <c r="G120" s="72"/>
      <c r="H120" s="72"/>
      <c r="I120" s="72"/>
      <c r="J120" s="72"/>
      <c r="K120" s="72">
        <f>first_year+38</f>
        <v>2064</v>
      </c>
      <c r="L120" s="72"/>
      <c r="M120" s="72"/>
      <c r="N120" s="72"/>
      <c r="O120" s="72"/>
      <c r="P120" s="72"/>
      <c r="Q120" s="72"/>
      <c r="R120" s="72"/>
      <c r="S120" s="72"/>
      <c r="T120" s="351" t="b" cm="1">
        <f t="array" ref="T120">T119</f>
        <v>1</v>
      </c>
      <c r="U120" s="72"/>
      <c r="V120" s="72"/>
      <c r="W120" s="72"/>
      <c r="X120" s="1024"/>
      <c r="Y120" s="72"/>
      <c r="Z120" s="1008"/>
      <c r="AA120" s="72"/>
      <c r="AB120" s="167" t="str">
        <f t="shared" si="7"/>
        <v>2064 год</v>
      </c>
      <c r="AC120" s="909"/>
      <c r="AD120" s="911"/>
      <c r="AE120" s="912"/>
      <c r="AF120" s="912"/>
      <c r="AG120" s="911"/>
      <c r="AH120" s="911"/>
      <c r="AI120" s="911"/>
      <c r="AJ120" s="917"/>
      <c r="AK120" s="918"/>
      <c r="AL120" s="303"/>
      <c r="AM120" s="72"/>
      <c r="AN120" s="72"/>
      <c r="AO120" s="694" cm="1">
        <f t="array" ref="AO120">K120</f>
        <v>2064</v>
      </c>
      <c r="AP120" s="72"/>
      <c r="AQ120" s="72"/>
    </row>
    <row r="121" spans="1:43" s="914" customFormat="1" ht="14.25" hidden="1" customHeight="1">
      <c r="A121" s="72"/>
      <c r="B121" s="340" t="b">
        <f t="shared" si="6"/>
        <v>0</v>
      </c>
      <c r="C121" s="72"/>
      <c r="D121" s="72"/>
      <c r="E121" s="505">
        <v>15</v>
      </c>
      <c r="F121" s="3" t="str" cm="1">
        <f t="array" aca="1" ref="F121" ca="1">OFFSET(E121,-1,1)</f>
        <v>1</v>
      </c>
      <c r="G121" s="72"/>
      <c r="H121" s="72"/>
      <c r="I121" s="72"/>
      <c r="J121" s="72"/>
      <c r="K121" s="72">
        <f>first_year+39</f>
        <v>2065</v>
      </c>
      <c r="L121" s="72"/>
      <c r="M121" s="72"/>
      <c r="N121" s="72"/>
      <c r="O121" s="72"/>
      <c r="P121" s="72"/>
      <c r="Q121" s="72"/>
      <c r="R121" s="72"/>
      <c r="S121" s="72"/>
      <c r="T121" s="351" t="b" cm="1">
        <f t="array" ref="T121">T120</f>
        <v>1</v>
      </c>
      <c r="U121" s="72"/>
      <c r="V121" s="72"/>
      <c r="W121" s="72"/>
      <c r="X121" s="1024"/>
      <c r="Y121" s="72"/>
      <c r="Z121" s="1008"/>
      <c r="AA121" s="72"/>
      <c r="AB121" s="167" t="str">
        <f t="shared" si="7"/>
        <v>2065 год</v>
      </c>
      <c r="AC121" s="909"/>
      <c r="AD121" s="911"/>
      <c r="AE121" s="912"/>
      <c r="AF121" s="912"/>
      <c r="AG121" s="911"/>
      <c r="AH121" s="911"/>
      <c r="AI121" s="911"/>
      <c r="AJ121" s="917"/>
      <c r="AK121" s="918"/>
      <c r="AL121" s="303"/>
      <c r="AM121" s="72"/>
      <c r="AN121" s="72"/>
      <c r="AO121" s="694" cm="1">
        <f t="array" ref="AO121">K121</f>
        <v>2065</v>
      </c>
      <c r="AP121" s="72"/>
      <c r="AQ121" s="72"/>
    </row>
    <row r="122" spans="1:43" s="914" customFormat="1" ht="14.25" hidden="1" customHeight="1">
      <c r="A122" s="72"/>
      <c r="B122" s="340" t="b">
        <f t="shared" si="6"/>
        <v>0</v>
      </c>
      <c r="C122" s="72"/>
      <c r="D122" s="72"/>
      <c r="E122" s="505">
        <v>15</v>
      </c>
      <c r="F122" s="3" t="str" cm="1">
        <f t="array" aca="1" ref="F122" ca="1">OFFSET(E122,-1,1)</f>
        <v>1</v>
      </c>
      <c r="G122" s="72"/>
      <c r="H122" s="72"/>
      <c r="I122" s="72"/>
      <c r="J122" s="72"/>
      <c r="K122" s="72">
        <f>first_year+40</f>
        <v>2066</v>
      </c>
      <c r="L122" s="72"/>
      <c r="M122" s="72"/>
      <c r="N122" s="72"/>
      <c r="O122" s="72"/>
      <c r="P122" s="72"/>
      <c r="Q122" s="72"/>
      <c r="R122" s="72"/>
      <c r="S122" s="72"/>
      <c r="T122" s="351" t="b" cm="1">
        <f t="array" ref="T122">T121</f>
        <v>1</v>
      </c>
      <c r="U122" s="72"/>
      <c r="V122" s="72"/>
      <c r="W122" s="72"/>
      <c r="X122" s="1024"/>
      <c r="Y122" s="72"/>
      <c r="Z122" s="1008"/>
      <c r="AA122" s="72"/>
      <c r="AB122" s="167" t="str">
        <f t="shared" si="7"/>
        <v>2066 год</v>
      </c>
      <c r="AC122" s="909"/>
      <c r="AD122" s="911"/>
      <c r="AE122" s="912"/>
      <c r="AF122" s="912"/>
      <c r="AG122" s="911"/>
      <c r="AH122" s="911"/>
      <c r="AI122" s="911"/>
      <c r="AJ122" s="917"/>
      <c r="AK122" s="918"/>
      <c r="AL122" s="303"/>
      <c r="AM122" s="72"/>
      <c r="AN122" s="72"/>
      <c r="AO122" s="694" cm="1">
        <f t="array" ref="AO122">K122</f>
        <v>2066</v>
      </c>
      <c r="AP122" s="72"/>
      <c r="AQ122" s="72"/>
    </row>
    <row r="123" spans="1:43" s="914" customFormat="1" ht="14.25" hidden="1" customHeight="1">
      <c r="A123" s="72"/>
      <c r="B123" s="340" t="b">
        <f t="shared" si="6"/>
        <v>0</v>
      </c>
      <c r="C123" s="72"/>
      <c r="D123" s="72"/>
      <c r="E123" s="505">
        <v>15</v>
      </c>
      <c r="F123" s="3" t="str" cm="1">
        <f t="array" aca="1" ref="F123" ca="1">OFFSET(E123,-1,1)</f>
        <v>1</v>
      </c>
      <c r="G123" s="72"/>
      <c r="H123" s="72"/>
      <c r="I123" s="72"/>
      <c r="J123" s="72"/>
      <c r="K123" s="72">
        <f>first_year+41</f>
        <v>2067</v>
      </c>
      <c r="L123" s="72"/>
      <c r="M123" s="72"/>
      <c r="N123" s="72"/>
      <c r="O123" s="72"/>
      <c r="P123" s="72"/>
      <c r="Q123" s="72"/>
      <c r="R123" s="72"/>
      <c r="S123" s="72"/>
      <c r="T123" s="351" t="b" cm="1">
        <f t="array" ref="T123">T122</f>
        <v>1</v>
      </c>
      <c r="U123" s="72"/>
      <c r="V123" s="72"/>
      <c r="W123" s="72"/>
      <c r="X123" s="1024"/>
      <c r="Y123" s="72"/>
      <c r="Z123" s="1008"/>
      <c r="AA123" s="72"/>
      <c r="AB123" s="167" t="str">
        <f t="shared" si="7"/>
        <v>2067 год</v>
      </c>
      <c r="AC123" s="909"/>
      <c r="AD123" s="911"/>
      <c r="AE123" s="912"/>
      <c r="AF123" s="912"/>
      <c r="AG123" s="911"/>
      <c r="AH123" s="911"/>
      <c r="AI123" s="911"/>
      <c r="AJ123" s="917"/>
      <c r="AK123" s="918"/>
      <c r="AL123" s="303"/>
      <c r="AM123" s="72"/>
      <c r="AN123" s="72"/>
      <c r="AO123" s="694" cm="1">
        <f t="array" ref="AO123">K123</f>
        <v>2067</v>
      </c>
      <c r="AP123" s="72"/>
      <c r="AQ123" s="72"/>
    </row>
    <row r="124" spans="1:43" s="914" customFormat="1" ht="14.25" hidden="1" customHeight="1">
      <c r="A124" s="72"/>
      <c r="B124" s="340" t="b">
        <f t="shared" si="6"/>
        <v>0</v>
      </c>
      <c r="C124" s="72"/>
      <c r="D124" s="72"/>
      <c r="E124" s="505">
        <v>15</v>
      </c>
      <c r="F124" s="3" t="str" cm="1">
        <f t="array" aca="1" ref="F124" ca="1">OFFSET(E124,-1,1)</f>
        <v>1</v>
      </c>
      <c r="G124" s="72"/>
      <c r="H124" s="72"/>
      <c r="I124" s="72"/>
      <c r="J124" s="72"/>
      <c r="K124" s="72">
        <f>first_year+42</f>
        <v>2068</v>
      </c>
      <c r="L124" s="72"/>
      <c r="M124" s="72"/>
      <c r="N124" s="72"/>
      <c r="O124" s="72"/>
      <c r="P124" s="72"/>
      <c r="Q124" s="72"/>
      <c r="R124" s="72"/>
      <c r="S124" s="72"/>
      <c r="T124" s="351" t="b" cm="1">
        <f t="array" ref="T124">T123</f>
        <v>1</v>
      </c>
      <c r="U124" s="72"/>
      <c r="V124" s="72"/>
      <c r="W124" s="72"/>
      <c r="X124" s="1024"/>
      <c r="Y124" s="72"/>
      <c r="Z124" s="1008"/>
      <c r="AA124" s="72"/>
      <c r="AB124" s="167" t="str">
        <f t="shared" si="7"/>
        <v>2068 год</v>
      </c>
      <c r="AC124" s="909"/>
      <c r="AD124" s="911"/>
      <c r="AE124" s="912"/>
      <c r="AF124" s="912"/>
      <c r="AG124" s="911"/>
      <c r="AH124" s="911"/>
      <c r="AI124" s="911"/>
      <c r="AJ124" s="917"/>
      <c r="AK124" s="918"/>
      <c r="AL124" s="303"/>
      <c r="AM124" s="72"/>
      <c r="AN124" s="72"/>
      <c r="AO124" s="694" cm="1">
        <f t="array" ref="AO124">K124</f>
        <v>2068</v>
      </c>
      <c r="AP124" s="72"/>
      <c r="AQ124" s="72"/>
    </row>
    <row r="125" spans="1:43" s="914" customFormat="1" ht="14.25" hidden="1" customHeight="1">
      <c r="A125" s="72"/>
      <c r="B125" s="340" t="b">
        <f t="shared" si="6"/>
        <v>0</v>
      </c>
      <c r="C125" s="72"/>
      <c r="D125" s="72"/>
      <c r="E125" s="505">
        <v>15</v>
      </c>
      <c r="F125" s="3" t="str" cm="1">
        <f t="array" aca="1" ref="F125" ca="1">OFFSET(E125,-1,1)</f>
        <v>1</v>
      </c>
      <c r="G125" s="72"/>
      <c r="H125" s="72"/>
      <c r="I125" s="72"/>
      <c r="J125" s="72"/>
      <c r="K125" s="72">
        <f>first_year+43</f>
        <v>2069</v>
      </c>
      <c r="L125" s="72"/>
      <c r="M125" s="72"/>
      <c r="N125" s="72"/>
      <c r="O125" s="72"/>
      <c r="P125" s="72"/>
      <c r="Q125" s="72"/>
      <c r="R125" s="72"/>
      <c r="S125" s="72"/>
      <c r="T125" s="351" t="b" cm="1">
        <f t="array" ref="T125">T124</f>
        <v>1</v>
      </c>
      <c r="U125" s="72"/>
      <c r="V125" s="72"/>
      <c r="W125" s="72"/>
      <c r="X125" s="1024"/>
      <c r="Y125" s="72"/>
      <c r="Z125" s="1008"/>
      <c r="AA125" s="72"/>
      <c r="AB125" s="167" t="str">
        <f t="shared" si="7"/>
        <v>2069 год</v>
      </c>
      <c r="AC125" s="909"/>
      <c r="AD125" s="911"/>
      <c r="AE125" s="912"/>
      <c r="AF125" s="912"/>
      <c r="AG125" s="911"/>
      <c r="AH125" s="911"/>
      <c r="AI125" s="911"/>
      <c r="AJ125" s="917"/>
      <c r="AK125" s="918"/>
      <c r="AL125" s="303"/>
      <c r="AM125" s="72"/>
      <c r="AN125" s="72"/>
      <c r="AO125" s="694" cm="1">
        <f t="array" ref="AO125">K125</f>
        <v>2069</v>
      </c>
      <c r="AP125" s="72"/>
      <c r="AQ125" s="72"/>
    </row>
    <row r="126" spans="1:43" s="914" customFormat="1" ht="14.25" hidden="1" customHeight="1">
      <c r="A126" s="72"/>
      <c r="B126" s="340" t="b">
        <f t="shared" si="6"/>
        <v>0</v>
      </c>
      <c r="C126" s="72"/>
      <c r="D126" s="72"/>
      <c r="E126" s="505">
        <v>15</v>
      </c>
      <c r="F126" s="3" t="str" cm="1">
        <f t="array" aca="1" ref="F126" ca="1">OFFSET(E126,-1,1)</f>
        <v>1</v>
      </c>
      <c r="G126" s="72"/>
      <c r="H126" s="72"/>
      <c r="I126" s="72"/>
      <c r="J126" s="72"/>
      <c r="K126" s="72">
        <f>first_year+44</f>
        <v>2070</v>
      </c>
      <c r="L126" s="72"/>
      <c r="M126" s="72"/>
      <c r="N126" s="72"/>
      <c r="O126" s="72"/>
      <c r="P126" s="72"/>
      <c r="Q126" s="72"/>
      <c r="R126" s="72"/>
      <c r="S126" s="72"/>
      <c r="T126" s="351" t="b" cm="1">
        <f t="array" ref="T126">T125</f>
        <v>1</v>
      </c>
      <c r="U126" s="72"/>
      <c r="V126" s="72"/>
      <c r="W126" s="72"/>
      <c r="X126" s="1024"/>
      <c r="Y126" s="72"/>
      <c r="Z126" s="1008"/>
      <c r="AA126" s="72"/>
      <c r="AB126" s="167" t="str">
        <f t="shared" si="7"/>
        <v>2070 год</v>
      </c>
      <c r="AC126" s="909"/>
      <c r="AD126" s="911"/>
      <c r="AE126" s="912"/>
      <c r="AF126" s="912"/>
      <c r="AG126" s="911"/>
      <c r="AH126" s="911"/>
      <c r="AI126" s="911"/>
      <c r="AJ126" s="917"/>
      <c r="AK126" s="918"/>
      <c r="AL126" s="303"/>
      <c r="AM126" s="72"/>
      <c r="AN126" s="72"/>
      <c r="AO126" s="694" cm="1">
        <f t="array" ref="AO126">K126</f>
        <v>2070</v>
      </c>
      <c r="AP126" s="72"/>
      <c r="AQ126" s="72"/>
    </row>
    <row r="127" spans="1:43" s="914" customFormat="1" ht="14.25" hidden="1" customHeight="1">
      <c r="A127" s="72"/>
      <c r="B127" s="340" t="b">
        <f t="shared" si="6"/>
        <v>0</v>
      </c>
      <c r="C127" s="72"/>
      <c r="D127" s="72"/>
      <c r="E127" s="505">
        <v>15</v>
      </c>
      <c r="F127" s="3" t="str" cm="1">
        <f t="array" aca="1" ref="F127" ca="1">OFFSET(E127,-1,1)</f>
        <v>1</v>
      </c>
      <c r="G127" s="72"/>
      <c r="H127" s="72"/>
      <c r="I127" s="72"/>
      <c r="J127" s="72"/>
      <c r="K127" s="72">
        <f>first_year+45</f>
        <v>2071</v>
      </c>
      <c r="L127" s="72"/>
      <c r="M127" s="72"/>
      <c r="N127" s="72"/>
      <c r="O127" s="72"/>
      <c r="P127" s="72"/>
      <c r="Q127" s="72"/>
      <c r="R127" s="72"/>
      <c r="S127" s="72"/>
      <c r="T127" s="351" t="b" cm="1">
        <f t="array" ref="T127">T126</f>
        <v>1</v>
      </c>
      <c r="U127" s="72"/>
      <c r="V127" s="72"/>
      <c r="W127" s="72"/>
      <c r="X127" s="1024"/>
      <c r="Y127" s="72"/>
      <c r="Z127" s="1008"/>
      <c r="AA127" s="72"/>
      <c r="AB127" s="167" t="str">
        <f t="shared" si="7"/>
        <v>2071 год</v>
      </c>
      <c r="AC127" s="909"/>
      <c r="AD127" s="911"/>
      <c r="AE127" s="912"/>
      <c r="AF127" s="912"/>
      <c r="AG127" s="911"/>
      <c r="AH127" s="911"/>
      <c r="AI127" s="911"/>
      <c r="AJ127" s="917"/>
      <c r="AK127" s="918"/>
      <c r="AL127" s="303"/>
      <c r="AM127" s="72"/>
      <c r="AN127" s="72"/>
      <c r="AO127" s="694" cm="1">
        <f t="array" ref="AO127">K127</f>
        <v>2071</v>
      </c>
      <c r="AP127" s="72"/>
      <c r="AQ127" s="72"/>
    </row>
    <row r="128" spans="1:43" s="914" customFormat="1" ht="14.25" hidden="1" customHeight="1">
      <c r="A128" s="72"/>
      <c r="B128" s="340" t="b">
        <f t="shared" si="6"/>
        <v>0</v>
      </c>
      <c r="C128" s="72"/>
      <c r="D128" s="72"/>
      <c r="E128" s="505">
        <v>15</v>
      </c>
      <c r="F128" s="3" t="str" cm="1">
        <f t="array" aca="1" ref="F128" ca="1">OFFSET(E128,-1,1)</f>
        <v>1</v>
      </c>
      <c r="G128" s="72"/>
      <c r="H128" s="72"/>
      <c r="I128" s="72"/>
      <c r="J128" s="72"/>
      <c r="K128" s="72">
        <f>first_year+46</f>
        <v>2072</v>
      </c>
      <c r="L128" s="72"/>
      <c r="M128" s="72"/>
      <c r="N128" s="72"/>
      <c r="O128" s="72"/>
      <c r="P128" s="72"/>
      <c r="Q128" s="72"/>
      <c r="R128" s="72"/>
      <c r="S128" s="72"/>
      <c r="T128" s="351" t="b" cm="1">
        <f t="array" ref="T128">T127</f>
        <v>1</v>
      </c>
      <c r="U128" s="72"/>
      <c r="V128" s="72"/>
      <c r="W128" s="72"/>
      <c r="X128" s="1024"/>
      <c r="Y128" s="72"/>
      <c r="Z128" s="1008"/>
      <c r="AA128" s="72"/>
      <c r="AB128" s="167" t="str">
        <f t="shared" si="7"/>
        <v>2072 год</v>
      </c>
      <c r="AC128" s="909"/>
      <c r="AD128" s="911"/>
      <c r="AE128" s="912"/>
      <c r="AF128" s="912"/>
      <c r="AG128" s="911"/>
      <c r="AH128" s="911"/>
      <c r="AI128" s="911"/>
      <c r="AJ128" s="917"/>
      <c r="AK128" s="918"/>
      <c r="AL128" s="303"/>
      <c r="AM128" s="72"/>
      <c r="AN128" s="72"/>
      <c r="AO128" s="694" cm="1">
        <f t="array" ref="AO128">K128</f>
        <v>2072</v>
      </c>
      <c r="AP128" s="72"/>
      <c r="AQ128" s="72"/>
    </row>
    <row r="129" spans="1:43" s="914" customFormat="1" ht="14.25" hidden="1" customHeight="1">
      <c r="A129" s="72"/>
      <c r="B129" s="340" t="b">
        <f t="shared" si="6"/>
        <v>0</v>
      </c>
      <c r="C129" s="72"/>
      <c r="D129" s="72"/>
      <c r="E129" s="505">
        <v>15</v>
      </c>
      <c r="F129" s="3" t="str" cm="1">
        <f t="array" aca="1" ref="F129" ca="1">OFFSET(E129,-1,1)</f>
        <v>1</v>
      </c>
      <c r="G129" s="72"/>
      <c r="H129" s="72"/>
      <c r="I129" s="72"/>
      <c r="J129" s="72"/>
      <c r="K129" s="72">
        <f>first_year+47</f>
        <v>2073</v>
      </c>
      <c r="L129" s="72"/>
      <c r="M129" s="72"/>
      <c r="N129" s="72"/>
      <c r="O129" s="72"/>
      <c r="P129" s="72"/>
      <c r="Q129" s="72"/>
      <c r="R129" s="72"/>
      <c r="S129" s="72"/>
      <c r="T129" s="351" t="b" cm="1">
        <f t="array" ref="T129">T128</f>
        <v>1</v>
      </c>
      <c r="U129" s="72"/>
      <c r="V129" s="72"/>
      <c r="W129" s="72"/>
      <c r="X129" s="1024"/>
      <c r="Y129" s="72"/>
      <c r="Z129" s="1008"/>
      <c r="AA129" s="72"/>
      <c r="AB129" s="167" t="str">
        <f t="shared" si="7"/>
        <v>2073 год</v>
      </c>
      <c r="AC129" s="909"/>
      <c r="AD129" s="911"/>
      <c r="AE129" s="912"/>
      <c r="AF129" s="912"/>
      <c r="AG129" s="911"/>
      <c r="AH129" s="911"/>
      <c r="AI129" s="911"/>
      <c r="AJ129" s="917"/>
      <c r="AK129" s="918"/>
      <c r="AL129" s="303"/>
      <c r="AM129" s="72"/>
      <c r="AN129" s="72"/>
      <c r="AO129" s="694" cm="1">
        <f t="array" ref="AO129">K129</f>
        <v>2073</v>
      </c>
      <c r="AP129" s="72"/>
      <c r="AQ129" s="72"/>
    </row>
    <row r="130" spans="1:43" s="914" customFormat="1" ht="14.25" hidden="1" customHeight="1">
      <c r="A130" s="72"/>
      <c r="B130" s="340" t="b">
        <f t="shared" si="6"/>
        <v>0</v>
      </c>
      <c r="C130" s="72"/>
      <c r="D130" s="72"/>
      <c r="E130" s="505">
        <v>15</v>
      </c>
      <c r="F130" s="3" t="str" cm="1">
        <f t="array" aca="1" ref="F130" ca="1">OFFSET(E130,-1,1)</f>
        <v>1</v>
      </c>
      <c r="G130" s="72"/>
      <c r="H130" s="72"/>
      <c r="I130" s="72"/>
      <c r="J130" s="72"/>
      <c r="K130" s="72">
        <f>first_year+48</f>
        <v>2074</v>
      </c>
      <c r="L130" s="72"/>
      <c r="M130" s="72"/>
      <c r="N130" s="72"/>
      <c r="O130" s="72"/>
      <c r="P130" s="72"/>
      <c r="Q130" s="72"/>
      <c r="R130" s="72"/>
      <c r="S130" s="72"/>
      <c r="T130" s="351" t="b" cm="1">
        <f t="array" ref="T130">T129</f>
        <v>1</v>
      </c>
      <c r="U130" s="72"/>
      <c r="V130" s="72"/>
      <c r="W130" s="72"/>
      <c r="X130" s="1024"/>
      <c r="Y130" s="72"/>
      <c r="Z130" s="1008"/>
      <c r="AA130" s="72"/>
      <c r="AB130" s="167" t="str">
        <f t="shared" si="7"/>
        <v>2074 год</v>
      </c>
      <c r="AC130" s="909"/>
      <c r="AD130" s="911"/>
      <c r="AE130" s="912"/>
      <c r="AF130" s="912"/>
      <c r="AG130" s="911"/>
      <c r="AH130" s="911"/>
      <c r="AI130" s="911"/>
      <c r="AJ130" s="917"/>
      <c r="AK130" s="918"/>
      <c r="AL130" s="303"/>
      <c r="AM130" s="72"/>
      <c r="AN130" s="72"/>
      <c r="AO130" s="694" cm="1">
        <f t="array" ref="AO130">K130</f>
        <v>2074</v>
      </c>
      <c r="AP130" s="72"/>
      <c r="AQ130" s="72"/>
    </row>
    <row r="131" spans="1:43" s="914" customFormat="1" ht="14.25" hidden="1" customHeight="1">
      <c r="A131" s="72"/>
      <c r="B131" s="340" t="b">
        <f t="shared" si="6"/>
        <v>0</v>
      </c>
      <c r="C131" s="72"/>
      <c r="D131" s="72"/>
      <c r="E131" s="505">
        <v>15</v>
      </c>
      <c r="F131" s="3" t="str" cm="1">
        <f t="array" aca="1" ref="F131" ca="1">OFFSET(E131,-1,1)</f>
        <v>1</v>
      </c>
      <c r="G131" s="72"/>
      <c r="H131" s="72"/>
      <c r="I131" s="72"/>
      <c r="J131" s="72"/>
      <c r="K131" s="72">
        <f>first_year+49</f>
        <v>2075</v>
      </c>
      <c r="L131" s="72"/>
      <c r="M131" s="72"/>
      <c r="N131" s="72"/>
      <c r="O131" s="72"/>
      <c r="P131" s="72"/>
      <c r="Q131" s="72"/>
      <c r="R131" s="72"/>
      <c r="S131" s="72"/>
      <c r="T131" s="351" t="b" cm="1">
        <f t="array" ref="T131">T130</f>
        <v>1</v>
      </c>
      <c r="U131" s="72"/>
      <c r="V131" s="72"/>
      <c r="W131" s="72"/>
      <c r="X131" s="1024"/>
      <c r="Y131" s="72"/>
      <c r="Z131" s="1008"/>
      <c r="AA131" s="72"/>
      <c r="AB131" s="167" t="str">
        <f t="shared" si="7"/>
        <v>2075 год</v>
      </c>
      <c r="AC131" s="909"/>
      <c r="AD131" s="911"/>
      <c r="AE131" s="912"/>
      <c r="AF131" s="912"/>
      <c r="AG131" s="911"/>
      <c r="AH131" s="911"/>
      <c r="AI131" s="911"/>
      <c r="AJ131" s="917"/>
      <c r="AK131" s="918"/>
      <c r="AL131" s="303"/>
      <c r="AM131" s="72"/>
      <c r="AN131" s="72"/>
      <c r="AO131" s="694" cm="1">
        <f t="array" ref="AO131">K131</f>
        <v>2075</v>
      </c>
      <c r="AP131" s="72"/>
      <c r="AQ131" s="72"/>
    </row>
    <row r="132" spans="1:43" ht="10.7" customHeight="1">
      <c r="E132" s="505">
        <v>11</v>
      </c>
      <c r="U132" s="17" t="s">
        <v>175</v>
      </c>
      <c r="V132" s="511" t="s">
        <v>2304</v>
      </c>
      <c r="AO132" s="659"/>
    </row>
    <row r="133" spans="1:43" s="72" customFormat="1" ht="14.65" customHeight="1">
      <c r="A133" s="17"/>
      <c r="B133" s="46"/>
      <c r="C133" s="17"/>
      <c r="D133" s="17"/>
      <c r="E133" s="459">
        <v>15</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032" t="s">
        <v>396</v>
      </c>
      <c r="AC133" s="1032"/>
      <c r="AD133" s="1032"/>
      <c r="AE133" s="1032"/>
      <c r="AF133" s="1032"/>
      <c r="AG133" s="1032"/>
      <c r="AH133" s="1032"/>
      <c r="AI133" s="1032"/>
      <c r="AJ133" s="1032"/>
      <c r="AK133" s="1032"/>
      <c r="AL133" s="17"/>
      <c r="AO133" s="694"/>
    </row>
    <row r="134" spans="1:43" s="72" customFormat="1" ht="30.95" customHeight="1">
      <c r="A134" s="17"/>
      <c r="B134" s="46"/>
      <c r="C134" s="17"/>
      <c r="D134" s="17"/>
      <c r="E134" s="459">
        <v>15</v>
      </c>
      <c r="F134" s="17"/>
      <c r="G134" s="17"/>
      <c r="H134" s="17"/>
      <c r="I134" s="17"/>
      <c r="J134" s="17"/>
      <c r="K134" s="17"/>
      <c r="L134" s="17"/>
      <c r="M134" s="17"/>
      <c r="N134" s="17"/>
      <c r="O134" s="17"/>
      <c r="P134" s="17"/>
      <c r="Q134" s="17"/>
      <c r="R134" s="17"/>
      <c r="S134" s="17"/>
      <c r="T134" s="17"/>
      <c r="U134" s="17"/>
      <c r="V134" s="17"/>
      <c r="W134" s="17"/>
      <c r="X134" s="17"/>
      <c r="Y134" s="17"/>
      <c r="Z134" s="17"/>
      <c r="AA134" s="87"/>
      <c r="AB134" s="1116"/>
      <c r="AC134" s="1116"/>
      <c r="AD134" s="1116"/>
      <c r="AE134" s="1116"/>
      <c r="AF134" s="1116"/>
      <c r="AG134" s="1116"/>
      <c r="AH134" s="1115"/>
      <c r="AI134" s="1115"/>
      <c r="AJ134" s="1115"/>
      <c r="AK134" s="1115"/>
      <c r="AL134" s="17"/>
      <c r="AO134" s="694"/>
    </row>
    <row r="135" spans="1:43" ht="14.65" hidden="1" customHeight="1">
      <c r="E135" s="459">
        <v>15</v>
      </c>
      <c r="T135" s="17" t="b">
        <f>ROW(W135)&gt;ROW(W$135)</f>
        <v>0</v>
      </c>
      <c r="W135" s="72" t="s">
        <v>171</v>
      </c>
      <c r="AA135" s="319" t="s">
        <v>172</v>
      </c>
      <c r="AB135" s="1115" t="s">
        <v>124</v>
      </c>
      <c r="AC135" s="1115"/>
      <c r="AD135" s="1115"/>
      <c r="AE135" s="1115"/>
      <c r="AF135" s="1115"/>
      <c r="AG135" s="1115"/>
      <c r="AH135" s="1115"/>
      <c r="AI135" s="1115"/>
      <c r="AJ135" s="1115"/>
      <c r="AK135" s="1115"/>
      <c r="AM135"/>
      <c r="AN135"/>
      <c r="AO135" s="659"/>
      <c r="AP135"/>
      <c r="AQ135" s="19"/>
    </row>
    <row r="136" spans="1:43" ht="14.65" customHeight="1">
      <c r="E136" s="459">
        <v>15</v>
      </c>
      <c r="W136" s="504" t="s">
        <v>407</v>
      </c>
      <c r="AB136" s="472"/>
      <c r="AC136" s="380" t="s">
        <v>408</v>
      </c>
      <c r="AD136" s="220"/>
      <c r="AE136" s="220"/>
      <c r="AF136" s="220"/>
      <c r="AG136" s="220"/>
      <c r="AH136" s="220"/>
      <c r="AI136" s="220"/>
      <c r="AJ136" s="220"/>
      <c r="AK136" s="221"/>
      <c r="AM136"/>
      <c r="AN136"/>
      <c r="AO136" s="659"/>
      <c r="AP136"/>
      <c r="AQ136" s="19"/>
    </row>
    <row r="137" spans="1:43" ht="10.7" customHeight="1">
      <c r="E137" s="459">
        <v>11</v>
      </c>
      <c r="AL137" s="22"/>
      <c r="AM137"/>
      <c r="AN137"/>
      <c r="AO137" s="659"/>
      <c r="AP137"/>
      <c r="AQ137" s="19"/>
    </row>
    <row r="138" spans="1:43" ht="11.25" hidden="1" customHeight="1">
      <c r="A138"/>
      <c r="B138" s="326"/>
      <c r="C138"/>
      <c r="D138"/>
      <c r="E138" s="452"/>
      <c r="F138"/>
      <c r="G138"/>
      <c r="H138"/>
      <c r="I138"/>
      <c r="J138"/>
      <c r="K138"/>
      <c r="L138"/>
      <c r="M138"/>
      <c r="N138"/>
      <c r="O138"/>
      <c r="P138"/>
      <c r="Q138"/>
      <c r="R138"/>
      <c r="S138"/>
      <c r="T138"/>
      <c r="U138"/>
      <c r="V138"/>
      <c r="W138"/>
      <c r="X138"/>
      <c r="Y138"/>
      <c r="Z138"/>
      <c r="AA138"/>
      <c r="AB138"/>
      <c r="AC138" s="18"/>
      <c r="AD138" s="18"/>
      <c r="AE138" s="18"/>
      <c r="AF138" s="18"/>
      <c r="AG138"/>
      <c r="AH138"/>
      <c r="AI138"/>
      <c r="AJ138"/>
      <c r="AK138"/>
      <c r="AL138"/>
      <c r="AM138"/>
      <c r="AN138"/>
      <c r="AO138" s="659"/>
      <c r="AP138"/>
      <c r="AQ138" s="19"/>
    </row>
  </sheetData>
  <sheetProtection formatColumns="0" formatRows="0" insertRows="0" deleteColumns="0" deleteRows="0" sort="0" autoFilter="0"/>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xr:uid="{00000000-0002-0000-1E00-000000000000}">
      <formula1>0</formula1>
      <formula2>9.99999999999999E+23</formula2>
    </dataValidation>
    <dataValidation type="list" allowBlank="1" showInputMessage="1" showErrorMessage="1" errorTitle="Внимание" error="Пожалуйста, выберите значение из списка!" sqref="AF24" xr:uid="{00000000-0002-0000-1E00-000001000000}">
      <formula1>YES_NO</formula1>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CEFB-7AC8-1EC9-1BB2-558A5549B138}">
  <sheetPr>
    <tabColor rgb="FF002060"/>
    <outlinePr summaryBelow="0" summaryRight="0"/>
  </sheetPr>
  <dimension ref="A1:AR139"/>
  <sheetViews>
    <sheetView showGridLines="0"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69" hidden="1"/>
    <col min="43" max="44" width="9.140625" style="459" hidden="1"/>
  </cols>
  <sheetData>
    <row r="1" spans="1:44" ht="11.25" hidden="1" customHeight="1">
      <c r="E1" s="17"/>
      <c r="F1" s="17" t="s">
        <v>309</v>
      </c>
      <c r="G1" s="17" t="s">
        <v>346</v>
      </c>
      <c r="K1" s="17" t="s">
        <v>349</v>
      </c>
      <c r="T1" s="351" t="s">
        <v>92</v>
      </c>
      <c r="U1" s="351" t="s">
        <v>97</v>
      </c>
      <c r="V1" s="351" t="s">
        <v>93</v>
      </c>
      <c r="W1" s="351" t="s">
        <v>94</v>
      </c>
      <c r="X1" s="351" t="s">
        <v>95</v>
      </c>
      <c r="Y1" s="353" t="s">
        <v>311</v>
      </c>
      <c r="Z1" s="351" t="s">
        <v>99</v>
      </c>
      <c r="AA1" s="352" t="s">
        <v>96</v>
      </c>
      <c r="AB1" s="351" t="s">
        <v>98</v>
      </c>
      <c r="AC1" s="352" t="s">
        <v>98</v>
      </c>
      <c r="AN1" s="669" t="s">
        <v>354</v>
      </c>
      <c r="AO1" s="669" t="s">
        <v>313</v>
      </c>
      <c r="AP1" s="669" t="s">
        <v>314</v>
      </c>
      <c r="AQ1" s="459" t="s">
        <v>317</v>
      </c>
      <c r="AR1" s="459" t="s">
        <v>318</v>
      </c>
    </row>
    <row r="2" spans="1:44" s="46" customFormat="1" ht="11.25" hidden="1" customHeight="1">
      <c r="B2" s="340" t="s">
        <v>18</v>
      </c>
      <c r="AB2" s="325"/>
      <c r="AG2" s="340" t="b">
        <f>DPR_ee_divide="нет"</f>
        <v>1</v>
      </c>
      <c r="AH2" s="340" t="b">
        <f>DPR_ee_divide="да"</f>
        <v>0</v>
      </c>
      <c r="AI2" s="340" t="b">
        <f>DPR_ee_divide="да"</f>
        <v>0</v>
      </c>
      <c r="AJ2" s="340" t="b">
        <f>DPR_ee_divide="да"</f>
        <v>0</v>
      </c>
      <c r="AK2" s="340" t="b">
        <f>DPR_ee_divide="да"</f>
        <v>0</v>
      </c>
      <c r="AN2" s="670"/>
      <c r="AO2" s="670"/>
      <c r="AP2" s="670"/>
      <c r="AQ2" s="675"/>
      <c r="AR2" s="675"/>
    </row>
    <row r="3" spans="1:44" ht="11.25" hidden="1" customHeight="1">
      <c r="E3" s="17"/>
    </row>
    <row r="4" spans="1:44" ht="11.25" hidden="1" customHeight="1">
      <c r="E4" s="17"/>
    </row>
    <row r="5" spans="1:44" s="459" customFormat="1" ht="11.25" hidden="1" customHeight="1">
      <c r="A5" s="17"/>
      <c r="B5" s="46"/>
      <c r="C5" s="17"/>
      <c r="D5" s="17"/>
      <c r="E5" s="459" t="s">
        <v>19</v>
      </c>
      <c r="AA5" s="459">
        <v>3</v>
      </c>
      <c r="AB5" s="501">
        <v>14.71</v>
      </c>
      <c r="AC5" s="459">
        <v>17</v>
      </c>
      <c r="AD5" s="459">
        <v>17</v>
      </c>
      <c r="AE5" s="459">
        <v>17</v>
      </c>
      <c r="AF5" s="459">
        <v>17</v>
      </c>
      <c r="AG5" s="459">
        <v>17</v>
      </c>
      <c r="AH5" s="459">
        <v>23</v>
      </c>
      <c r="AI5" s="459">
        <v>23</v>
      </c>
      <c r="AJ5" s="459">
        <v>23</v>
      </c>
      <c r="AK5" s="459">
        <v>25</v>
      </c>
      <c r="AL5" s="459">
        <v>3</v>
      </c>
      <c r="AN5" s="669"/>
      <c r="AO5" s="669"/>
      <c r="AP5" s="669"/>
    </row>
    <row r="6" spans="1:44" ht="11.25" hidden="1" customHeight="1">
      <c r="A6" s="17" t="s">
        <v>320</v>
      </c>
      <c r="AC6" s="17" t="s">
        <v>321</v>
      </c>
      <c r="AD6" s="17" t="s">
        <v>322</v>
      </c>
      <c r="AE6" s="17" t="s">
        <v>323</v>
      </c>
      <c r="AF6" s="17" t="s">
        <v>587</v>
      </c>
      <c r="AG6" s="17" t="s">
        <v>591</v>
      </c>
      <c r="AH6" s="17" t="s">
        <v>2279</v>
      </c>
      <c r="AI6" s="17" t="s">
        <v>2280</v>
      </c>
      <c r="AJ6" s="17" t="s">
        <v>2281</v>
      </c>
      <c r="AK6" s="17" t="s">
        <v>2282</v>
      </c>
    </row>
    <row r="7" spans="1:44" ht="11.25" hidden="1" customHeight="1"/>
    <row r="8" spans="1:44" ht="11.25" hidden="1" customHeight="1"/>
    <row r="9" spans="1:44" s="669" customFormat="1" ht="11.25" hidden="1" customHeight="1">
      <c r="A9" s="669" t="s">
        <v>312</v>
      </c>
      <c r="B9" s="670"/>
      <c r="AB9" s="688"/>
      <c r="AC9" s="703" t="s">
        <v>2283</v>
      </c>
      <c r="AD9" s="703" t="s">
        <v>2284</v>
      </c>
      <c r="AE9" s="703" t="s">
        <v>2285</v>
      </c>
      <c r="AF9" s="703" t="s">
        <v>2286</v>
      </c>
      <c r="AG9" s="703" t="s">
        <v>2287</v>
      </c>
      <c r="AH9" s="703" t="s">
        <v>2288</v>
      </c>
      <c r="AI9" s="703" t="s">
        <v>2289</v>
      </c>
      <c r="AJ9" s="703" t="s">
        <v>2290</v>
      </c>
      <c r="AK9" s="669" t="s">
        <v>2291</v>
      </c>
      <c r="AQ9" s="459"/>
      <c r="AR9" s="459"/>
    </row>
    <row r="10" spans="1:44" s="669" customFormat="1" ht="11.25" hidden="1" customHeight="1">
      <c r="A10" s="669" t="s">
        <v>327</v>
      </c>
      <c r="B10" s="670"/>
      <c r="AB10" s="688" t="s">
        <v>314</v>
      </c>
      <c r="AQ10" s="459"/>
      <c r="AR10" s="459"/>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357</v>
      </c>
      <c r="AB18" s="120" t="s">
        <v>192</v>
      </c>
    </row>
    <row r="19" spans="1:44" ht="11.25" hidden="1" customHeight="1"/>
    <row r="20" spans="1:44" ht="11.25" hidden="1" customHeight="1"/>
    <row r="21" spans="1:44" ht="14.65" customHeight="1">
      <c r="E21" s="459">
        <v>15</v>
      </c>
      <c r="AA21" s="59"/>
      <c r="AB21" s="267" t="str" cm="1">
        <f t="array" ref="AB21">tpl_title</f>
        <v>Кемеровская область / 2026 / МУП "Водоканал" (ИНН:4202043124, КПП:420201001) / ДПР: 2026-2028</v>
      </c>
    </row>
    <row r="22" spans="1:44" s="59" customFormat="1" ht="23.45" customHeight="1">
      <c r="B22" s="46"/>
      <c r="E22" s="460">
        <v>24</v>
      </c>
      <c r="AB22" s="225" t="s">
        <v>86</v>
      </c>
      <c r="AC22" s="119"/>
      <c r="AD22" s="119"/>
      <c r="AE22" s="119"/>
      <c r="AF22" s="119"/>
      <c r="AG22" s="119"/>
      <c r="AH22" s="119"/>
      <c r="AI22" s="119"/>
      <c r="AJ22" s="119"/>
      <c r="AK22" s="119"/>
      <c r="AN22" s="672"/>
      <c r="AO22" s="672"/>
      <c r="AP22" s="672"/>
      <c r="AQ22" s="460"/>
      <c r="AR22" s="460"/>
    </row>
    <row r="23" spans="1:44" ht="10.9" customHeight="1">
      <c r="E23" s="459">
        <v>11.25</v>
      </c>
      <c r="AB23" s="60"/>
      <c r="AC23" s="60"/>
    </row>
    <row r="24" spans="1:44" s="60" customFormat="1" ht="38.1" customHeight="1">
      <c r="B24" s="325"/>
      <c r="E24" s="457">
        <v>39</v>
      </c>
      <c r="AB24" s="1121" t="s">
        <v>2293</v>
      </c>
      <c r="AC24" s="1124" t="s">
        <v>2294</v>
      </c>
      <c r="AD24" s="1124" t="s">
        <v>508</v>
      </c>
      <c r="AE24" s="1124" t="s">
        <v>2295</v>
      </c>
      <c r="AF24" s="1124" t="s">
        <v>2296</v>
      </c>
      <c r="AG24" s="1124"/>
      <c r="AH24" s="1124"/>
      <c r="AI24" s="1124"/>
      <c r="AJ24" s="1124"/>
      <c r="AK24" s="1125"/>
      <c r="AN24" s="667"/>
      <c r="AO24" s="667"/>
      <c r="AP24" s="667"/>
      <c r="AQ24" s="457"/>
      <c r="AR24" s="457"/>
    </row>
    <row r="25" spans="1:44" s="60" customFormat="1" ht="35.1" customHeight="1">
      <c r="B25" s="325"/>
      <c r="E25" s="457">
        <v>36</v>
      </c>
      <c r="AB25" s="1122"/>
      <c r="AC25" s="1124"/>
      <c r="AD25" s="1124"/>
      <c r="AE25" s="1124"/>
      <c r="AF25" s="166" t="s">
        <v>633</v>
      </c>
      <c r="AG25" s="166" t="s">
        <v>2297</v>
      </c>
      <c r="AH25" s="166" t="s">
        <v>2298</v>
      </c>
      <c r="AI25" s="166" t="s">
        <v>2299</v>
      </c>
      <c r="AJ25" s="166" t="s">
        <v>2300</v>
      </c>
      <c r="AK25" s="167" t="s">
        <v>2301</v>
      </c>
      <c r="AN25" s="667"/>
      <c r="AO25" s="667"/>
      <c r="AP25" s="667"/>
      <c r="AQ25" s="457"/>
      <c r="AR25" s="457"/>
    </row>
    <row r="26" spans="1:44" s="62" customFormat="1" ht="10.9" customHeight="1">
      <c r="B26" s="325"/>
      <c r="E26" s="178">
        <v>11.25</v>
      </c>
      <c r="AB26" s="1123"/>
      <c r="AC26" s="166" t="s">
        <v>859</v>
      </c>
      <c r="AD26" s="166" t="s">
        <v>501</v>
      </c>
      <c r="AE26" s="10" t="s">
        <v>501</v>
      </c>
      <c r="AF26" s="166" t="s">
        <v>501</v>
      </c>
      <c r="AG26" s="166" t="s">
        <v>2302</v>
      </c>
      <c r="AH26" s="166" t="s">
        <v>2302</v>
      </c>
      <c r="AI26" s="166" t="s">
        <v>2302</v>
      </c>
      <c r="AJ26" s="166" t="s">
        <v>2302</v>
      </c>
      <c r="AK26" s="167" t="s">
        <v>2302</v>
      </c>
      <c r="AN26" s="676"/>
      <c r="AO26" s="676"/>
      <c r="AP26" s="676"/>
      <c r="AQ26" s="178"/>
      <c r="AR26" s="178"/>
    </row>
    <row r="27" spans="1:44" ht="11.25" hidden="1" customHeight="1">
      <c r="A27" s="314"/>
      <c r="B27" s="477"/>
      <c r="C27" s="314"/>
      <c r="D27" s="314"/>
      <c r="E27" s="478">
        <v>0</v>
      </c>
      <c r="F27" s="4"/>
      <c r="G27" s="314"/>
      <c r="H27" s="314"/>
      <c r="I27" s="314"/>
      <c r="J27" s="314"/>
      <c r="K27" s="314"/>
      <c r="L27" s="314"/>
      <c r="M27" s="314"/>
      <c r="N27" s="314"/>
      <c r="O27" s="314"/>
      <c r="P27" s="314"/>
      <c r="Q27" s="314"/>
      <c r="R27" s="314"/>
      <c r="S27" s="314"/>
      <c r="T27" s="314"/>
      <c r="U27" s="314"/>
      <c r="V27" s="314"/>
      <c r="W27" s="314"/>
      <c r="X27" s="314"/>
      <c r="Y27" s="314"/>
      <c r="Z27" s="314"/>
      <c r="AA27" s="314"/>
      <c r="AB27"/>
      <c r="AC27" s="18"/>
      <c r="AD27" s="18"/>
      <c r="AE27" s="18"/>
      <c r="AF27" s="18"/>
      <c r="AG27"/>
      <c r="AH27"/>
      <c r="AI27"/>
      <c r="AJ27"/>
      <c r="AK27"/>
      <c r="AL27"/>
      <c r="AM27"/>
      <c r="AN27" s="659"/>
      <c r="AO27" s="659"/>
      <c r="AP27" s="659"/>
      <c r="AQ27" s="661"/>
      <c r="AR27" s="452"/>
    </row>
    <row r="28" spans="1:44" s="38" customFormat="1" ht="14.65" hidden="1" customHeight="1">
      <c r="B28" s="43"/>
      <c r="E28" s="446">
        <v>15</v>
      </c>
      <c r="F28" s="17" cm="1">
        <f t="array" ref="F28">X28</f>
        <v>0</v>
      </c>
      <c r="T28" s="351" t="b">
        <f>X28&gt;0</f>
        <v>0</v>
      </c>
      <c r="V28" s="38" t="s">
        <v>266</v>
      </c>
      <c r="X28" s="1024">
        <v>0</v>
      </c>
      <c r="Z28" s="1008"/>
      <c r="AB28" s="279" t="str" cm="1">
        <f t="array" ref="AB28">INDEX('Общие сведения'!$AG$179:$AG$208,MATCH($X28,'Общие сведения'!$Z$179:$Z$208,0))</f>
        <v xml:space="preserve">Тариф 0 () - </v>
      </c>
      <c r="AC28" s="156"/>
      <c r="AD28" s="156"/>
      <c r="AE28" s="156"/>
      <c r="AF28" s="156"/>
      <c r="AG28" s="156"/>
      <c r="AH28" s="156"/>
      <c r="AI28" s="156"/>
      <c r="AJ28" s="156"/>
      <c r="AK28" s="156"/>
      <c r="AL28" s="302"/>
      <c r="AN28" s="654"/>
      <c r="AO28" s="654"/>
      <c r="AP28" s="654"/>
      <c r="AQ28" s="446"/>
      <c r="AR28" s="446"/>
    </row>
    <row r="29" spans="1:44" s="38" customFormat="1" ht="14.65" hidden="1" customHeight="1">
      <c r="B29" s="43"/>
      <c r="E29" s="446">
        <v>15</v>
      </c>
      <c r="F29" s="3" cm="1">
        <f t="array" aca="1" ref="F29" ca="1">OFFSET(E29,-1,1)</f>
        <v>0</v>
      </c>
      <c r="G29" s="38" cm="1">
        <f t="array" ref="G29">AB29</f>
        <v>0</v>
      </c>
      <c r="T29" s="351" t="b">
        <f ca="1">AND(F29&gt;0,Y29&gt;0)</f>
        <v>0</v>
      </c>
      <c r="W29" s="38" t="s">
        <v>171</v>
      </c>
      <c r="X29" s="1024"/>
      <c r="Y29" s="1024">
        <v>0</v>
      </c>
      <c r="Z29" s="1008"/>
      <c r="AA29" s="1126" t="s">
        <v>172</v>
      </c>
      <c r="AB29" s="1127"/>
      <c r="AC29" s="1127"/>
      <c r="AD29" s="1127"/>
      <c r="AE29" s="1127"/>
      <c r="AF29" s="1127"/>
      <c r="AG29" s="1127"/>
      <c r="AH29" s="1127"/>
      <c r="AI29" s="1127"/>
      <c r="AJ29" s="1127"/>
      <c r="AK29" s="1128"/>
      <c r="AL29" s="302"/>
      <c r="AN29" s="654"/>
      <c r="AO29" s="694" t="s">
        <v>2305</v>
      </c>
      <c r="AP29" s="685" cm="1">
        <f t="array" ref="AP29">AB29</f>
        <v>0</v>
      </c>
      <c r="AQ29" s="446"/>
      <c r="AR29" s="446" t="b">
        <v>1</v>
      </c>
    </row>
    <row r="30" spans="1:44" s="72" customFormat="1" ht="14.65" hidden="1" customHeight="1">
      <c r="B30" s="340" t="b">
        <f t="shared" ref="B30:B61" si="0">K30&lt;first_year+PERIOD_LENGTH</f>
        <v>1</v>
      </c>
      <c r="E30" s="505">
        <v>15</v>
      </c>
      <c r="F30" s="3" cm="1">
        <f t="array" aca="1" ref="F30" ca="1">OFFSET(E30,-1,1)</f>
        <v>0</v>
      </c>
      <c r="G30" s="17" cm="1">
        <f t="array" ref="G30">G29</f>
        <v>0</v>
      </c>
      <c r="K30" s="72" cm="1">
        <f t="array" ref="K30">first_year</f>
        <v>2026</v>
      </c>
      <c r="T30" s="351" t="b" cm="1">
        <f t="array" aca="1" ref="T30" ca="1">T29</f>
        <v>0</v>
      </c>
      <c r="X30" s="1024"/>
      <c r="Y30" s="1024"/>
      <c r="Z30" s="1008"/>
      <c r="AA30" s="1126"/>
      <c r="AB30" s="210" t="str">
        <f t="shared" ref="AB30:AB61" si="1">K30&amp;" год"</f>
        <v>2026 год</v>
      </c>
      <c r="AC30" s="919"/>
      <c r="AD30" s="920"/>
      <c r="AE30" s="919"/>
      <c r="AF30" s="919"/>
      <c r="AG30" s="920"/>
      <c r="AH30" s="919"/>
      <c r="AI30" s="920"/>
      <c r="AJ30" s="919"/>
      <c r="AK30" s="921"/>
      <c r="AL30" s="303"/>
      <c r="AN30" s="694" cm="1">
        <f t="array" ref="AN30">K30</f>
        <v>2026</v>
      </c>
      <c r="AO30" s="694" t="s">
        <v>2305</v>
      </c>
      <c r="AP30" s="704" cm="1">
        <f t="array" ref="AP30">AP29</f>
        <v>0</v>
      </c>
      <c r="AQ30" s="505"/>
      <c r="AR30" s="505"/>
    </row>
    <row r="31" spans="1:44" s="72" customFormat="1" ht="14.65" hidden="1" customHeight="1">
      <c r="B31" s="340" t="b">
        <f t="shared" si="0"/>
        <v>1</v>
      </c>
      <c r="E31" s="505">
        <v>15</v>
      </c>
      <c r="F31" s="3" cm="1">
        <f t="array" aca="1" ref="F31" ca="1">OFFSET(E31,-1,1)</f>
        <v>0</v>
      </c>
      <c r="G31" s="17" cm="1">
        <f t="array" ref="G31">G30</f>
        <v>0</v>
      </c>
      <c r="K31" s="72">
        <f>first_year+1</f>
        <v>2027</v>
      </c>
      <c r="T31" s="351" t="b" cm="1">
        <f t="array" aca="1" ref="T31" ca="1">T30</f>
        <v>0</v>
      </c>
      <c r="X31" s="1024"/>
      <c r="Y31" s="1024"/>
      <c r="Z31" s="1008"/>
      <c r="AA31" s="1126"/>
      <c r="AB31" s="167" t="str">
        <f t="shared" si="1"/>
        <v>2027 год</v>
      </c>
      <c r="AC31" s="307"/>
      <c r="AD31" s="920"/>
      <c r="AE31" s="919"/>
      <c r="AF31" s="919"/>
      <c r="AG31" s="920"/>
      <c r="AH31" s="919"/>
      <c r="AI31" s="920"/>
      <c r="AJ31" s="919"/>
      <c r="AK31" s="921"/>
      <c r="AL31" s="303"/>
      <c r="AN31" s="694" cm="1">
        <f t="array" ref="AN31">K31</f>
        <v>2027</v>
      </c>
      <c r="AO31" s="694" t="s">
        <v>2305</v>
      </c>
      <c r="AP31" s="704" cm="1">
        <f t="array" ref="AP31">AP30</f>
        <v>0</v>
      </c>
      <c r="AQ31" s="505"/>
      <c r="AR31" s="505"/>
    </row>
    <row r="32" spans="1:44" s="72" customFormat="1" ht="14.65" hidden="1" customHeight="1">
      <c r="B32" s="340" t="b">
        <f t="shared" si="0"/>
        <v>1</v>
      </c>
      <c r="E32" s="505">
        <v>15</v>
      </c>
      <c r="F32" s="3" cm="1">
        <f t="array" aca="1" ref="F32" ca="1">OFFSET(E32,-1,1)</f>
        <v>0</v>
      </c>
      <c r="G32" s="17" cm="1">
        <f t="array" ref="G32">G31</f>
        <v>0</v>
      </c>
      <c r="K32" s="72">
        <f>first_year+2</f>
        <v>2028</v>
      </c>
      <c r="T32" s="351" t="b" cm="1">
        <f t="array" aca="1" ref="T32" ca="1">T31</f>
        <v>0</v>
      </c>
      <c r="X32" s="1024"/>
      <c r="Y32" s="1024"/>
      <c r="Z32" s="1008"/>
      <c r="AA32" s="1126"/>
      <c r="AB32" s="167" t="str">
        <f t="shared" si="1"/>
        <v>2028 год</v>
      </c>
      <c r="AC32" s="307"/>
      <c r="AD32" s="920"/>
      <c r="AE32" s="919"/>
      <c r="AF32" s="919"/>
      <c r="AG32" s="920"/>
      <c r="AH32" s="919"/>
      <c r="AI32" s="920"/>
      <c r="AJ32" s="919"/>
      <c r="AK32" s="921"/>
      <c r="AL32" s="303"/>
      <c r="AN32" s="694" cm="1">
        <f t="array" ref="AN32">K32</f>
        <v>2028</v>
      </c>
      <c r="AO32" s="694" t="s">
        <v>2305</v>
      </c>
      <c r="AP32" s="704" cm="1">
        <f t="array" ref="AP32">AP31</f>
        <v>0</v>
      </c>
      <c r="AQ32" s="505"/>
      <c r="AR32" s="505"/>
    </row>
    <row r="33" spans="2:44" s="72" customFormat="1" ht="14.65" hidden="1" customHeight="1">
      <c r="B33" s="340" t="b">
        <f t="shared" si="0"/>
        <v>0</v>
      </c>
      <c r="E33" s="505">
        <v>15</v>
      </c>
      <c r="F33" s="3" cm="1">
        <f t="array" aca="1" ref="F33" ca="1">OFFSET(E33,-1,1)</f>
        <v>0</v>
      </c>
      <c r="G33" s="17" cm="1">
        <f t="array" ref="G33">G32</f>
        <v>0</v>
      </c>
      <c r="K33" s="72">
        <f>first_year+3</f>
        <v>2029</v>
      </c>
      <c r="T33" s="351" t="b" cm="1">
        <f t="array" aca="1" ref="T33" ca="1">T32</f>
        <v>0</v>
      </c>
      <c r="X33" s="1024"/>
      <c r="Y33" s="1024"/>
      <c r="Z33" s="1008"/>
      <c r="AA33" s="1126"/>
      <c r="AB33" s="167" t="str">
        <f t="shared" si="1"/>
        <v>2029 год</v>
      </c>
      <c r="AC33" s="307"/>
      <c r="AD33" s="920"/>
      <c r="AE33" s="919"/>
      <c r="AF33" s="919"/>
      <c r="AG33" s="920"/>
      <c r="AH33" s="919"/>
      <c r="AI33" s="920"/>
      <c r="AJ33" s="919"/>
      <c r="AK33" s="921"/>
      <c r="AL33" s="303"/>
      <c r="AN33" s="694" cm="1">
        <f t="array" ref="AN33">K33</f>
        <v>2029</v>
      </c>
      <c r="AO33" s="694" t="s">
        <v>2305</v>
      </c>
      <c r="AP33" s="704" cm="1">
        <f t="array" ref="AP33">AP32</f>
        <v>0</v>
      </c>
      <c r="AQ33" s="505"/>
      <c r="AR33" s="505"/>
    </row>
    <row r="34" spans="2:44" s="72" customFormat="1" ht="14.65" hidden="1" customHeight="1">
      <c r="B34" s="340" t="b">
        <f t="shared" si="0"/>
        <v>0</v>
      </c>
      <c r="E34" s="505">
        <v>15</v>
      </c>
      <c r="F34" s="3" cm="1">
        <f t="array" aca="1" ref="F34" ca="1">OFFSET(E34,-1,1)</f>
        <v>0</v>
      </c>
      <c r="G34" s="17" cm="1">
        <f t="array" ref="G34">G33</f>
        <v>0</v>
      </c>
      <c r="K34" s="72">
        <f>first_year+4</f>
        <v>2030</v>
      </c>
      <c r="T34" s="351" t="b" cm="1">
        <f t="array" aca="1" ref="T34" ca="1">T33</f>
        <v>0</v>
      </c>
      <c r="X34" s="1024"/>
      <c r="Y34" s="1024"/>
      <c r="Z34" s="1008"/>
      <c r="AA34" s="1126"/>
      <c r="AB34" s="167" t="str">
        <f t="shared" si="1"/>
        <v>2030 год</v>
      </c>
      <c r="AC34" s="307"/>
      <c r="AD34" s="920"/>
      <c r="AE34" s="919"/>
      <c r="AF34" s="919"/>
      <c r="AG34" s="920"/>
      <c r="AH34" s="919"/>
      <c r="AI34" s="920"/>
      <c r="AJ34" s="919"/>
      <c r="AK34" s="921"/>
      <c r="AL34" s="303"/>
      <c r="AN34" s="694" cm="1">
        <f t="array" ref="AN34">K34</f>
        <v>2030</v>
      </c>
      <c r="AO34" s="694" t="s">
        <v>2305</v>
      </c>
      <c r="AP34" s="704" cm="1">
        <f t="array" ref="AP34">AP33</f>
        <v>0</v>
      </c>
      <c r="AQ34" s="505"/>
      <c r="AR34" s="505"/>
    </row>
    <row r="35" spans="2:44" s="72" customFormat="1" ht="14.65" hidden="1" customHeight="1">
      <c r="B35" s="340" t="b">
        <f t="shared" si="0"/>
        <v>0</v>
      </c>
      <c r="E35" s="505">
        <v>15</v>
      </c>
      <c r="F35" s="3" cm="1">
        <f t="array" aca="1" ref="F35" ca="1">OFFSET(E35,-1,1)</f>
        <v>0</v>
      </c>
      <c r="G35" s="17" cm="1">
        <f t="array" ref="G35">G34</f>
        <v>0</v>
      </c>
      <c r="K35" s="72">
        <f>first_year+5</f>
        <v>2031</v>
      </c>
      <c r="T35" s="351" t="b" cm="1">
        <f t="array" aca="1" ref="T35" ca="1">T34</f>
        <v>0</v>
      </c>
      <c r="X35" s="1024"/>
      <c r="Y35" s="1024"/>
      <c r="Z35" s="1008"/>
      <c r="AA35" s="1126"/>
      <c r="AB35" s="167" t="str">
        <f t="shared" si="1"/>
        <v>2031 год</v>
      </c>
      <c r="AC35" s="307"/>
      <c r="AD35" s="920"/>
      <c r="AE35" s="919"/>
      <c r="AF35" s="919"/>
      <c r="AG35" s="920"/>
      <c r="AH35" s="919"/>
      <c r="AI35" s="920"/>
      <c r="AJ35" s="919"/>
      <c r="AK35" s="921"/>
      <c r="AL35" s="303"/>
      <c r="AN35" s="694" cm="1">
        <f t="array" ref="AN35">K35</f>
        <v>2031</v>
      </c>
      <c r="AO35" s="694" t="s">
        <v>2305</v>
      </c>
      <c r="AP35" s="704" cm="1">
        <f t="array" ref="AP35">AP34</f>
        <v>0</v>
      </c>
      <c r="AQ35" s="505"/>
      <c r="AR35" s="505"/>
    </row>
    <row r="36" spans="2:44" s="72" customFormat="1" ht="14.65" hidden="1" customHeight="1">
      <c r="B36" s="340" t="b">
        <f t="shared" si="0"/>
        <v>0</v>
      </c>
      <c r="E36" s="505">
        <v>15</v>
      </c>
      <c r="F36" s="3" cm="1">
        <f t="array" aca="1" ref="F36" ca="1">OFFSET(E36,-1,1)</f>
        <v>0</v>
      </c>
      <c r="G36" s="17" cm="1">
        <f t="array" ref="G36">G35</f>
        <v>0</v>
      </c>
      <c r="K36" s="72">
        <f>first_year+6</f>
        <v>2032</v>
      </c>
      <c r="T36" s="351" t="b" cm="1">
        <f t="array" aca="1" ref="T36" ca="1">T35</f>
        <v>0</v>
      </c>
      <c r="X36" s="1024"/>
      <c r="Y36" s="1024"/>
      <c r="Z36" s="1008"/>
      <c r="AA36" s="1126"/>
      <c r="AB36" s="167" t="str">
        <f t="shared" si="1"/>
        <v>2032 год</v>
      </c>
      <c r="AC36" s="307"/>
      <c r="AD36" s="920"/>
      <c r="AE36" s="919"/>
      <c r="AF36" s="919"/>
      <c r="AG36" s="920"/>
      <c r="AH36" s="919"/>
      <c r="AI36" s="920"/>
      <c r="AJ36" s="919"/>
      <c r="AK36" s="921"/>
      <c r="AL36" s="303"/>
      <c r="AN36" s="694" cm="1">
        <f t="array" ref="AN36">K36</f>
        <v>2032</v>
      </c>
      <c r="AO36" s="694" t="s">
        <v>2305</v>
      </c>
      <c r="AP36" s="704" cm="1">
        <f t="array" ref="AP36">AP35</f>
        <v>0</v>
      </c>
      <c r="AQ36" s="505"/>
      <c r="AR36" s="505"/>
    </row>
    <row r="37" spans="2:44" s="72" customFormat="1" ht="14.65" hidden="1" customHeight="1">
      <c r="B37" s="340" t="b">
        <f t="shared" si="0"/>
        <v>0</v>
      </c>
      <c r="E37" s="505">
        <v>15</v>
      </c>
      <c r="F37" s="3" cm="1">
        <f t="array" aca="1" ref="F37" ca="1">OFFSET(E37,-1,1)</f>
        <v>0</v>
      </c>
      <c r="G37" s="17" cm="1">
        <f t="array" ref="G37">G36</f>
        <v>0</v>
      </c>
      <c r="K37" s="72">
        <f>first_year+7</f>
        <v>2033</v>
      </c>
      <c r="T37" s="351" t="b" cm="1">
        <f t="array" aca="1" ref="T37" ca="1">T36</f>
        <v>0</v>
      </c>
      <c r="X37" s="1024"/>
      <c r="Y37" s="1024"/>
      <c r="Z37" s="1008"/>
      <c r="AA37" s="1126"/>
      <c r="AB37" s="167" t="str">
        <f t="shared" si="1"/>
        <v>2033 год</v>
      </c>
      <c r="AC37" s="307"/>
      <c r="AD37" s="920"/>
      <c r="AE37" s="919"/>
      <c r="AF37" s="919"/>
      <c r="AG37" s="920"/>
      <c r="AH37" s="919"/>
      <c r="AI37" s="920"/>
      <c r="AJ37" s="919"/>
      <c r="AK37" s="921"/>
      <c r="AL37" s="303"/>
      <c r="AN37" s="694" cm="1">
        <f t="array" ref="AN37">K37</f>
        <v>2033</v>
      </c>
      <c r="AO37" s="694" t="s">
        <v>2305</v>
      </c>
      <c r="AP37" s="704" cm="1">
        <f t="array" ref="AP37">AP36</f>
        <v>0</v>
      </c>
      <c r="AQ37" s="505"/>
      <c r="AR37" s="505"/>
    </row>
    <row r="38" spans="2:44" s="72" customFormat="1" ht="14.65" hidden="1" customHeight="1">
      <c r="B38" s="340" t="b">
        <f t="shared" si="0"/>
        <v>0</v>
      </c>
      <c r="E38" s="505">
        <v>15</v>
      </c>
      <c r="F38" s="3" cm="1">
        <f t="array" aca="1" ref="F38" ca="1">OFFSET(E38,-1,1)</f>
        <v>0</v>
      </c>
      <c r="G38" s="17" cm="1">
        <f t="array" ref="G38">G37</f>
        <v>0</v>
      </c>
      <c r="K38" s="72">
        <f>first_year+8</f>
        <v>2034</v>
      </c>
      <c r="T38" s="351" t="b" cm="1">
        <f t="array" aca="1" ref="T38" ca="1">T37</f>
        <v>0</v>
      </c>
      <c r="X38" s="1024"/>
      <c r="Y38" s="1024"/>
      <c r="Z38" s="1008"/>
      <c r="AA38" s="1126"/>
      <c r="AB38" s="167" t="str">
        <f t="shared" si="1"/>
        <v>2034 год</v>
      </c>
      <c r="AC38" s="307"/>
      <c r="AD38" s="920"/>
      <c r="AE38" s="919"/>
      <c r="AF38" s="919"/>
      <c r="AG38" s="920"/>
      <c r="AH38" s="919"/>
      <c r="AI38" s="920"/>
      <c r="AJ38" s="919"/>
      <c r="AK38" s="921"/>
      <c r="AL38" s="303"/>
      <c r="AN38" s="694" cm="1">
        <f t="array" ref="AN38">K38</f>
        <v>2034</v>
      </c>
      <c r="AO38" s="694" t="s">
        <v>2305</v>
      </c>
      <c r="AP38" s="704" cm="1">
        <f t="array" ref="AP38">AP37</f>
        <v>0</v>
      </c>
      <c r="AQ38" s="505"/>
      <c r="AR38" s="505"/>
    </row>
    <row r="39" spans="2:44" s="72" customFormat="1" ht="14.65" hidden="1" customHeight="1">
      <c r="B39" s="340" t="b">
        <f t="shared" si="0"/>
        <v>0</v>
      </c>
      <c r="E39" s="505">
        <v>15</v>
      </c>
      <c r="F39" s="3" cm="1">
        <f t="array" aca="1" ref="F39" ca="1">OFFSET(E39,-1,1)</f>
        <v>0</v>
      </c>
      <c r="G39" s="17" cm="1">
        <f t="array" ref="G39">G38</f>
        <v>0</v>
      </c>
      <c r="K39" s="72">
        <f>first_year+9</f>
        <v>2035</v>
      </c>
      <c r="T39" s="351" t="b" cm="1">
        <f t="array" aca="1" ref="T39" ca="1">T38</f>
        <v>0</v>
      </c>
      <c r="X39" s="1024"/>
      <c r="Y39" s="1024"/>
      <c r="Z39" s="1008"/>
      <c r="AA39" s="1126"/>
      <c r="AB39" s="167" t="str">
        <f t="shared" si="1"/>
        <v>2035 год</v>
      </c>
      <c r="AC39" s="307"/>
      <c r="AD39" s="920"/>
      <c r="AE39" s="919"/>
      <c r="AF39" s="919"/>
      <c r="AG39" s="920"/>
      <c r="AH39" s="919"/>
      <c r="AI39" s="920"/>
      <c r="AJ39" s="919"/>
      <c r="AK39" s="921"/>
      <c r="AL39" s="303"/>
      <c r="AN39" s="694" cm="1">
        <f t="array" ref="AN39">K39</f>
        <v>2035</v>
      </c>
      <c r="AO39" s="694" t="s">
        <v>2305</v>
      </c>
      <c r="AP39" s="704" cm="1">
        <f t="array" ref="AP39">AP38</f>
        <v>0</v>
      </c>
      <c r="AQ39" s="505"/>
      <c r="AR39" s="505"/>
    </row>
    <row r="40" spans="2:44" s="72" customFormat="1" ht="14.65" hidden="1" customHeight="1">
      <c r="B40" s="340" t="b">
        <f t="shared" si="0"/>
        <v>0</v>
      </c>
      <c r="E40" s="505">
        <v>15</v>
      </c>
      <c r="F40" s="3" cm="1">
        <f t="array" aca="1" ref="F40" ca="1">OFFSET(E40,-1,1)</f>
        <v>0</v>
      </c>
      <c r="G40" s="17" cm="1">
        <f t="array" ref="G40">G39</f>
        <v>0</v>
      </c>
      <c r="K40" s="72">
        <f>first_year+10</f>
        <v>2036</v>
      </c>
      <c r="T40" s="351" t="b" cm="1">
        <f t="array" aca="1" ref="T40" ca="1">T39</f>
        <v>0</v>
      </c>
      <c r="X40" s="1024"/>
      <c r="Y40" s="1024"/>
      <c r="Z40" s="1008"/>
      <c r="AA40" s="1126"/>
      <c r="AB40" s="167" t="str">
        <f t="shared" si="1"/>
        <v>2036 год</v>
      </c>
      <c r="AC40" s="307"/>
      <c r="AD40" s="920"/>
      <c r="AE40" s="919"/>
      <c r="AF40" s="919"/>
      <c r="AG40" s="920"/>
      <c r="AH40" s="919"/>
      <c r="AI40" s="920"/>
      <c r="AJ40" s="919"/>
      <c r="AK40" s="921"/>
      <c r="AL40" s="303"/>
      <c r="AN40" s="694" cm="1">
        <f t="array" ref="AN40">K40</f>
        <v>2036</v>
      </c>
      <c r="AO40" s="694" t="s">
        <v>2305</v>
      </c>
      <c r="AP40" s="704" cm="1">
        <f t="array" ref="AP40">AP39</f>
        <v>0</v>
      </c>
      <c r="AQ40" s="505"/>
      <c r="AR40" s="505"/>
    </row>
    <row r="41" spans="2:44" s="72" customFormat="1" ht="14.65" hidden="1" customHeight="1">
      <c r="B41" s="340" t="b">
        <f t="shared" si="0"/>
        <v>0</v>
      </c>
      <c r="E41" s="505">
        <v>15</v>
      </c>
      <c r="F41" s="3" cm="1">
        <f t="array" aca="1" ref="F41" ca="1">OFFSET(E41,-1,1)</f>
        <v>0</v>
      </c>
      <c r="G41" s="17" cm="1">
        <f t="array" ref="G41">G40</f>
        <v>0</v>
      </c>
      <c r="K41" s="72">
        <f>first_year+11</f>
        <v>2037</v>
      </c>
      <c r="T41" s="351" t="b" cm="1">
        <f t="array" aca="1" ref="T41" ca="1">T40</f>
        <v>0</v>
      </c>
      <c r="X41" s="1024"/>
      <c r="Y41" s="1024"/>
      <c r="Z41" s="1008"/>
      <c r="AA41" s="1126"/>
      <c r="AB41" s="167" t="str">
        <f t="shared" si="1"/>
        <v>2037 год</v>
      </c>
      <c r="AC41" s="307"/>
      <c r="AD41" s="920"/>
      <c r="AE41" s="919"/>
      <c r="AF41" s="919"/>
      <c r="AG41" s="920"/>
      <c r="AH41" s="919"/>
      <c r="AI41" s="920"/>
      <c r="AJ41" s="919"/>
      <c r="AK41" s="921"/>
      <c r="AL41" s="303"/>
      <c r="AN41" s="694" cm="1">
        <f t="array" ref="AN41">K41</f>
        <v>2037</v>
      </c>
      <c r="AO41" s="694" t="s">
        <v>2305</v>
      </c>
      <c r="AP41" s="704" cm="1">
        <f t="array" ref="AP41">AP40</f>
        <v>0</v>
      </c>
      <c r="AQ41" s="505"/>
      <c r="AR41" s="505"/>
    </row>
    <row r="42" spans="2:44" s="72" customFormat="1" ht="14.65" hidden="1" customHeight="1">
      <c r="B42" s="340" t="b">
        <f t="shared" si="0"/>
        <v>0</v>
      </c>
      <c r="E42" s="505">
        <v>15</v>
      </c>
      <c r="F42" s="3" cm="1">
        <f t="array" aca="1" ref="F42" ca="1">OFFSET(E42,-1,1)</f>
        <v>0</v>
      </c>
      <c r="G42" s="17" cm="1">
        <f t="array" ref="G42">G41</f>
        <v>0</v>
      </c>
      <c r="K42" s="72">
        <f>first_year+12</f>
        <v>2038</v>
      </c>
      <c r="T42" s="351" t="b" cm="1">
        <f t="array" aca="1" ref="T42" ca="1">T41</f>
        <v>0</v>
      </c>
      <c r="X42" s="1024"/>
      <c r="Y42" s="1024"/>
      <c r="Z42" s="1008"/>
      <c r="AA42" s="1126"/>
      <c r="AB42" s="167" t="str">
        <f t="shared" si="1"/>
        <v>2038 год</v>
      </c>
      <c r="AC42" s="307"/>
      <c r="AD42" s="920"/>
      <c r="AE42" s="919"/>
      <c r="AF42" s="919"/>
      <c r="AG42" s="920"/>
      <c r="AH42" s="919"/>
      <c r="AI42" s="920"/>
      <c r="AJ42" s="919"/>
      <c r="AK42" s="921"/>
      <c r="AL42" s="303"/>
      <c r="AN42" s="694" cm="1">
        <f t="array" ref="AN42">K42</f>
        <v>2038</v>
      </c>
      <c r="AO42" s="694" t="s">
        <v>2305</v>
      </c>
      <c r="AP42" s="704" cm="1">
        <f t="array" ref="AP42">AP41</f>
        <v>0</v>
      </c>
      <c r="AQ42" s="505"/>
      <c r="AR42" s="505"/>
    </row>
    <row r="43" spans="2:44" s="72" customFormat="1" ht="14.65" hidden="1" customHeight="1">
      <c r="B43" s="340" t="b">
        <f t="shared" si="0"/>
        <v>0</v>
      </c>
      <c r="E43" s="505">
        <v>15</v>
      </c>
      <c r="F43" s="3" cm="1">
        <f t="array" aca="1" ref="F43" ca="1">OFFSET(E43,-1,1)</f>
        <v>0</v>
      </c>
      <c r="G43" s="17" cm="1">
        <f t="array" ref="G43">G42</f>
        <v>0</v>
      </c>
      <c r="K43" s="72">
        <f>first_year+13</f>
        <v>2039</v>
      </c>
      <c r="T43" s="351" t="b" cm="1">
        <f t="array" aca="1" ref="T43" ca="1">T42</f>
        <v>0</v>
      </c>
      <c r="X43" s="1024"/>
      <c r="Y43" s="1024"/>
      <c r="Z43" s="1008"/>
      <c r="AA43" s="1126"/>
      <c r="AB43" s="167" t="str">
        <f t="shared" si="1"/>
        <v>2039 год</v>
      </c>
      <c r="AC43" s="307"/>
      <c r="AD43" s="920"/>
      <c r="AE43" s="919"/>
      <c r="AF43" s="919"/>
      <c r="AG43" s="920"/>
      <c r="AH43" s="919"/>
      <c r="AI43" s="920"/>
      <c r="AJ43" s="919"/>
      <c r="AK43" s="921"/>
      <c r="AL43" s="303"/>
      <c r="AN43" s="694" cm="1">
        <f t="array" ref="AN43">K43</f>
        <v>2039</v>
      </c>
      <c r="AO43" s="694" t="s">
        <v>2305</v>
      </c>
      <c r="AP43" s="704" cm="1">
        <f t="array" ref="AP43">AP42</f>
        <v>0</v>
      </c>
      <c r="AQ43" s="505"/>
      <c r="AR43" s="505"/>
    </row>
    <row r="44" spans="2:44" s="72" customFormat="1" ht="14.65" hidden="1" customHeight="1">
      <c r="B44" s="340" t="b">
        <f t="shared" si="0"/>
        <v>0</v>
      </c>
      <c r="E44" s="505">
        <v>15</v>
      </c>
      <c r="F44" s="3" cm="1">
        <f t="array" aca="1" ref="F44" ca="1">OFFSET(E44,-1,1)</f>
        <v>0</v>
      </c>
      <c r="G44" s="17" cm="1">
        <f t="array" ref="G44">G43</f>
        <v>0</v>
      </c>
      <c r="K44" s="72">
        <f>first_year+14</f>
        <v>2040</v>
      </c>
      <c r="T44" s="351" t="b" cm="1">
        <f t="array" aca="1" ref="T44" ca="1">T43</f>
        <v>0</v>
      </c>
      <c r="X44" s="1024"/>
      <c r="Y44" s="1024"/>
      <c r="Z44" s="1008"/>
      <c r="AA44" s="1126"/>
      <c r="AB44" s="167" t="str">
        <f t="shared" si="1"/>
        <v>2040 год</v>
      </c>
      <c r="AC44" s="307"/>
      <c r="AD44" s="920"/>
      <c r="AE44" s="919"/>
      <c r="AF44" s="919"/>
      <c r="AG44" s="920"/>
      <c r="AH44" s="919"/>
      <c r="AI44" s="920"/>
      <c r="AJ44" s="919"/>
      <c r="AK44" s="921"/>
      <c r="AL44" s="303"/>
      <c r="AN44" s="694" cm="1">
        <f t="array" ref="AN44">K44</f>
        <v>2040</v>
      </c>
      <c r="AO44" s="694" t="s">
        <v>2305</v>
      </c>
      <c r="AP44" s="704" cm="1">
        <f t="array" ref="AP44">AP43</f>
        <v>0</v>
      </c>
      <c r="AQ44" s="505"/>
      <c r="AR44" s="505"/>
    </row>
    <row r="45" spans="2:44" s="72" customFormat="1" ht="14.65" hidden="1" customHeight="1">
      <c r="B45" s="340" t="b">
        <f t="shared" si="0"/>
        <v>0</v>
      </c>
      <c r="E45" s="505">
        <v>15</v>
      </c>
      <c r="F45" s="3" cm="1">
        <f t="array" aca="1" ref="F45" ca="1">OFFSET(E45,-1,1)</f>
        <v>0</v>
      </c>
      <c r="G45" s="17" cm="1">
        <f t="array" ref="G45">G44</f>
        <v>0</v>
      </c>
      <c r="K45" s="72">
        <f>first_year+15</f>
        <v>2041</v>
      </c>
      <c r="T45" s="351" t="b" cm="1">
        <f t="array" aca="1" ref="T45" ca="1">T44</f>
        <v>0</v>
      </c>
      <c r="X45" s="1024"/>
      <c r="Y45" s="1024"/>
      <c r="Z45" s="1008"/>
      <c r="AA45" s="1126"/>
      <c r="AB45" s="167" t="str">
        <f t="shared" si="1"/>
        <v>2041 год</v>
      </c>
      <c r="AC45" s="307"/>
      <c r="AD45" s="920"/>
      <c r="AE45" s="919"/>
      <c r="AF45" s="919"/>
      <c r="AG45" s="920"/>
      <c r="AH45" s="919"/>
      <c r="AI45" s="920"/>
      <c r="AJ45" s="919"/>
      <c r="AK45" s="921"/>
      <c r="AL45" s="303"/>
      <c r="AN45" s="694" cm="1">
        <f t="array" ref="AN45">K45</f>
        <v>2041</v>
      </c>
      <c r="AO45" s="694" t="s">
        <v>2305</v>
      </c>
      <c r="AP45" s="704" cm="1">
        <f t="array" ref="AP45">AP44</f>
        <v>0</v>
      </c>
      <c r="AQ45" s="505"/>
      <c r="AR45" s="505"/>
    </row>
    <row r="46" spans="2:44" s="72" customFormat="1" ht="14.65" hidden="1" customHeight="1">
      <c r="B46" s="340" t="b">
        <f t="shared" si="0"/>
        <v>0</v>
      </c>
      <c r="E46" s="505">
        <v>15</v>
      </c>
      <c r="F46" s="3" cm="1">
        <f t="array" aca="1" ref="F46" ca="1">OFFSET(E46,-1,1)</f>
        <v>0</v>
      </c>
      <c r="G46" s="17" cm="1">
        <f t="array" ref="G46">G45</f>
        <v>0</v>
      </c>
      <c r="K46" s="72">
        <f>first_year+16</f>
        <v>2042</v>
      </c>
      <c r="T46" s="351" t="b" cm="1">
        <f t="array" aca="1" ref="T46" ca="1">T45</f>
        <v>0</v>
      </c>
      <c r="X46" s="1024"/>
      <c r="Y46" s="1024"/>
      <c r="Z46" s="1008"/>
      <c r="AA46" s="1126"/>
      <c r="AB46" s="167" t="str">
        <f t="shared" si="1"/>
        <v>2042 год</v>
      </c>
      <c r="AC46" s="307"/>
      <c r="AD46" s="920"/>
      <c r="AE46" s="919"/>
      <c r="AF46" s="919"/>
      <c r="AG46" s="920"/>
      <c r="AH46" s="919"/>
      <c r="AI46" s="920"/>
      <c r="AJ46" s="919"/>
      <c r="AK46" s="921"/>
      <c r="AL46" s="303"/>
      <c r="AN46" s="694" cm="1">
        <f t="array" ref="AN46">K46</f>
        <v>2042</v>
      </c>
      <c r="AO46" s="694" t="s">
        <v>2305</v>
      </c>
      <c r="AP46" s="704" cm="1">
        <f t="array" ref="AP46">AP45</f>
        <v>0</v>
      </c>
      <c r="AQ46" s="505"/>
      <c r="AR46" s="505"/>
    </row>
    <row r="47" spans="2:44" s="72" customFormat="1" ht="14.65" hidden="1" customHeight="1">
      <c r="B47" s="340" t="b">
        <f t="shared" si="0"/>
        <v>0</v>
      </c>
      <c r="E47" s="505">
        <v>15</v>
      </c>
      <c r="F47" s="3" cm="1">
        <f t="array" aca="1" ref="F47" ca="1">OFFSET(E47,-1,1)</f>
        <v>0</v>
      </c>
      <c r="G47" s="17" cm="1">
        <f t="array" ref="G47">G46</f>
        <v>0</v>
      </c>
      <c r="K47" s="72">
        <f>first_year+17</f>
        <v>2043</v>
      </c>
      <c r="T47" s="351" t="b" cm="1">
        <f t="array" aca="1" ref="T47" ca="1">T46</f>
        <v>0</v>
      </c>
      <c r="X47" s="1024"/>
      <c r="Y47" s="1024"/>
      <c r="Z47" s="1008"/>
      <c r="AA47" s="1126"/>
      <c r="AB47" s="167" t="str">
        <f t="shared" si="1"/>
        <v>2043 год</v>
      </c>
      <c r="AC47" s="307"/>
      <c r="AD47" s="920"/>
      <c r="AE47" s="919"/>
      <c r="AF47" s="919"/>
      <c r="AG47" s="920"/>
      <c r="AH47" s="919"/>
      <c r="AI47" s="920"/>
      <c r="AJ47" s="919"/>
      <c r="AK47" s="921"/>
      <c r="AL47" s="303"/>
      <c r="AN47" s="694" cm="1">
        <f t="array" ref="AN47">K47</f>
        <v>2043</v>
      </c>
      <c r="AO47" s="694" t="s">
        <v>2305</v>
      </c>
      <c r="AP47" s="704" cm="1">
        <f t="array" ref="AP47">AP46</f>
        <v>0</v>
      </c>
      <c r="AQ47" s="505"/>
      <c r="AR47" s="505"/>
    </row>
    <row r="48" spans="2:44" s="72" customFormat="1" ht="14.65" hidden="1" customHeight="1">
      <c r="B48" s="340" t="b">
        <f t="shared" si="0"/>
        <v>0</v>
      </c>
      <c r="E48" s="505">
        <v>15</v>
      </c>
      <c r="F48" s="3" cm="1">
        <f t="array" aca="1" ref="F48" ca="1">OFFSET(E48,-1,1)</f>
        <v>0</v>
      </c>
      <c r="G48" s="17" cm="1">
        <f t="array" ref="G48">G47</f>
        <v>0</v>
      </c>
      <c r="K48" s="72">
        <f>first_year+18</f>
        <v>2044</v>
      </c>
      <c r="T48" s="351" t="b" cm="1">
        <f t="array" aca="1" ref="T48" ca="1">T47</f>
        <v>0</v>
      </c>
      <c r="X48" s="1024"/>
      <c r="Y48" s="1024"/>
      <c r="Z48" s="1008"/>
      <c r="AA48" s="1126"/>
      <c r="AB48" s="167" t="str">
        <f t="shared" si="1"/>
        <v>2044 год</v>
      </c>
      <c r="AC48" s="307"/>
      <c r="AD48" s="920"/>
      <c r="AE48" s="919"/>
      <c r="AF48" s="919"/>
      <c r="AG48" s="920"/>
      <c r="AH48" s="919"/>
      <c r="AI48" s="920"/>
      <c r="AJ48" s="919"/>
      <c r="AK48" s="921"/>
      <c r="AL48" s="303"/>
      <c r="AN48" s="694" cm="1">
        <f t="array" ref="AN48">K48</f>
        <v>2044</v>
      </c>
      <c r="AO48" s="694" t="s">
        <v>2305</v>
      </c>
      <c r="AP48" s="704" cm="1">
        <f t="array" ref="AP48">AP47</f>
        <v>0</v>
      </c>
      <c r="AQ48" s="505"/>
      <c r="AR48" s="505"/>
    </row>
    <row r="49" spans="2:44" s="72" customFormat="1" ht="14.65" hidden="1" customHeight="1">
      <c r="B49" s="340" t="b">
        <f t="shared" si="0"/>
        <v>0</v>
      </c>
      <c r="E49" s="505">
        <v>15</v>
      </c>
      <c r="F49" s="3" cm="1">
        <f t="array" aca="1" ref="F49" ca="1">OFFSET(E49,-1,1)</f>
        <v>0</v>
      </c>
      <c r="G49" s="17" cm="1">
        <f t="array" ref="G49">G48</f>
        <v>0</v>
      </c>
      <c r="K49" s="72">
        <f>first_year+19</f>
        <v>2045</v>
      </c>
      <c r="T49" s="351" t="b" cm="1">
        <f t="array" aca="1" ref="T49" ca="1">T48</f>
        <v>0</v>
      </c>
      <c r="X49" s="1024"/>
      <c r="Y49" s="1024"/>
      <c r="Z49" s="1008"/>
      <c r="AA49" s="1126"/>
      <c r="AB49" s="167" t="str">
        <f t="shared" si="1"/>
        <v>2045 год</v>
      </c>
      <c r="AC49" s="307"/>
      <c r="AD49" s="920"/>
      <c r="AE49" s="919"/>
      <c r="AF49" s="919"/>
      <c r="AG49" s="920"/>
      <c r="AH49" s="919"/>
      <c r="AI49" s="920"/>
      <c r="AJ49" s="919"/>
      <c r="AK49" s="921"/>
      <c r="AL49" s="303"/>
      <c r="AN49" s="694" cm="1">
        <f t="array" ref="AN49">K49</f>
        <v>2045</v>
      </c>
      <c r="AO49" s="694" t="s">
        <v>2305</v>
      </c>
      <c r="AP49" s="704" cm="1">
        <f t="array" ref="AP49">AP48</f>
        <v>0</v>
      </c>
      <c r="AQ49" s="505"/>
      <c r="AR49" s="505"/>
    </row>
    <row r="50" spans="2:44" s="72" customFormat="1" ht="14.65" hidden="1" customHeight="1">
      <c r="B50" s="340" t="b">
        <f t="shared" si="0"/>
        <v>0</v>
      </c>
      <c r="E50" s="505">
        <v>15</v>
      </c>
      <c r="F50" s="3" cm="1">
        <f t="array" aca="1" ref="F50" ca="1">OFFSET(E50,-1,1)</f>
        <v>0</v>
      </c>
      <c r="G50" s="17" cm="1">
        <f t="array" ref="G50">G49</f>
        <v>0</v>
      </c>
      <c r="K50" s="72">
        <f>first_year+20</f>
        <v>2046</v>
      </c>
      <c r="T50" s="351" t="b" cm="1">
        <f t="array" aca="1" ref="T50" ca="1">T49</f>
        <v>0</v>
      </c>
      <c r="X50" s="1024"/>
      <c r="Y50" s="1024"/>
      <c r="Z50" s="1008"/>
      <c r="AA50" s="1126"/>
      <c r="AB50" s="167" t="str">
        <f t="shared" si="1"/>
        <v>2046 год</v>
      </c>
      <c r="AC50" s="307"/>
      <c r="AD50" s="920"/>
      <c r="AE50" s="919"/>
      <c r="AF50" s="919"/>
      <c r="AG50" s="920"/>
      <c r="AH50" s="919"/>
      <c r="AI50" s="920"/>
      <c r="AJ50" s="919"/>
      <c r="AK50" s="921"/>
      <c r="AL50" s="303"/>
      <c r="AN50" s="694" cm="1">
        <f t="array" ref="AN50">K50</f>
        <v>2046</v>
      </c>
      <c r="AO50" s="694" t="s">
        <v>2305</v>
      </c>
      <c r="AP50" s="704" cm="1">
        <f t="array" ref="AP50">AP49</f>
        <v>0</v>
      </c>
      <c r="AQ50" s="505"/>
      <c r="AR50" s="505"/>
    </row>
    <row r="51" spans="2:44" s="72" customFormat="1" ht="14.65" hidden="1" customHeight="1">
      <c r="B51" s="340" t="b">
        <f t="shared" si="0"/>
        <v>0</v>
      </c>
      <c r="E51" s="505">
        <v>15</v>
      </c>
      <c r="F51" s="3" cm="1">
        <f t="array" aca="1" ref="F51" ca="1">OFFSET(E51,-1,1)</f>
        <v>0</v>
      </c>
      <c r="G51" s="17" cm="1">
        <f t="array" ref="G51">G50</f>
        <v>0</v>
      </c>
      <c r="K51" s="72">
        <f>first_year+21</f>
        <v>2047</v>
      </c>
      <c r="T51" s="351" t="b" cm="1">
        <f t="array" aca="1" ref="T51" ca="1">T50</f>
        <v>0</v>
      </c>
      <c r="X51" s="1024"/>
      <c r="Y51" s="1024"/>
      <c r="Z51" s="1008"/>
      <c r="AA51" s="1126"/>
      <c r="AB51" s="167" t="str">
        <f t="shared" si="1"/>
        <v>2047 год</v>
      </c>
      <c r="AC51" s="307"/>
      <c r="AD51" s="920"/>
      <c r="AE51" s="919"/>
      <c r="AF51" s="919"/>
      <c r="AG51" s="920"/>
      <c r="AH51" s="919"/>
      <c r="AI51" s="920"/>
      <c r="AJ51" s="919"/>
      <c r="AK51" s="921"/>
      <c r="AL51" s="303"/>
      <c r="AN51" s="694" cm="1">
        <f t="array" ref="AN51">K51</f>
        <v>2047</v>
      </c>
      <c r="AO51" s="694" t="s">
        <v>2305</v>
      </c>
      <c r="AP51" s="704" cm="1">
        <f t="array" ref="AP51">AP50</f>
        <v>0</v>
      </c>
      <c r="AQ51" s="505"/>
      <c r="AR51" s="505"/>
    </row>
    <row r="52" spans="2:44" s="72" customFormat="1" ht="14.65" hidden="1" customHeight="1">
      <c r="B52" s="340" t="b">
        <f t="shared" si="0"/>
        <v>0</v>
      </c>
      <c r="E52" s="505">
        <v>15</v>
      </c>
      <c r="F52" s="3" cm="1">
        <f t="array" aca="1" ref="F52" ca="1">OFFSET(E52,-1,1)</f>
        <v>0</v>
      </c>
      <c r="G52" s="17" cm="1">
        <f t="array" ref="G52">G51</f>
        <v>0</v>
      </c>
      <c r="K52" s="72">
        <f>first_year+22</f>
        <v>2048</v>
      </c>
      <c r="T52" s="351" t="b" cm="1">
        <f t="array" aca="1" ref="T52" ca="1">T51</f>
        <v>0</v>
      </c>
      <c r="X52" s="1024"/>
      <c r="Y52" s="1024"/>
      <c r="Z52" s="1008"/>
      <c r="AA52" s="1126"/>
      <c r="AB52" s="167" t="str">
        <f t="shared" si="1"/>
        <v>2048 год</v>
      </c>
      <c r="AC52" s="307"/>
      <c r="AD52" s="920"/>
      <c r="AE52" s="919"/>
      <c r="AF52" s="919"/>
      <c r="AG52" s="920"/>
      <c r="AH52" s="919"/>
      <c r="AI52" s="920"/>
      <c r="AJ52" s="919"/>
      <c r="AK52" s="921"/>
      <c r="AL52" s="303"/>
      <c r="AN52" s="694" cm="1">
        <f t="array" ref="AN52">K52</f>
        <v>2048</v>
      </c>
      <c r="AO52" s="694" t="s">
        <v>2305</v>
      </c>
      <c r="AP52" s="704" cm="1">
        <f t="array" ref="AP52">AP51</f>
        <v>0</v>
      </c>
      <c r="AQ52" s="505"/>
      <c r="AR52" s="505"/>
    </row>
    <row r="53" spans="2:44" s="72" customFormat="1" ht="14.65" hidden="1" customHeight="1">
      <c r="B53" s="340" t="b">
        <f t="shared" si="0"/>
        <v>0</v>
      </c>
      <c r="E53" s="505">
        <v>15</v>
      </c>
      <c r="F53" s="3" cm="1">
        <f t="array" aca="1" ref="F53" ca="1">OFFSET(E53,-1,1)</f>
        <v>0</v>
      </c>
      <c r="G53" s="17" cm="1">
        <f t="array" ref="G53">G52</f>
        <v>0</v>
      </c>
      <c r="K53" s="72">
        <f>first_year+23</f>
        <v>2049</v>
      </c>
      <c r="T53" s="351" t="b" cm="1">
        <f t="array" aca="1" ref="T53" ca="1">T52</f>
        <v>0</v>
      </c>
      <c r="X53" s="1024"/>
      <c r="Y53" s="1024"/>
      <c r="Z53" s="1008"/>
      <c r="AA53" s="1126"/>
      <c r="AB53" s="167" t="str">
        <f t="shared" si="1"/>
        <v>2049 год</v>
      </c>
      <c r="AC53" s="307"/>
      <c r="AD53" s="920"/>
      <c r="AE53" s="919"/>
      <c r="AF53" s="919"/>
      <c r="AG53" s="920"/>
      <c r="AH53" s="919"/>
      <c r="AI53" s="920"/>
      <c r="AJ53" s="919"/>
      <c r="AK53" s="921"/>
      <c r="AL53" s="303"/>
      <c r="AN53" s="694" cm="1">
        <f t="array" ref="AN53">K53</f>
        <v>2049</v>
      </c>
      <c r="AO53" s="694" t="s">
        <v>2305</v>
      </c>
      <c r="AP53" s="704" cm="1">
        <f t="array" ref="AP53">AP52</f>
        <v>0</v>
      </c>
      <c r="AQ53" s="505"/>
      <c r="AR53" s="505"/>
    </row>
    <row r="54" spans="2:44" s="72" customFormat="1" ht="14.65" hidden="1" customHeight="1">
      <c r="B54" s="340" t="b">
        <f t="shared" si="0"/>
        <v>0</v>
      </c>
      <c r="E54" s="505">
        <v>15</v>
      </c>
      <c r="F54" s="3" cm="1">
        <f t="array" aca="1" ref="F54" ca="1">OFFSET(E54,-1,1)</f>
        <v>0</v>
      </c>
      <c r="G54" s="17" cm="1">
        <f t="array" ref="G54">G53</f>
        <v>0</v>
      </c>
      <c r="K54" s="72">
        <f>first_year+24</f>
        <v>2050</v>
      </c>
      <c r="T54" s="351" t="b" cm="1">
        <f t="array" aca="1" ref="T54" ca="1">T53</f>
        <v>0</v>
      </c>
      <c r="X54" s="1024"/>
      <c r="Y54" s="1024"/>
      <c r="Z54" s="1008"/>
      <c r="AA54" s="1126"/>
      <c r="AB54" s="167" t="str">
        <f t="shared" si="1"/>
        <v>2050 год</v>
      </c>
      <c r="AC54" s="307"/>
      <c r="AD54" s="920"/>
      <c r="AE54" s="919"/>
      <c r="AF54" s="919"/>
      <c r="AG54" s="920"/>
      <c r="AH54" s="919"/>
      <c r="AI54" s="920"/>
      <c r="AJ54" s="919"/>
      <c r="AK54" s="921"/>
      <c r="AL54" s="303"/>
      <c r="AN54" s="694" cm="1">
        <f t="array" ref="AN54">K54</f>
        <v>2050</v>
      </c>
      <c r="AO54" s="694" t="s">
        <v>2305</v>
      </c>
      <c r="AP54" s="704" cm="1">
        <f t="array" ref="AP54">AP53</f>
        <v>0</v>
      </c>
      <c r="AQ54" s="505"/>
      <c r="AR54" s="505"/>
    </row>
    <row r="55" spans="2:44" s="72" customFormat="1" ht="14.65" hidden="1" customHeight="1">
      <c r="B55" s="340" t="b">
        <f t="shared" si="0"/>
        <v>0</v>
      </c>
      <c r="E55" s="505">
        <v>15</v>
      </c>
      <c r="F55" s="3" cm="1">
        <f t="array" aca="1" ref="F55" ca="1">OFFSET(E55,-1,1)</f>
        <v>0</v>
      </c>
      <c r="G55" s="17" cm="1">
        <f t="array" ref="G55">G54</f>
        <v>0</v>
      </c>
      <c r="K55" s="72">
        <f>first_year+25</f>
        <v>2051</v>
      </c>
      <c r="T55" s="351" t="b" cm="1">
        <f t="array" aca="1" ref="T55" ca="1">T54</f>
        <v>0</v>
      </c>
      <c r="X55" s="1024"/>
      <c r="Y55" s="1024"/>
      <c r="Z55" s="1008"/>
      <c r="AA55" s="1126"/>
      <c r="AB55" s="167" t="str">
        <f t="shared" si="1"/>
        <v>2051 год</v>
      </c>
      <c r="AC55" s="307"/>
      <c r="AD55" s="920"/>
      <c r="AE55" s="919"/>
      <c r="AF55" s="919"/>
      <c r="AG55" s="920"/>
      <c r="AH55" s="919"/>
      <c r="AI55" s="920"/>
      <c r="AJ55" s="919"/>
      <c r="AK55" s="921"/>
      <c r="AL55" s="303"/>
      <c r="AN55" s="694" cm="1">
        <f t="array" ref="AN55">K55</f>
        <v>2051</v>
      </c>
      <c r="AO55" s="694" t="s">
        <v>2305</v>
      </c>
      <c r="AP55" s="704" cm="1">
        <f t="array" ref="AP55">AP54</f>
        <v>0</v>
      </c>
      <c r="AQ55" s="505"/>
      <c r="AR55" s="505"/>
    </row>
    <row r="56" spans="2:44" s="72" customFormat="1" ht="14.65" hidden="1" customHeight="1">
      <c r="B56" s="340" t="b">
        <f t="shared" si="0"/>
        <v>0</v>
      </c>
      <c r="E56" s="505">
        <v>15</v>
      </c>
      <c r="F56" s="3" cm="1">
        <f t="array" aca="1" ref="F56" ca="1">OFFSET(E56,-1,1)</f>
        <v>0</v>
      </c>
      <c r="G56" s="17" cm="1">
        <f t="array" ref="G56">G55</f>
        <v>0</v>
      </c>
      <c r="K56" s="72">
        <f>first_year+26</f>
        <v>2052</v>
      </c>
      <c r="T56" s="351" t="b" cm="1">
        <f t="array" aca="1" ref="T56" ca="1">T55</f>
        <v>0</v>
      </c>
      <c r="X56" s="1024"/>
      <c r="Y56" s="1024"/>
      <c r="Z56" s="1008"/>
      <c r="AA56" s="1126"/>
      <c r="AB56" s="167" t="str">
        <f t="shared" si="1"/>
        <v>2052 год</v>
      </c>
      <c r="AC56" s="307"/>
      <c r="AD56" s="920"/>
      <c r="AE56" s="919"/>
      <c r="AF56" s="919"/>
      <c r="AG56" s="920"/>
      <c r="AH56" s="919"/>
      <c r="AI56" s="920"/>
      <c r="AJ56" s="919"/>
      <c r="AK56" s="921"/>
      <c r="AL56" s="303"/>
      <c r="AN56" s="694" cm="1">
        <f t="array" ref="AN56">K56</f>
        <v>2052</v>
      </c>
      <c r="AO56" s="694" t="s">
        <v>2305</v>
      </c>
      <c r="AP56" s="704" cm="1">
        <f t="array" ref="AP56">AP55</f>
        <v>0</v>
      </c>
      <c r="AQ56" s="505"/>
      <c r="AR56" s="505"/>
    </row>
    <row r="57" spans="2:44" s="72" customFormat="1" ht="14.65" hidden="1" customHeight="1">
      <c r="B57" s="340" t="b">
        <f t="shared" si="0"/>
        <v>0</v>
      </c>
      <c r="E57" s="505">
        <v>15</v>
      </c>
      <c r="F57" s="3" cm="1">
        <f t="array" aca="1" ref="F57" ca="1">OFFSET(E57,-1,1)</f>
        <v>0</v>
      </c>
      <c r="G57" s="17" cm="1">
        <f t="array" ref="G57">G56</f>
        <v>0</v>
      </c>
      <c r="K57" s="72">
        <f>first_year+27</f>
        <v>2053</v>
      </c>
      <c r="T57" s="351" t="b" cm="1">
        <f t="array" aca="1" ref="T57" ca="1">T56</f>
        <v>0</v>
      </c>
      <c r="X57" s="1024"/>
      <c r="Y57" s="1024"/>
      <c r="Z57" s="1008"/>
      <c r="AA57" s="1126"/>
      <c r="AB57" s="167" t="str">
        <f t="shared" si="1"/>
        <v>2053 год</v>
      </c>
      <c r="AC57" s="307"/>
      <c r="AD57" s="920"/>
      <c r="AE57" s="919"/>
      <c r="AF57" s="919"/>
      <c r="AG57" s="920"/>
      <c r="AH57" s="919"/>
      <c r="AI57" s="920"/>
      <c r="AJ57" s="919"/>
      <c r="AK57" s="921"/>
      <c r="AL57" s="303"/>
      <c r="AN57" s="694" cm="1">
        <f t="array" ref="AN57">K57</f>
        <v>2053</v>
      </c>
      <c r="AO57" s="694" t="s">
        <v>2305</v>
      </c>
      <c r="AP57" s="704" cm="1">
        <f t="array" ref="AP57">AP56</f>
        <v>0</v>
      </c>
      <c r="AQ57" s="505"/>
      <c r="AR57" s="505"/>
    </row>
    <row r="58" spans="2:44" s="72" customFormat="1" ht="14.65" hidden="1" customHeight="1">
      <c r="B58" s="340" t="b">
        <f t="shared" si="0"/>
        <v>0</v>
      </c>
      <c r="E58" s="505">
        <v>15</v>
      </c>
      <c r="F58" s="3" cm="1">
        <f t="array" aca="1" ref="F58" ca="1">OFFSET(E58,-1,1)</f>
        <v>0</v>
      </c>
      <c r="G58" s="17" cm="1">
        <f t="array" ref="G58">G57</f>
        <v>0</v>
      </c>
      <c r="K58" s="72">
        <f>first_year+28</f>
        <v>2054</v>
      </c>
      <c r="T58" s="351" t="b" cm="1">
        <f t="array" aca="1" ref="T58" ca="1">T57</f>
        <v>0</v>
      </c>
      <c r="X58" s="1024"/>
      <c r="Y58" s="1024"/>
      <c r="Z58" s="1008"/>
      <c r="AA58" s="1126"/>
      <c r="AB58" s="167" t="str">
        <f t="shared" si="1"/>
        <v>2054 год</v>
      </c>
      <c r="AC58" s="307"/>
      <c r="AD58" s="920"/>
      <c r="AE58" s="919"/>
      <c r="AF58" s="919"/>
      <c r="AG58" s="920"/>
      <c r="AH58" s="919"/>
      <c r="AI58" s="920"/>
      <c r="AJ58" s="919"/>
      <c r="AK58" s="921"/>
      <c r="AL58" s="303"/>
      <c r="AN58" s="694" cm="1">
        <f t="array" ref="AN58">K58</f>
        <v>2054</v>
      </c>
      <c r="AO58" s="694" t="s">
        <v>2305</v>
      </c>
      <c r="AP58" s="704" cm="1">
        <f t="array" ref="AP58">AP57</f>
        <v>0</v>
      </c>
      <c r="AQ58" s="505"/>
      <c r="AR58" s="505"/>
    </row>
    <row r="59" spans="2:44" s="72" customFormat="1" ht="14.65" hidden="1" customHeight="1">
      <c r="B59" s="340" t="b">
        <f t="shared" si="0"/>
        <v>0</v>
      </c>
      <c r="E59" s="505">
        <v>15</v>
      </c>
      <c r="F59" s="3" cm="1">
        <f t="array" aca="1" ref="F59" ca="1">OFFSET(E59,-1,1)</f>
        <v>0</v>
      </c>
      <c r="G59" s="17" cm="1">
        <f t="array" ref="G59">G58</f>
        <v>0</v>
      </c>
      <c r="K59" s="72">
        <f>first_year+29</f>
        <v>2055</v>
      </c>
      <c r="T59" s="351" t="b" cm="1">
        <f t="array" aca="1" ref="T59" ca="1">T58</f>
        <v>0</v>
      </c>
      <c r="X59" s="1024"/>
      <c r="Y59" s="1024"/>
      <c r="Z59" s="1008"/>
      <c r="AA59" s="1126"/>
      <c r="AB59" s="167" t="str">
        <f t="shared" si="1"/>
        <v>2055 год</v>
      </c>
      <c r="AC59" s="307"/>
      <c r="AD59" s="920"/>
      <c r="AE59" s="919"/>
      <c r="AF59" s="919"/>
      <c r="AG59" s="920"/>
      <c r="AH59" s="919"/>
      <c r="AI59" s="920"/>
      <c r="AJ59" s="919"/>
      <c r="AK59" s="921"/>
      <c r="AL59" s="303"/>
      <c r="AN59" s="694" cm="1">
        <f t="array" ref="AN59">K59</f>
        <v>2055</v>
      </c>
      <c r="AO59" s="694" t="s">
        <v>2305</v>
      </c>
      <c r="AP59" s="704" cm="1">
        <f t="array" ref="AP59">AP58</f>
        <v>0</v>
      </c>
      <c r="AQ59" s="505"/>
      <c r="AR59" s="505"/>
    </row>
    <row r="60" spans="2:44" s="72" customFormat="1" ht="14.65" hidden="1" customHeight="1">
      <c r="B60" s="340" t="b">
        <f t="shared" si="0"/>
        <v>0</v>
      </c>
      <c r="E60" s="505">
        <v>15</v>
      </c>
      <c r="F60" s="3" cm="1">
        <f t="array" aca="1" ref="F60" ca="1">OFFSET(E60,-1,1)</f>
        <v>0</v>
      </c>
      <c r="G60" s="17" cm="1">
        <f t="array" ref="G60">G59</f>
        <v>0</v>
      </c>
      <c r="K60" s="72">
        <f>first_year+30</f>
        <v>2056</v>
      </c>
      <c r="T60" s="351" t="b" cm="1">
        <f t="array" aca="1" ref="T60" ca="1">T59</f>
        <v>0</v>
      </c>
      <c r="X60" s="1024"/>
      <c r="Y60" s="1024"/>
      <c r="Z60" s="1008"/>
      <c r="AA60" s="1126"/>
      <c r="AB60" s="167" t="str">
        <f t="shared" si="1"/>
        <v>2056 год</v>
      </c>
      <c r="AC60" s="307"/>
      <c r="AD60" s="920"/>
      <c r="AE60" s="919"/>
      <c r="AF60" s="919"/>
      <c r="AG60" s="920"/>
      <c r="AH60" s="919"/>
      <c r="AI60" s="920"/>
      <c r="AJ60" s="919"/>
      <c r="AK60" s="921"/>
      <c r="AL60" s="303"/>
      <c r="AN60" s="694" cm="1">
        <f t="array" ref="AN60">K60</f>
        <v>2056</v>
      </c>
      <c r="AO60" s="694" t="s">
        <v>2305</v>
      </c>
      <c r="AP60" s="704" cm="1">
        <f t="array" ref="AP60">AP59</f>
        <v>0</v>
      </c>
      <c r="AQ60" s="505"/>
      <c r="AR60" s="505"/>
    </row>
    <row r="61" spans="2:44" s="72" customFormat="1" ht="14.65" hidden="1" customHeight="1">
      <c r="B61" s="340" t="b">
        <f t="shared" si="0"/>
        <v>0</v>
      </c>
      <c r="E61" s="505">
        <v>15</v>
      </c>
      <c r="F61" s="3" cm="1">
        <f t="array" aca="1" ref="F61" ca="1">OFFSET(E61,-1,1)</f>
        <v>0</v>
      </c>
      <c r="G61" s="17" cm="1">
        <f t="array" ref="G61">G60</f>
        <v>0</v>
      </c>
      <c r="K61" s="72">
        <f>first_year+31</f>
        <v>2057</v>
      </c>
      <c r="T61" s="351" t="b" cm="1">
        <f t="array" aca="1" ref="T61" ca="1">T60</f>
        <v>0</v>
      </c>
      <c r="X61" s="1024"/>
      <c r="Y61" s="1024"/>
      <c r="Z61" s="1008"/>
      <c r="AA61" s="1126"/>
      <c r="AB61" s="167" t="str">
        <f t="shared" si="1"/>
        <v>2057 год</v>
      </c>
      <c r="AC61" s="307"/>
      <c r="AD61" s="920"/>
      <c r="AE61" s="919"/>
      <c r="AF61" s="919"/>
      <c r="AG61" s="920"/>
      <c r="AH61" s="919"/>
      <c r="AI61" s="920"/>
      <c r="AJ61" s="919"/>
      <c r="AK61" s="921"/>
      <c r="AL61" s="303"/>
      <c r="AN61" s="694" cm="1">
        <f t="array" ref="AN61">K61</f>
        <v>2057</v>
      </c>
      <c r="AO61" s="694" t="s">
        <v>2305</v>
      </c>
      <c r="AP61" s="704" cm="1">
        <f t="array" ref="AP61">AP60</f>
        <v>0</v>
      </c>
      <c r="AQ61" s="505"/>
      <c r="AR61" s="505"/>
    </row>
    <row r="62" spans="2:44" s="72" customFormat="1" ht="14.65" hidden="1" customHeight="1">
      <c r="B62" s="340" t="b">
        <f t="shared" ref="B62:B79" si="2">K62&lt;first_year+PERIOD_LENGTH</f>
        <v>0</v>
      </c>
      <c r="E62" s="505">
        <v>15</v>
      </c>
      <c r="F62" s="3" cm="1">
        <f t="array" aca="1" ref="F62" ca="1">OFFSET(E62,-1,1)</f>
        <v>0</v>
      </c>
      <c r="G62" s="17" cm="1">
        <f t="array" ref="G62">G61</f>
        <v>0</v>
      </c>
      <c r="K62" s="72">
        <f>first_year+32</f>
        <v>2058</v>
      </c>
      <c r="T62" s="351" t="b" cm="1">
        <f t="array" aca="1" ref="T62" ca="1">T61</f>
        <v>0</v>
      </c>
      <c r="X62" s="1024"/>
      <c r="Y62" s="1024"/>
      <c r="Z62" s="1008"/>
      <c r="AA62" s="1126"/>
      <c r="AB62" s="167" t="str">
        <f t="shared" ref="AB62:AB79" si="3">K62&amp;" год"</f>
        <v>2058 год</v>
      </c>
      <c r="AC62" s="307"/>
      <c r="AD62" s="920"/>
      <c r="AE62" s="919"/>
      <c r="AF62" s="919"/>
      <c r="AG62" s="920"/>
      <c r="AH62" s="919"/>
      <c r="AI62" s="920"/>
      <c r="AJ62" s="919"/>
      <c r="AK62" s="921"/>
      <c r="AL62" s="303"/>
      <c r="AN62" s="694" cm="1">
        <f t="array" ref="AN62">K62</f>
        <v>2058</v>
      </c>
      <c r="AO62" s="694" t="s">
        <v>2305</v>
      </c>
      <c r="AP62" s="704" cm="1">
        <f t="array" ref="AP62">AP61</f>
        <v>0</v>
      </c>
      <c r="AQ62" s="505"/>
      <c r="AR62" s="505"/>
    </row>
    <row r="63" spans="2:44" s="72" customFormat="1" ht="14.65" hidden="1" customHeight="1">
      <c r="B63" s="340" t="b">
        <f t="shared" si="2"/>
        <v>0</v>
      </c>
      <c r="E63" s="505">
        <v>15</v>
      </c>
      <c r="F63" s="3" cm="1">
        <f t="array" aca="1" ref="F63" ca="1">OFFSET(E63,-1,1)</f>
        <v>0</v>
      </c>
      <c r="G63" s="17" cm="1">
        <f t="array" ref="G63">G62</f>
        <v>0</v>
      </c>
      <c r="K63" s="72">
        <f>first_year+33</f>
        <v>2059</v>
      </c>
      <c r="T63" s="351" t="b" cm="1">
        <f t="array" aca="1" ref="T63" ca="1">T62</f>
        <v>0</v>
      </c>
      <c r="X63" s="1024"/>
      <c r="Y63" s="1024"/>
      <c r="Z63" s="1008"/>
      <c r="AA63" s="1126"/>
      <c r="AB63" s="167" t="str">
        <f t="shared" si="3"/>
        <v>2059 год</v>
      </c>
      <c r="AC63" s="307"/>
      <c r="AD63" s="920"/>
      <c r="AE63" s="919"/>
      <c r="AF63" s="919"/>
      <c r="AG63" s="920"/>
      <c r="AH63" s="919"/>
      <c r="AI63" s="920"/>
      <c r="AJ63" s="919"/>
      <c r="AK63" s="921"/>
      <c r="AL63" s="303"/>
      <c r="AN63" s="694" cm="1">
        <f t="array" ref="AN63">K63</f>
        <v>2059</v>
      </c>
      <c r="AO63" s="694" t="s">
        <v>2305</v>
      </c>
      <c r="AP63" s="704" cm="1">
        <f t="array" ref="AP63">AP62</f>
        <v>0</v>
      </c>
      <c r="AQ63" s="505"/>
      <c r="AR63" s="505"/>
    </row>
    <row r="64" spans="2:44" s="72" customFormat="1" ht="14.65" hidden="1" customHeight="1">
      <c r="B64" s="340" t="b">
        <f t="shared" si="2"/>
        <v>0</v>
      </c>
      <c r="E64" s="505">
        <v>15</v>
      </c>
      <c r="F64" s="3" cm="1">
        <f t="array" aca="1" ref="F64" ca="1">OFFSET(E64,-1,1)</f>
        <v>0</v>
      </c>
      <c r="G64" s="17" cm="1">
        <f t="array" ref="G64">G63</f>
        <v>0</v>
      </c>
      <c r="K64" s="72">
        <f>first_year+34</f>
        <v>2060</v>
      </c>
      <c r="T64" s="351" t="b" cm="1">
        <f t="array" aca="1" ref="T64" ca="1">T63</f>
        <v>0</v>
      </c>
      <c r="X64" s="1024"/>
      <c r="Y64" s="1024"/>
      <c r="Z64" s="1008"/>
      <c r="AA64" s="1126"/>
      <c r="AB64" s="167" t="str">
        <f t="shared" si="3"/>
        <v>2060 год</v>
      </c>
      <c r="AC64" s="307"/>
      <c r="AD64" s="920"/>
      <c r="AE64" s="919"/>
      <c r="AF64" s="919"/>
      <c r="AG64" s="920"/>
      <c r="AH64" s="919"/>
      <c r="AI64" s="920"/>
      <c r="AJ64" s="919"/>
      <c r="AK64" s="921"/>
      <c r="AL64" s="303"/>
      <c r="AN64" s="694" cm="1">
        <f t="array" ref="AN64">K64</f>
        <v>2060</v>
      </c>
      <c r="AO64" s="694" t="s">
        <v>2305</v>
      </c>
      <c r="AP64" s="704" cm="1">
        <f t="array" ref="AP64">AP63</f>
        <v>0</v>
      </c>
      <c r="AQ64" s="505"/>
      <c r="AR64" s="505"/>
    </row>
    <row r="65" spans="1:44" s="72" customFormat="1" ht="14.65" hidden="1" customHeight="1">
      <c r="B65" s="340" t="b">
        <f t="shared" si="2"/>
        <v>0</v>
      </c>
      <c r="E65" s="505">
        <v>15</v>
      </c>
      <c r="F65" s="3" cm="1">
        <f t="array" aca="1" ref="F65" ca="1">OFFSET(E65,-1,1)</f>
        <v>0</v>
      </c>
      <c r="G65" s="17" cm="1">
        <f t="array" ref="G65">G64</f>
        <v>0</v>
      </c>
      <c r="K65" s="72">
        <f>first_year+35</f>
        <v>2061</v>
      </c>
      <c r="T65" s="351" t="b" cm="1">
        <f t="array" aca="1" ref="T65" ca="1">T64</f>
        <v>0</v>
      </c>
      <c r="X65" s="1024"/>
      <c r="Y65" s="1024"/>
      <c r="Z65" s="1008"/>
      <c r="AA65" s="1126"/>
      <c r="AB65" s="167" t="str">
        <f t="shared" si="3"/>
        <v>2061 год</v>
      </c>
      <c r="AC65" s="307"/>
      <c r="AD65" s="920"/>
      <c r="AE65" s="919"/>
      <c r="AF65" s="919"/>
      <c r="AG65" s="920"/>
      <c r="AH65" s="919"/>
      <c r="AI65" s="920"/>
      <c r="AJ65" s="919"/>
      <c r="AK65" s="921"/>
      <c r="AL65" s="303"/>
      <c r="AN65" s="694" cm="1">
        <f t="array" ref="AN65">K65</f>
        <v>2061</v>
      </c>
      <c r="AO65" s="694" t="s">
        <v>2305</v>
      </c>
      <c r="AP65" s="704" cm="1">
        <f t="array" ref="AP65">AP64</f>
        <v>0</v>
      </c>
      <c r="AQ65" s="505"/>
      <c r="AR65" s="505"/>
    </row>
    <row r="66" spans="1:44" s="72" customFormat="1" ht="14.65" hidden="1" customHeight="1">
      <c r="B66" s="340" t="b">
        <f t="shared" si="2"/>
        <v>0</v>
      </c>
      <c r="E66" s="505">
        <v>15</v>
      </c>
      <c r="F66" s="3" cm="1">
        <f t="array" aca="1" ref="F66" ca="1">OFFSET(E66,-1,1)</f>
        <v>0</v>
      </c>
      <c r="G66" s="17" cm="1">
        <f t="array" ref="G66">G65</f>
        <v>0</v>
      </c>
      <c r="K66" s="72">
        <f>first_year+36</f>
        <v>2062</v>
      </c>
      <c r="T66" s="351" t="b" cm="1">
        <f t="array" aca="1" ref="T66" ca="1">T65</f>
        <v>0</v>
      </c>
      <c r="X66" s="1024"/>
      <c r="Y66" s="1024"/>
      <c r="Z66" s="1008"/>
      <c r="AA66" s="1126"/>
      <c r="AB66" s="167" t="str">
        <f t="shared" si="3"/>
        <v>2062 год</v>
      </c>
      <c r="AC66" s="307"/>
      <c r="AD66" s="920"/>
      <c r="AE66" s="919"/>
      <c r="AF66" s="919"/>
      <c r="AG66" s="920"/>
      <c r="AH66" s="919"/>
      <c r="AI66" s="920"/>
      <c r="AJ66" s="919"/>
      <c r="AK66" s="921"/>
      <c r="AL66" s="303"/>
      <c r="AN66" s="694" cm="1">
        <f t="array" ref="AN66">K66</f>
        <v>2062</v>
      </c>
      <c r="AO66" s="694" t="s">
        <v>2305</v>
      </c>
      <c r="AP66" s="704" cm="1">
        <f t="array" ref="AP66">AP65</f>
        <v>0</v>
      </c>
      <c r="AQ66" s="505"/>
      <c r="AR66" s="505"/>
    </row>
    <row r="67" spans="1:44" s="72" customFormat="1" ht="14.65" hidden="1" customHeight="1">
      <c r="B67" s="340" t="b">
        <f t="shared" si="2"/>
        <v>0</v>
      </c>
      <c r="E67" s="505">
        <v>15</v>
      </c>
      <c r="F67" s="3" cm="1">
        <f t="array" aca="1" ref="F67" ca="1">OFFSET(E67,-1,1)</f>
        <v>0</v>
      </c>
      <c r="G67" s="17" cm="1">
        <f t="array" ref="G67">G66</f>
        <v>0</v>
      </c>
      <c r="K67" s="72">
        <f>first_year+37</f>
        <v>2063</v>
      </c>
      <c r="T67" s="351" t="b" cm="1">
        <f t="array" aca="1" ref="T67" ca="1">T66</f>
        <v>0</v>
      </c>
      <c r="X67" s="1024"/>
      <c r="Y67" s="1024"/>
      <c r="Z67" s="1008"/>
      <c r="AA67" s="1126"/>
      <c r="AB67" s="167" t="str">
        <f t="shared" si="3"/>
        <v>2063 год</v>
      </c>
      <c r="AC67" s="307"/>
      <c r="AD67" s="920"/>
      <c r="AE67" s="919"/>
      <c r="AF67" s="919"/>
      <c r="AG67" s="920"/>
      <c r="AH67" s="919"/>
      <c r="AI67" s="920"/>
      <c r="AJ67" s="919"/>
      <c r="AK67" s="921"/>
      <c r="AL67" s="303"/>
      <c r="AN67" s="694" cm="1">
        <f t="array" ref="AN67">K67</f>
        <v>2063</v>
      </c>
      <c r="AO67" s="694" t="s">
        <v>2305</v>
      </c>
      <c r="AP67" s="704" cm="1">
        <f t="array" ref="AP67">AP66</f>
        <v>0</v>
      </c>
      <c r="AQ67" s="505"/>
      <c r="AR67" s="505"/>
    </row>
    <row r="68" spans="1:44" s="72" customFormat="1" ht="14.65" hidden="1" customHeight="1">
      <c r="B68" s="340" t="b">
        <f t="shared" si="2"/>
        <v>0</v>
      </c>
      <c r="E68" s="505">
        <v>15</v>
      </c>
      <c r="F68" s="3" cm="1">
        <f t="array" aca="1" ref="F68" ca="1">OFFSET(E68,-1,1)</f>
        <v>0</v>
      </c>
      <c r="G68" s="17" cm="1">
        <f t="array" ref="G68">G67</f>
        <v>0</v>
      </c>
      <c r="K68" s="72">
        <f>first_year+38</f>
        <v>2064</v>
      </c>
      <c r="T68" s="351" t="b" cm="1">
        <f t="array" aca="1" ref="T68" ca="1">T67</f>
        <v>0</v>
      </c>
      <c r="X68" s="1024"/>
      <c r="Y68" s="1024"/>
      <c r="Z68" s="1008"/>
      <c r="AA68" s="1126"/>
      <c r="AB68" s="167" t="str">
        <f t="shared" si="3"/>
        <v>2064 год</v>
      </c>
      <c r="AC68" s="307"/>
      <c r="AD68" s="920"/>
      <c r="AE68" s="919"/>
      <c r="AF68" s="919"/>
      <c r="AG68" s="920"/>
      <c r="AH68" s="919"/>
      <c r="AI68" s="920"/>
      <c r="AJ68" s="919"/>
      <c r="AK68" s="921"/>
      <c r="AL68" s="303"/>
      <c r="AN68" s="694" cm="1">
        <f t="array" ref="AN68">K68</f>
        <v>2064</v>
      </c>
      <c r="AO68" s="694" t="s">
        <v>2305</v>
      </c>
      <c r="AP68" s="704" cm="1">
        <f t="array" ref="AP68">AP67</f>
        <v>0</v>
      </c>
      <c r="AQ68" s="505"/>
      <c r="AR68" s="505"/>
    </row>
    <row r="69" spans="1:44" s="72" customFormat="1" ht="14.65" hidden="1" customHeight="1">
      <c r="B69" s="340" t="b">
        <f t="shared" si="2"/>
        <v>0</v>
      </c>
      <c r="E69" s="505">
        <v>15</v>
      </c>
      <c r="F69" s="3" cm="1">
        <f t="array" aca="1" ref="F69" ca="1">OFFSET(E69,-1,1)</f>
        <v>0</v>
      </c>
      <c r="G69" s="17" cm="1">
        <f t="array" ref="G69">G68</f>
        <v>0</v>
      </c>
      <c r="K69" s="72">
        <f>first_year+39</f>
        <v>2065</v>
      </c>
      <c r="T69" s="351" t="b" cm="1">
        <f t="array" aca="1" ref="T69" ca="1">T68</f>
        <v>0</v>
      </c>
      <c r="X69" s="1024"/>
      <c r="Y69" s="1024"/>
      <c r="Z69" s="1008"/>
      <c r="AA69" s="1126"/>
      <c r="AB69" s="167" t="str">
        <f t="shared" si="3"/>
        <v>2065 год</v>
      </c>
      <c r="AC69" s="307"/>
      <c r="AD69" s="920"/>
      <c r="AE69" s="919"/>
      <c r="AF69" s="919"/>
      <c r="AG69" s="920"/>
      <c r="AH69" s="919"/>
      <c r="AI69" s="920"/>
      <c r="AJ69" s="919"/>
      <c r="AK69" s="921"/>
      <c r="AL69" s="303"/>
      <c r="AN69" s="694" cm="1">
        <f t="array" ref="AN69">K69</f>
        <v>2065</v>
      </c>
      <c r="AO69" s="694" t="s">
        <v>2305</v>
      </c>
      <c r="AP69" s="704" cm="1">
        <f t="array" ref="AP69">AP68</f>
        <v>0</v>
      </c>
      <c r="AQ69" s="505"/>
      <c r="AR69" s="505"/>
    </row>
    <row r="70" spans="1:44" s="72" customFormat="1" ht="14.65" hidden="1" customHeight="1">
      <c r="B70" s="340" t="b">
        <f t="shared" si="2"/>
        <v>0</v>
      </c>
      <c r="E70" s="505">
        <v>15</v>
      </c>
      <c r="F70" s="3" cm="1">
        <f t="array" aca="1" ref="F70" ca="1">OFFSET(E70,-1,1)</f>
        <v>0</v>
      </c>
      <c r="G70" s="17" cm="1">
        <f t="array" ref="G70">G69</f>
        <v>0</v>
      </c>
      <c r="K70" s="72">
        <f>first_year+40</f>
        <v>2066</v>
      </c>
      <c r="T70" s="351" t="b" cm="1">
        <f t="array" aca="1" ref="T70" ca="1">T69</f>
        <v>0</v>
      </c>
      <c r="X70" s="1024"/>
      <c r="Y70" s="1024"/>
      <c r="Z70" s="1008"/>
      <c r="AA70" s="1126"/>
      <c r="AB70" s="167" t="str">
        <f t="shared" si="3"/>
        <v>2066 год</v>
      </c>
      <c r="AC70" s="307"/>
      <c r="AD70" s="920"/>
      <c r="AE70" s="919"/>
      <c r="AF70" s="919"/>
      <c r="AG70" s="920"/>
      <c r="AH70" s="919"/>
      <c r="AI70" s="920"/>
      <c r="AJ70" s="919"/>
      <c r="AK70" s="921"/>
      <c r="AL70" s="303"/>
      <c r="AN70" s="694" cm="1">
        <f t="array" ref="AN70">K70</f>
        <v>2066</v>
      </c>
      <c r="AO70" s="694" t="s">
        <v>2305</v>
      </c>
      <c r="AP70" s="704" cm="1">
        <f t="array" ref="AP70">AP69</f>
        <v>0</v>
      </c>
      <c r="AQ70" s="505"/>
      <c r="AR70" s="505"/>
    </row>
    <row r="71" spans="1:44" s="72" customFormat="1" ht="14.65" hidden="1" customHeight="1">
      <c r="B71" s="340" t="b">
        <f t="shared" si="2"/>
        <v>0</v>
      </c>
      <c r="E71" s="505">
        <v>15</v>
      </c>
      <c r="F71" s="3" cm="1">
        <f t="array" aca="1" ref="F71" ca="1">OFFSET(E71,-1,1)</f>
        <v>0</v>
      </c>
      <c r="G71" s="17" cm="1">
        <f t="array" ref="G71">G70</f>
        <v>0</v>
      </c>
      <c r="K71" s="72">
        <f>first_year+41</f>
        <v>2067</v>
      </c>
      <c r="T71" s="351" t="b" cm="1">
        <f t="array" aca="1" ref="T71" ca="1">T70</f>
        <v>0</v>
      </c>
      <c r="X71" s="1024"/>
      <c r="Y71" s="1024"/>
      <c r="Z71" s="1008"/>
      <c r="AA71" s="1126"/>
      <c r="AB71" s="167" t="str">
        <f t="shared" si="3"/>
        <v>2067 год</v>
      </c>
      <c r="AC71" s="307"/>
      <c r="AD71" s="920"/>
      <c r="AE71" s="919"/>
      <c r="AF71" s="919"/>
      <c r="AG71" s="920"/>
      <c r="AH71" s="919"/>
      <c r="AI71" s="920"/>
      <c r="AJ71" s="919"/>
      <c r="AK71" s="921"/>
      <c r="AL71" s="303"/>
      <c r="AN71" s="694" cm="1">
        <f t="array" ref="AN71">K71</f>
        <v>2067</v>
      </c>
      <c r="AO71" s="694" t="s">
        <v>2305</v>
      </c>
      <c r="AP71" s="704" cm="1">
        <f t="array" ref="AP71">AP70</f>
        <v>0</v>
      </c>
      <c r="AQ71" s="505"/>
      <c r="AR71" s="505"/>
    </row>
    <row r="72" spans="1:44" s="72" customFormat="1" ht="14.65" hidden="1" customHeight="1">
      <c r="B72" s="340" t="b">
        <f t="shared" si="2"/>
        <v>0</v>
      </c>
      <c r="E72" s="505">
        <v>15</v>
      </c>
      <c r="F72" s="3" cm="1">
        <f t="array" aca="1" ref="F72" ca="1">OFFSET(E72,-1,1)</f>
        <v>0</v>
      </c>
      <c r="G72" s="17" cm="1">
        <f t="array" ref="G72">G71</f>
        <v>0</v>
      </c>
      <c r="K72" s="72">
        <f>first_year+42</f>
        <v>2068</v>
      </c>
      <c r="T72" s="351" t="b" cm="1">
        <f t="array" aca="1" ref="T72" ca="1">T71</f>
        <v>0</v>
      </c>
      <c r="X72" s="1024"/>
      <c r="Y72" s="1024"/>
      <c r="Z72" s="1008"/>
      <c r="AA72" s="1126"/>
      <c r="AB72" s="167" t="str">
        <f t="shared" si="3"/>
        <v>2068 год</v>
      </c>
      <c r="AC72" s="307"/>
      <c r="AD72" s="920"/>
      <c r="AE72" s="919"/>
      <c r="AF72" s="919"/>
      <c r="AG72" s="920"/>
      <c r="AH72" s="919"/>
      <c r="AI72" s="920"/>
      <c r="AJ72" s="919"/>
      <c r="AK72" s="921"/>
      <c r="AL72" s="303"/>
      <c r="AN72" s="694" cm="1">
        <f t="array" ref="AN72">K72</f>
        <v>2068</v>
      </c>
      <c r="AO72" s="694" t="s">
        <v>2305</v>
      </c>
      <c r="AP72" s="704" cm="1">
        <f t="array" ref="AP72">AP71</f>
        <v>0</v>
      </c>
      <c r="AQ72" s="505"/>
      <c r="AR72" s="505"/>
    </row>
    <row r="73" spans="1:44" s="72" customFormat="1" ht="14.65" hidden="1" customHeight="1">
      <c r="B73" s="340" t="b">
        <f t="shared" si="2"/>
        <v>0</v>
      </c>
      <c r="E73" s="505">
        <v>15</v>
      </c>
      <c r="F73" s="3" cm="1">
        <f t="array" aca="1" ref="F73" ca="1">OFFSET(E73,-1,1)</f>
        <v>0</v>
      </c>
      <c r="G73" s="17" cm="1">
        <f t="array" ref="G73">G72</f>
        <v>0</v>
      </c>
      <c r="K73" s="72">
        <f>first_year+43</f>
        <v>2069</v>
      </c>
      <c r="T73" s="351" t="b" cm="1">
        <f t="array" aca="1" ref="T73" ca="1">T72</f>
        <v>0</v>
      </c>
      <c r="X73" s="1024"/>
      <c r="Y73" s="1024"/>
      <c r="Z73" s="1008"/>
      <c r="AA73" s="1126"/>
      <c r="AB73" s="167" t="str">
        <f t="shared" si="3"/>
        <v>2069 год</v>
      </c>
      <c r="AC73" s="307"/>
      <c r="AD73" s="920"/>
      <c r="AE73" s="919"/>
      <c r="AF73" s="919"/>
      <c r="AG73" s="920"/>
      <c r="AH73" s="919"/>
      <c r="AI73" s="920"/>
      <c r="AJ73" s="919"/>
      <c r="AK73" s="921"/>
      <c r="AL73" s="303"/>
      <c r="AN73" s="694" cm="1">
        <f t="array" ref="AN73">K73</f>
        <v>2069</v>
      </c>
      <c r="AO73" s="694" t="s">
        <v>2305</v>
      </c>
      <c r="AP73" s="704" cm="1">
        <f t="array" ref="AP73">AP72</f>
        <v>0</v>
      </c>
      <c r="AQ73" s="505"/>
      <c r="AR73" s="505"/>
    </row>
    <row r="74" spans="1:44" s="72" customFormat="1" ht="14.65" hidden="1" customHeight="1">
      <c r="B74" s="340" t="b">
        <f t="shared" si="2"/>
        <v>0</v>
      </c>
      <c r="E74" s="505">
        <v>15</v>
      </c>
      <c r="F74" s="3" cm="1">
        <f t="array" aca="1" ref="F74" ca="1">OFFSET(E74,-1,1)</f>
        <v>0</v>
      </c>
      <c r="G74" s="17" cm="1">
        <f t="array" ref="G74">G73</f>
        <v>0</v>
      </c>
      <c r="K74" s="72">
        <f>first_year+44</f>
        <v>2070</v>
      </c>
      <c r="T74" s="351" t="b" cm="1">
        <f t="array" aca="1" ref="T74" ca="1">T73</f>
        <v>0</v>
      </c>
      <c r="X74" s="1024"/>
      <c r="Y74" s="1024"/>
      <c r="Z74" s="1008"/>
      <c r="AA74" s="1126"/>
      <c r="AB74" s="167" t="str">
        <f t="shared" si="3"/>
        <v>2070 год</v>
      </c>
      <c r="AC74" s="307"/>
      <c r="AD74" s="920"/>
      <c r="AE74" s="919"/>
      <c r="AF74" s="919"/>
      <c r="AG74" s="920"/>
      <c r="AH74" s="919"/>
      <c r="AI74" s="920"/>
      <c r="AJ74" s="919"/>
      <c r="AK74" s="921"/>
      <c r="AL74" s="303"/>
      <c r="AN74" s="694" cm="1">
        <f t="array" ref="AN74">K74</f>
        <v>2070</v>
      </c>
      <c r="AO74" s="694" t="s">
        <v>2305</v>
      </c>
      <c r="AP74" s="704" cm="1">
        <f t="array" ref="AP74">AP73</f>
        <v>0</v>
      </c>
      <c r="AQ74" s="505"/>
      <c r="AR74" s="505"/>
    </row>
    <row r="75" spans="1:44" s="72" customFormat="1" ht="14.65" hidden="1" customHeight="1">
      <c r="B75" s="340" t="b">
        <f t="shared" si="2"/>
        <v>0</v>
      </c>
      <c r="E75" s="505">
        <v>15</v>
      </c>
      <c r="F75" s="3" cm="1">
        <f t="array" aca="1" ref="F75" ca="1">OFFSET(E75,-1,1)</f>
        <v>0</v>
      </c>
      <c r="G75" s="17" cm="1">
        <f t="array" ref="G75">G74</f>
        <v>0</v>
      </c>
      <c r="K75" s="72">
        <f>first_year+45</f>
        <v>2071</v>
      </c>
      <c r="T75" s="351" t="b" cm="1">
        <f t="array" aca="1" ref="T75" ca="1">T74</f>
        <v>0</v>
      </c>
      <c r="X75" s="1024"/>
      <c r="Y75" s="1024"/>
      <c r="Z75" s="1008"/>
      <c r="AA75" s="1126"/>
      <c r="AB75" s="167" t="str">
        <f t="shared" si="3"/>
        <v>2071 год</v>
      </c>
      <c r="AC75" s="307"/>
      <c r="AD75" s="920"/>
      <c r="AE75" s="919"/>
      <c r="AF75" s="919"/>
      <c r="AG75" s="920"/>
      <c r="AH75" s="919"/>
      <c r="AI75" s="920"/>
      <c r="AJ75" s="919"/>
      <c r="AK75" s="921"/>
      <c r="AL75" s="303"/>
      <c r="AN75" s="694" cm="1">
        <f t="array" ref="AN75">K75</f>
        <v>2071</v>
      </c>
      <c r="AO75" s="694" t="s">
        <v>2305</v>
      </c>
      <c r="AP75" s="704" cm="1">
        <f t="array" ref="AP75">AP74</f>
        <v>0</v>
      </c>
      <c r="AQ75" s="505"/>
      <c r="AR75" s="505"/>
    </row>
    <row r="76" spans="1:44" s="72" customFormat="1" ht="14.65" hidden="1" customHeight="1">
      <c r="B76" s="340" t="b">
        <f t="shared" si="2"/>
        <v>0</v>
      </c>
      <c r="E76" s="505">
        <v>15</v>
      </c>
      <c r="F76" s="3" cm="1">
        <f t="array" aca="1" ref="F76" ca="1">OFFSET(E76,-1,1)</f>
        <v>0</v>
      </c>
      <c r="G76" s="17" cm="1">
        <f t="array" ref="G76">G75</f>
        <v>0</v>
      </c>
      <c r="K76" s="72">
        <f>first_year+46</f>
        <v>2072</v>
      </c>
      <c r="T76" s="351" t="b" cm="1">
        <f t="array" aca="1" ref="T76" ca="1">T75</f>
        <v>0</v>
      </c>
      <c r="X76" s="1024"/>
      <c r="Y76" s="1024"/>
      <c r="Z76" s="1008"/>
      <c r="AA76" s="1126"/>
      <c r="AB76" s="167" t="str">
        <f t="shared" si="3"/>
        <v>2072 год</v>
      </c>
      <c r="AC76" s="307"/>
      <c r="AD76" s="920"/>
      <c r="AE76" s="919"/>
      <c r="AF76" s="919"/>
      <c r="AG76" s="920"/>
      <c r="AH76" s="919"/>
      <c r="AI76" s="920"/>
      <c r="AJ76" s="919"/>
      <c r="AK76" s="921"/>
      <c r="AL76" s="303"/>
      <c r="AN76" s="694" cm="1">
        <f t="array" ref="AN76">K76</f>
        <v>2072</v>
      </c>
      <c r="AO76" s="694" t="s">
        <v>2305</v>
      </c>
      <c r="AP76" s="704" cm="1">
        <f t="array" ref="AP76">AP75</f>
        <v>0</v>
      </c>
      <c r="AQ76" s="505"/>
      <c r="AR76" s="505"/>
    </row>
    <row r="77" spans="1:44" s="72" customFormat="1" ht="14.65" hidden="1" customHeight="1">
      <c r="B77" s="340" t="b">
        <f t="shared" si="2"/>
        <v>0</v>
      </c>
      <c r="E77" s="505">
        <v>15</v>
      </c>
      <c r="F77" s="3" cm="1">
        <f t="array" aca="1" ref="F77" ca="1">OFFSET(E77,-1,1)</f>
        <v>0</v>
      </c>
      <c r="G77" s="17" cm="1">
        <f t="array" ref="G77">G76</f>
        <v>0</v>
      </c>
      <c r="K77" s="72">
        <f>first_year+47</f>
        <v>2073</v>
      </c>
      <c r="T77" s="351" t="b" cm="1">
        <f t="array" aca="1" ref="T77" ca="1">T76</f>
        <v>0</v>
      </c>
      <c r="X77" s="1024"/>
      <c r="Y77" s="1024"/>
      <c r="Z77" s="1008"/>
      <c r="AA77" s="1126"/>
      <c r="AB77" s="167" t="str">
        <f t="shared" si="3"/>
        <v>2073 год</v>
      </c>
      <c r="AC77" s="307"/>
      <c r="AD77" s="920"/>
      <c r="AE77" s="919"/>
      <c r="AF77" s="919"/>
      <c r="AG77" s="920"/>
      <c r="AH77" s="919"/>
      <c r="AI77" s="920"/>
      <c r="AJ77" s="919"/>
      <c r="AK77" s="921"/>
      <c r="AL77" s="303"/>
      <c r="AN77" s="694" cm="1">
        <f t="array" ref="AN77">K77</f>
        <v>2073</v>
      </c>
      <c r="AO77" s="694" t="s">
        <v>2305</v>
      </c>
      <c r="AP77" s="704" cm="1">
        <f t="array" ref="AP77">AP76</f>
        <v>0</v>
      </c>
      <c r="AQ77" s="505"/>
      <c r="AR77" s="505"/>
    </row>
    <row r="78" spans="1:44" s="72" customFormat="1" ht="14.65" hidden="1" customHeight="1">
      <c r="B78" s="340" t="b">
        <f t="shared" si="2"/>
        <v>0</v>
      </c>
      <c r="E78" s="505">
        <v>15</v>
      </c>
      <c r="F78" s="3" cm="1">
        <f t="array" aca="1" ref="F78" ca="1">OFFSET(E78,-1,1)</f>
        <v>0</v>
      </c>
      <c r="G78" s="17" cm="1">
        <f t="array" ref="G78">G77</f>
        <v>0</v>
      </c>
      <c r="K78" s="72">
        <f>first_year+48</f>
        <v>2074</v>
      </c>
      <c r="T78" s="351" t="b" cm="1">
        <f t="array" aca="1" ref="T78" ca="1">T77</f>
        <v>0</v>
      </c>
      <c r="X78" s="1024"/>
      <c r="Y78" s="1024"/>
      <c r="Z78" s="1008"/>
      <c r="AA78" s="1126"/>
      <c r="AB78" s="167" t="str">
        <f t="shared" si="3"/>
        <v>2074 год</v>
      </c>
      <c r="AC78" s="307"/>
      <c r="AD78" s="920"/>
      <c r="AE78" s="919"/>
      <c r="AF78" s="919"/>
      <c r="AG78" s="920"/>
      <c r="AH78" s="919"/>
      <c r="AI78" s="920"/>
      <c r="AJ78" s="919"/>
      <c r="AK78" s="921"/>
      <c r="AL78" s="303"/>
      <c r="AN78" s="694" cm="1">
        <f t="array" ref="AN78">K78</f>
        <v>2074</v>
      </c>
      <c r="AO78" s="694" t="s">
        <v>2305</v>
      </c>
      <c r="AP78" s="704" cm="1">
        <f t="array" ref="AP78">AP77</f>
        <v>0</v>
      </c>
      <c r="AQ78" s="505"/>
      <c r="AR78" s="505"/>
    </row>
    <row r="79" spans="1:44" s="72" customFormat="1" ht="14.65" hidden="1" customHeight="1">
      <c r="B79" s="340" t="b">
        <f t="shared" si="2"/>
        <v>0</v>
      </c>
      <c r="E79" s="505">
        <v>15</v>
      </c>
      <c r="F79" s="3" cm="1">
        <f t="array" aca="1" ref="F79" ca="1">OFFSET(E79,-1,1)</f>
        <v>0</v>
      </c>
      <c r="G79" s="17" cm="1">
        <f t="array" ref="G79">G78</f>
        <v>0</v>
      </c>
      <c r="K79" s="72">
        <f>first_year+49</f>
        <v>2075</v>
      </c>
      <c r="T79" s="351" t="b" cm="1">
        <f t="array" aca="1" ref="T79" ca="1">T78</f>
        <v>0</v>
      </c>
      <c r="X79" s="1024"/>
      <c r="Y79" s="1024"/>
      <c r="Z79" s="1008"/>
      <c r="AA79" s="1126"/>
      <c r="AB79" s="167" t="str">
        <f t="shared" si="3"/>
        <v>2075 год</v>
      </c>
      <c r="AC79" s="307"/>
      <c r="AD79" s="920"/>
      <c r="AE79" s="919"/>
      <c r="AF79" s="919"/>
      <c r="AG79" s="920"/>
      <c r="AH79" s="919"/>
      <c r="AI79" s="920"/>
      <c r="AJ79" s="919"/>
      <c r="AK79" s="921"/>
      <c r="AL79" s="303"/>
      <c r="AN79" s="694" cm="1">
        <f t="array" ref="AN79">K79</f>
        <v>2075</v>
      </c>
      <c r="AO79" s="694" t="s">
        <v>2305</v>
      </c>
      <c r="AP79" s="704" cm="1">
        <f t="array" ref="AP79">AP78</f>
        <v>0</v>
      </c>
      <c r="AQ79" s="505"/>
      <c r="AR79" s="505"/>
    </row>
    <row r="80" spans="1:44" ht="14.65" hidden="1" customHeight="1">
      <c r="A80" s="72"/>
      <c r="B80" s="328"/>
      <c r="C80" s="72"/>
      <c r="D80" s="72"/>
      <c r="E80" s="505">
        <v>15</v>
      </c>
      <c r="F80" s="764" cm="1">
        <f t="array" aca="1" ref="F80" ca="1">OFFSET(E80,-1,1)</f>
        <v>0</v>
      </c>
      <c r="G80" s="72" t="str">
        <f>"!== 'не определено'"</f>
        <v>!== 'не определено'</v>
      </c>
      <c r="H80" s="72"/>
      <c r="I80" s="72"/>
      <c r="J80" s="72"/>
      <c r="K80" s="72"/>
      <c r="L80" s="72"/>
      <c r="M80" s="72"/>
      <c r="N80" s="72"/>
      <c r="O80" s="72"/>
      <c r="P80" s="72"/>
      <c r="Q80" s="72"/>
      <c r="R80" s="72"/>
      <c r="S80" s="72"/>
      <c r="T80" s="351" t="b">
        <f ca="1">F80&gt;0</f>
        <v>0</v>
      </c>
      <c r="U80" s="72"/>
      <c r="V80" s="72"/>
      <c r="W80" s="504" t="s">
        <v>2306</v>
      </c>
      <c r="X80" s="1024"/>
      <c r="Y80" s="72"/>
      <c r="Z80" s="1008"/>
      <c r="AA80" s="72"/>
      <c r="AB80" s="621" t="s">
        <v>175</v>
      </c>
      <c r="AC80" s="211"/>
      <c r="AD80" s="211"/>
      <c r="AE80" s="211"/>
      <c r="AF80" s="211"/>
      <c r="AG80" s="211"/>
      <c r="AH80" s="211"/>
      <c r="AI80" s="211"/>
      <c r="AJ80" s="211"/>
      <c r="AK80" s="211"/>
      <c r="AL80" s="303"/>
      <c r="AM80"/>
      <c r="AN80" s="659"/>
      <c r="AO80" s="659"/>
      <c r="AP80" s="659"/>
      <c r="AQ80" s="661" t="s">
        <v>2305</v>
      </c>
      <c r="AR80" s="452"/>
    </row>
    <row r="81" spans="1:44" s="394" customFormat="1" ht="14.25" customHeight="1">
      <c r="A81" s="38"/>
      <c r="B81" s="43"/>
      <c r="C81" s="38"/>
      <c r="D81" s="38"/>
      <c r="E81" s="446">
        <v>15</v>
      </c>
      <c r="F81" s="17" t="str" cm="1">
        <f t="array" ref="F81">X81</f>
        <v>1</v>
      </c>
      <c r="G81" s="38"/>
      <c r="H81" s="38"/>
      <c r="I81" s="38"/>
      <c r="J81" s="38"/>
      <c r="K81" s="38"/>
      <c r="L81" s="38"/>
      <c r="M81" s="38"/>
      <c r="N81" s="38"/>
      <c r="O81" s="38"/>
      <c r="P81" s="38"/>
      <c r="Q81" s="38"/>
      <c r="R81" s="38"/>
      <c r="S81" s="38"/>
      <c r="T81" s="351" t="b">
        <f>X81&gt;0</f>
        <v>1</v>
      </c>
      <c r="U81" s="38"/>
      <c r="V81" s="38" t="str" cm="1">
        <f t="array" ref="V81">ДПР!$AB$81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W81" s="38"/>
      <c r="X81" s="1024" t="s">
        <v>277</v>
      </c>
      <c r="Y81" s="38"/>
      <c r="Z81" s="1008"/>
      <c r="AA81" s="38"/>
      <c r="AB81" s="279" t="str" cm="1">
        <f t="array" ref="AB81">ДПР!$AB$81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81" s="156"/>
      <c r="AD81" s="156"/>
      <c r="AE81" s="156"/>
      <c r="AF81" s="156"/>
      <c r="AG81" s="156"/>
      <c r="AH81" s="156"/>
      <c r="AI81" s="156"/>
      <c r="AJ81" s="156"/>
      <c r="AK81" s="156"/>
      <c r="AL81" s="302"/>
      <c r="AM81" s="38"/>
      <c r="AN81" s="654"/>
      <c r="AO81" s="654"/>
      <c r="AP81" s="654"/>
      <c r="AQ81" s="446"/>
      <c r="AR81" s="446"/>
    </row>
    <row r="82" spans="1:44" s="394" customFormat="1" ht="14.25" hidden="1" customHeight="1">
      <c r="A82" s="38"/>
      <c r="B82" s="43"/>
      <c r="C82" s="38"/>
      <c r="D82" s="38"/>
      <c r="E82" s="446">
        <v>15</v>
      </c>
      <c r="F82" s="3" t="str" cm="1">
        <f t="array" aca="1" ref="F82" ca="1">OFFSET(E82,-1,1)</f>
        <v>1</v>
      </c>
      <c r="G82" s="38" cm="1">
        <f t="array" ref="G82">AB82</f>
        <v>0</v>
      </c>
      <c r="H82" s="38"/>
      <c r="I82" s="38"/>
      <c r="J82" s="38"/>
      <c r="K82" s="38"/>
      <c r="L82" s="38"/>
      <c r="M82" s="38"/>
      <c r="N82" s="38"/>
      <c r="O82" s="38"/>
      <c r="P82" s="38"/>
      <c r="Q82" s="38"/>
      <c r="R82" s="38"/>
      <c r="S82" s="38"/>
      <c r="T82" s="351" t="b">
        <f ca="1">AND(F82&gt;0,Y82&gt;0)</f>
        <v>0</v>
      </c>
      <c r="U82" s="38"/>
      <c r="V82" s="38"/>
      <c r="W82" s="38" t="s">
        <v>171</v>
      </c>
      <c r="X82" s="1024"/>
      <c r="Y82" s="1024">
        <v>0</v>
      </c>
      <c r="Z82" s="1008"/>
      <c r="AA82" s="1126" t="s">
        <v>172</v>
      </c>
      <c r="AB82" s="1127"/>
      <c r="AC82" s="1127"/>
      <c r="AD82" s="1127"/>
      <c r="AE82" s="1127"/>
      <c r="AF82" s="1127"/>
      <c r="AG82" s="1127"/>
      <c r="AH82" s="1127"/>
      <c r="AI82" s="1127"/>
      <c r="AJ82" s="1127"/>
      <c r="AK82" s="1128"/>
      <c r="AL82" s="302"/>
      <c r="AM82" s="38"/>
      <c r="AN82" s="654"/>
      <c r="AO82" s="694" t="s">
        <v>2305</v>
      </c>
      <c r="AP82" s="685" cm="1">
        <f t="array" ref="AP82">AB82</f>
        <v>0</v>
      </c>
      <c r="AQ82" s="446"/>
      <c r="AR82" s="446" t="b">
        <v>1</v>
      </c>
    </row>
    <row r="83" spans="1:44" s="914" customFormat="1" ht="14.25" hidden="1" customHeight="1">
      <c r="A83" s="72"/>
      <c r="B83" s="340" t="b">
        <f t="shared" ref="B83:B114" si="4">K83&lt;first_year+PERIOD_LENGTH</f>
        <v>1</v>
      </c>
      <c r="C83" s="72"/>
      <c r="D83" s="72"/>
      <c r="E83" s="505">
        <v>15</v>
      </c>
      <c r="F83" s="3" t="str" cm="1">
        <f t="array" aca="1" ref="F83" ca="1">OFFSET(E83,-1,1)</f>
        <v>1</v>
      </c>
      <c r="G83" s="17" cm="1">
        <f t="array" ref="G83">G82</f>
        <v>0</v>
      </c>
      <c r="H83" s="72"/>
      <c r="I83" s="72"/>
      <c r="J83" s="72"/>
      <c r="K83" s="72" cm="1">
        <f t="array" ref="K83">first_year</f>
        <v>2026</v>
      </c>
      <c r="L83" s="72"/>
      <c r="M83" s="72"/>
      <c r="N83" s="72"/>
      <c r="O83" s="72"/>
      <c r="P83" s="72"/>
      <c r="Q83" s="72"/>
      <c r="R83" s="72"/>
      <c r="S83" s="72"/>
      <c r="T83" s="351" t="b" cm="1">
        <f t="array" aca="1" ref="T83" ca="1">T82</f>
        <v>0</v>
      </c>
      <c r="U83" s="72"/>
      <c r="V83" s="72"/>
      <c r="W83" s="72"/>
      <c r="X83" s="1024"/>
      <c r="Y83" s="1024"/>
      <c r="Z83" s="1008"/>
      <c r="AA83" s="1126"/>
      <c r="AB83" s="210" t="str">
        <f t="shared" ref="AB83:AB114" si="5">K83&amp;" год"</f>
        <v>2026 год</v>
      </c>
      <c r="AC83" s="919"/>
      <c r="AD83" s="920"/>
      <c r="AE83" s="919"/>
      <c r="AF83" s="919"/>
      <c r="AG83" s="920"/>
      <c r="AH83" s="919"/>
      <c r="AI83" s="920"/>
      <c r="AJ83" s="919"/>
      <c r="AK83" s="921"/>
      <c r="AL83" s="303"/>
      <c r="AM83" s="72"/>
      <c r="AN83" s="694" cm="1">
        <f t="array" ref="AN83">K83</f>
        <v>2026</v>
      </c>
      <c r="AO83" s="694" t="s">
        <v>2305</v>
      </c>
      <c r="AP83" s="704" cm="1">
        <f t="array" ref="AP83">AP82</f>
        <v>0</v>
      </c>
      <c r="AQ83" s="505"/>
      <c r="AR83" s="505"/>
    </row>
    <row r="84" spans="1:44" s="914" customFormat="1" ht="14.25" hidden="1" customHeight="1">
      <c r="A84" s="72"/>
      <c r="B84" s="340" t="b">
        <f t="shared" si="4"/>
        <v>1</v>
      </c>
      <c r="C84" s="72"/>
      <c r="D84" s="72"/>
      <c r="E84" s="505">
        <v>15</v>
      </c>
      <c r="F84" s="3" t="str" cm="1">
        <f t="array" aca="1" ref="F84" ca="1">OFFSET(E84,-1,1)</f>
        <v>1</v>
      </c>
      <c r="G84" s="17" cm="1">
        <f t="array" ref="G84">G83</f>
        <v>0</v>
      </c>
      <c r="H84" s="72"/>
      <c r="I84" s="72"/>
      <c r="J84" s="72"/>
      <c r="K84" s="72">
        <f>first_year+1</f>
        <v>2027</v>
      </c>
      <c r="L84" s="72"/>
      <c r="M84" s="72"/>
      <c r="N84" s="72"/>
      <c r="O84" s="72"/>
      <c r="P84" s="72"/>
      <c r="Q84" s="72"/>
      <c r="R84" s="72"/>
      <c r="S84" s="72"/>
      <c r="T84" s="351" t="b" cm="1">
        <f t="array" aca="1" ref="T84" ca="1">T83</f>
        <v>0</v>
      </c>
      <c r="U84" s="72"/>
      <c r="V84" s="72"/>
      <c r="W84" s="72"/>
      <c r="X84" s="1024"/>
      <c r="Y84" s="1024"/>
      <c r="Z84" s="1008"/>
      <c r="AA84" s="1126"/>
      <c r="AB84" s="167" t="str">
        <f t="shared" si="5"/>
        <v>2027 год</v>
      </c>
      <c r="AC84" s="307"/>
      <c r="AD84" s="920"/>
      <c r="AE84" s="919"/>
      <c r="AF84" s="919"/>
      <c r="AG84" s="920"/>
      <c r="AH84" s="919"/>
      <c r="AI84" s="920"/>
      <c r="AJ84" s="919"/>
      <c r="AK84" s="921"/>
      <c r="AL84" s="303"/>
      <c r="AM84" s="72"/>
      <c r="AN84" s="694" cm="1">
        <f t="array" ref="AN84">K84</f>
        <v>2027</v>
      </c>
      <c r="AO84" s="694" t="s">
        <v>2305</v>
      </c>
      <c r="AP84" s="704" cm="1">
        <f t="array" ref="AP84">AP83</f>
        <v>0</v>
      </c>
      <c r="AQ84" s="505"/>
      <c r="AR84" s="505"/>
    </row>
    <row r="85" spans="1:44" s="914" customFormat="1" ht="14.25" hidden="1" customHeight="1">
      <c r="A85" s="72"/>
      <c r="B85" s="340" t="b">
        <f t="shared" si="4"/>
        <v>1</v>
      </c>
      <c r="C85" s="72"/>
      <c r="D85" s="72"/>
      <c r="E85" s="505">
        <v>15</v>
      </c>
      <c r="F85" s="3" t="str" cm="1">
        <f t="array" aca="1" ref="F85" ca="1">OFFSET(E85,-1,1)</f>
        <v>1</v>
      </c>
      <c r="G85" s="17" cm="1">
        <f t="array" ref="G85">G84</f>
        <v>0</v>
      </c>
      <c r="H85" s="72"/>
      <c r="I85" s="72"/>
      <c r="J85" s="72"/>
      <c r="K85" s="72">
        <f>first_year+2</f>
        <v>2028</v>
      </c>
      <c r="L85" s="72"/>
      <c r="M85" s="72"/>
      <c r="N85" s="72"/>
      <c r="O85" s="72"/>
      <c r="P85" s="72"/>
      <c r="Q85" s="72"/>
      <c r="R85" s="72"/>
      <c r="S85" s="72"/>
      <c r="T85" s="351" t="b" cm="1">
        <f t="array" aca="1" ref="T85" ca="1">T84</f>
        <v>0</v>
      </c>
      <c r="U85" s="72"/>
      <c r="V85" s="72"/>
      <c r="W85" s="72"/>
      <c r="X85" s="1024"/>
      <c r="Y85" s="1024"/>
      <c r="Z85" s="1008"/>
      <c r="AA85" s="1126"/>
      <c r="AB85" s="167" t="str">
        <f t="shared" si="5"/>
        <v>2028 год</v>
      </c>
      <c r="AC85" s="307"/>
      <c r="AD85" s="920"/>
      <c r="AE85" s="919"/>
      <c r="AF85" s="919"/>
      <c r="AG85" s="920"/>
      <c r="AH85" s="919"/>
      <c r="AI85" s="920"/>
      <c r="AJ85" s="919"/>
      <c r="AK85" s="921"/>
      <c r="AL85" s="303"/>
      <c r="AM85" s="72"/>
      <c r="AN85" s="694" cm="1">
        <f t="array" ref="AN85">K85</f>
        <v>2028</v>
      </c>
      <c r="AO85" s="694" t="s">
        <v>2305</v>
      </c>
      <c r="AP85" s="704" cm="1">
        <f t="array" ref="AP85">AP84</f>
        <v>0</v>
      </c>
      <c r="AQ85" s="505"/>
      <c r="AR85" s="505"/>
    </row>
    <row r="86" spans="1:44" s="914" customFormat="1" ht="14.25" hidden="1" customHeight="1">
      <c r="A86" s="72"/>
      <c r="B86" s="340" t="b">
        <f t="shared" si="4"/>
        <v>0</v>
      </c>
      <c r="C86" s="72"/>
      <c r="D86" s="72"/>
      <c r="E86" s="505">
        <v>15</v>
      </c>
      <c r="F86" s="3" t="str" cm="1">
        <f t="array" aca="1" ref="F86" ca="1">OFFSET(E86,-1,1)</f>
        <v>1</v>
      </c>
      <c r="G86" s="17" cm="1">
        <f t="array" ref="G86">G85</f>
        <v>0</v>
      </c>
      <c r="H86" s="72"/>
      <c r="I86" s="72"/>
      <c r="J86" s="72"/>
      <c r="K86" s="72">
        <f>first_year+3</f>
        <v>2029</v>
      </c>
      <c r="L86" s="72"/>
      <c r="M86" s="72"/>
      <c r="N86" s="72"/>
      <c r="O86" s="72"/>
      <c r="P86" s="72"/>
      <c r="Q86" s="72"/>
      <c r="R86" s="72"/>
      <c r="S86" s="72"/>
      <c r="T86" s="351" t="b" cm="1">
        <f t="array" aca="1" ref="T86" ca="1">T85</f>
        <v>0</v>
      </c>
      <c r="U86" s="72"/>
      <c r="V86" s="72"/>
      <c r="W86" s="72"/>
      <c r="X86" s="1024"/>
      <c r="Y86" s="1024"/>
      <c r="Z86" s="1008"/>
      <c r="AA86" s="1126"/>
      <c r="AB86" s="167" t="str">
        <f t="shared" si="5"/>
        <v>2029 год</v>
      </c>
      <c r="AC86" s="307"/>
      <c r="AD86" s="920"/>
      <c r="AE86" s="919"/>
      <c r="AF86" s="919"/>
      <c r="AG86" s="920"/>
      <c r="AH86" s="919"/>
      <c r="AI86" s="920"/>
      <c r="AJ86" s="919"/>
      <c r="AK86" s="921"/>
      <c r="AL86" s="303"/>
      <c r="AM86" s="72"/>
      <c r="AN86" s="694" cm="1">
        <f t="array" ref="AN86">K86</f>
        <v>2029</v>
      </c>
      <c r="AO86" s="694" t="s">
        <v>2305</v>
      </c>
      <c r="AP86" s="704" cm="1">
        <f t="array" ref="AP86">AP85</f>
        <v>0</v>
      </c>
      <c r="AQ86" s="505"/>
      <c r="AR86" s="505"/>
    </row>
    <row r="87" spans="1:44" s="914" customFormat="1" ht="14.25" hidden="1" customHeight="1">
      <c r="A87" s="72"/>
      <c r="B87" s="340" t="b">
        <f t="shared" si="4"/>
        <v>0</v>
      </c>
      <c r="C87" s="72"/>
      <c r="D87" s="72"/>
      <c r="E87" s="505">
        <v>15</v>
      </c>
      <c r="F87" s="3" t="str" cm="1">
        <f t="array" aca="1" ref="F87" ca="1">OFFSET(E87,-1,1)</f>
        <v>1</v>
      </c>
      <c r="G87" s="17" cm="1">
        <f t="array" ref="G87">G86</f>
        <v>0</v>
      </c>
      <c r="H87" s="72"/>
      <c r="I87" s="72"/>
      <c r="J87" s="72"/>
      <c r="K87" s="72">
        <f>first_year+4</f>
        <v>2030</v>
      </c>
      <c r="L87" s="72"/>
      <c r="M87" s="72"/>
      <c r="N87" s="72"/>
      <c r="O87" s="72"/>
      <c r="P87" s="72"/>
      <c r="Q87" s="72"/>
      <c r="R87" s="72"/>
      <c r="S87" s="72"/>
      <c r="T87" s="351" t="b" cm="1">
        <f t="array" aca="1" ref="T87" ca="1">T86</f>
        <v>0</v>
      </c>
      <c r="U87" s="72"/>
      <c r="V87" s="72"/>
      <c r="W87" s="72"/>
      <c r="X87" s="1024"/>
      <c r="Y87" s="1024"/>
      <c r="Z87" s="1008"/>
      <c r="AA87" s="1126"/>
      <c r="AB87" s="167" t="str">
        <f t="shared" si="5"/>
        <v>2030 год</v>
      </c>
      <c r="AC87" s="307"/>
      <c r="AD87" s="920"/>
      <c r="AE87" s="919"/>
      <c r="AF87" s="919"/>
      <c r="AG87" s="920"/>
      <c r="AH87" s="919"/>
      <c r="AI87" s="920"/>
      <c r="AJ87" s="919"/>
      <c r="AK87" s="921"/>
      <c r="AL87" s="303"/>
      <c r="AM87" s="72"/>
      <c r="AN87" s="694" cm="1">
        <f t="array" ref="AN87">K87</f>
        <v>2030</v>
      </c>
      <c r="AO87" s="694" t="s">
        <v>2305</v>
      </c>
      <c r="AP87" s="704" cm="1">
        <f t="array" ref="AP87">AP86</f>
        <v>0</v>
      </c>
      <c r="AQ87" s="505"/>
      <c r="AR87" s="505"/>
    </row>
    <row r="88" spans="1:44" s="914" customFormat="1" ht="14.25" hidden="1" customHeight="1">
      <c r="A88" s="72"/>
      <c r="B88" s="340" t="b">
        <f t="shared" si="4"/>
        <v>0</v>
      </c>
      <c r="C88" s="72"/>
      <c r="D88" s="72"/>
      <c r="E88" s="505">
        <v>15</v>
      </c>
      <c r="F88" s="3" t="str" cm="1">
        <f t="array" aca="1" ref="F88" ca="1">OFFSET(E88,-1,1)</f>
        <v>1</v>
      </c>
      <c r="G88" s="17" cm="1">
        <f t="array" ref="G88">G87</f>
        <v>0</v>
      </c>
      <c r="H88" s="72"/>
      <c r="I88" s="72"/>
      <c r="J88" s="72"/>
      <c r="K88" s="72">
        <f>first_year+5</f>
        <v>2031</v>
      </c>
      <c r="L88" s="72"/>
      <c r="M88" s="72"/>
      <c r="N88" s="72"/>
      <c r="O88" s="72"/>
      <c r="P88" s="72"/>
      <c r="Q88" s="72"/>
      <c r="R88" s="72"/>
      <c r="S88" s="72"/>
      <c r="T88" s="351" t="b" cm="1">
        <f t="array" aca="1" ref="T88" ca="1">T87</f>
        <v>0</v>
      </c>
      <c r="U88" s="72"/>
      <c r="V88" s="72"/>
      <c r="W88" s="72"/>
      <c r="X88" s="1024"/>
      <c r="Y88" s="1024"/>
      <c r="Z88" s="1008"/>
      <c r="AA88" s="1126"/>
      <c r="AB88" s="167" t="str">
        <f t="shared" si="5"/>
        <v>2031 год</v>
      </c>
      <c r="AC88" s="307"/>
      <c r="AD88" s="920"/>
      <c r="AE88" s="919"/>
      <c r="AF88" s="919"/>
      <c r="AG88" s="920"/>
      <c r="AH88" s="919"/>
      <c r="AI88" s="920"/>
      <c r="AJ88" s="919"/>
      <c r="AK88" s="921"/>
      <c r="AL88" s="303"/>
      <c r="AM88" s="72"/>
      <c r="AN88" s="694" cm="1">
        <f t="array" ref="AN88">K88</f>
        <v>2031</v>
      </c>
      <c r="AO88" s="694" t="s">
        <v>2305</v>
      </c>
      <c r="AP88" s="704" cm="1">
        <f t="array" ref="AP88">AP87</f>
        <v>0</v>
      </c>
      <c r="AQ88" s="505"/>
      <c r="AR88" s="505"/>
    </row>
    <row r="89" spans="1:44" s="914" customFormat="1" ht="14.25" hidden="1" customHeight="1">
      <c r="A89" s="72"/>
      <c r="B89" s="340" t="b">
        <f t="shared" si="4"/>
        <v>0</v>
      </c>
      <c r="C89" s="72"/>
      <c r="D89" s="72"/>
      <c r="E89" s="505">
        <v>15</v>
      </c>
      <c r="F89" s="3" t="str" cm="1">
        <f t="array" aca="1" ref="F89" ca="1">OFFSET(E89,-1,1)</f>
        <v>1</v>
      </c>
      <c r="G89" s="17" cm="1">
        <f t="array" ref="G89">G88</f>
        <v>0</v>
      </c>
      <c r="H89" s="72"/>
      <c r="I89" s="72"/>
      <c r="J89" s="72"/>
      <c r="K89" s="72">
        <f>first_year+6</f>
        <v>2032</v>
      </c>
      <c r="L89" s="72"/>
      <c r="M89" s="72"/>
      <c r="N89" s="72"/>
      <c r="O89" s="72"/>
      <c r="P89" s="72"/>
      <c r="Q89" s="72"/>
      <c r="R89" s="72"/>
      <c r="S89" s="72"/>
      <c r="T89" s="351" t="b" cm="1">
        <f t="array" aca="1" ref="T89" ca="1">T88</f>
        <v>0</v>
      </c>
      <c r="U89" s="72"/>
      <c r="V89" s="72"/>
      <c r="W89" s="72"/>
      <c r="X89" s="1024"/>
      <c r="Y89" s="1024"/>
      <c r="Z89" s="1008"/>
      <c r="AA89" s="1126"/>
      <c r="AB89" s="167" t="str">
        <f t="shared" si="5"/>
        <v>2032 год</v>
      </c>
      <c r="AC89" s="307"/>
      <c r="AD89" s="920"/>
      <c r="AE89" s="919"/>
      <c r="AF89" s="919"/>
      <c r="AG89" s="920"/>
      <c r="AH89" s="919"/>
      <c r="AI89" s="920"/>
      <c r="AJ89" s="919"/>
      <c r="AK89" s="921"/>
      <c r="AL89" s="303"/>
      <c r="AM89" s="72"/>
      <c r="AN89" s="694" cm="1">
        <f t="array" ref="AN89">K89</f>
        <v>2032</v>
      </c>
      <c r="AO89" s="694" t="s">
        <v>2305</v>
      </c>
      <c r="AP89" s="704" cm="1">
        <f t="array" ref="AP89">AP88</f>
        <v>0</v>
      </c>
      <c r="AQ89" s="505"/>
      <c r="AR89" s="505"/>
    </row>
    <row r="90" spans="1:44" s="914" customFormat="1" ht="14.25" hidden="1" customHeight="1">
      <c r="A90" s="72"/>
      <c r="B90" s="340" t="b">
        <f t="shared" si="4"/>
        <v>0</v>
      </c>
      <c r="C90" s="72"/>
      <c r="D90" s="72"/>
      <c r="E90" s="505">
        <v>15</v>
      </c>
      <c r="F90" s="3" t="str" cm="1">
        <f t="array" aca="1" ref="F90" ca="1">OFFSET(E90,-1,1)</f>
        <v>1</v>
      </c>
      <c r="G90" s="17" cm="1">
        <f t="array" ref="G90">G89</f>
        <v>0</v>
      </c>
      <c r="H90" s="72"/>
      <c r="I90" s="72"/>
      <c r="J90" s="72"/>
      <c r="K90" s="72">
        <f>first_year+7</f>
        <v>2033</v>
      </c>
      <c r="L90" s="72"/>
      <c r="M90" s="72"/>
      <c r="N90" s="72"/>
      <c r="O90" s="72"/>
      <c r="P90" s="72"/>
      <c r="Q90" s="72"/>
      <c r="R90" s="72"/>
      <c r="S90" s="72"/>
      <c r="T90" s="351" t="b" cm="1">
        <f t="array" aca="1" ref="T90" ca="1">T89</f>
        <v>0</v>
      </c>
      <c r="U90" s="72"/>
      <c r="V90" s="72"/>
      <c r="W90" s="72"/>
      <c r="X90" s="1024"/>
      <c r="Y90" s="1024"/>
      <c r="Z90" s="1008"/>
      <c r="AA90" s="1126"/>
      <c r="AB90" s="167" t="str">
        <f t="shared" si="5"/>
        <v>2033 год</v>
      </c>
      <c r="AC90" s="307"/>
      <c r="AD90" s="920"/>
      <c r="AE90" s="919"/>
      <c r="AF90" s="919"/>
      <c r="AG90" s="920"/>
      <c r="AH90" s="919"/>
      <c r="AI90" s="920"/>
      <c r="AJ90" s="919"/>
      <c r="AK90" s="921"/>
      <c r="AL90" s="303"/>
      <c r="AM90" s="72"/>
      <c r="AN90" s="694" cm="1">
        <f t="array" ref="AN90">K90</f>
        <v>2033</v>
      </c>
      <c r="AO90" s="694" t="s">
        <v>2305</v>
      </c>
      <c r="AP90" s="704" cm="1">
        <f t="array" ref="AP90">AP89</f>
        <v>0</v>
      </c>
      <c r="AQ90" s="505"/>
      <c r="AR90" s="505"/>
    </row>
    <row r="91" spans="1:44" s="914" customFormat="1" ht="14.25" hidden="1" customHeight="1">
      <c r="A91" s="72"/>
      <c r="B91" s="340" t="b">
        <f t="shared" si="4"/>
        <v>0</v>
      </c>
      <c r="C91" s="72"/>
      <c r="D91" s="72"/>
      <c r="E91" s="505">
        <v>15</v>
      </c>
      <c r="F91" s="3" t="str" cm="1">
        <f t="array" aca="1" ref="F91" ca="1">OFFSET(E91,-1,1)</f>
        <v>1</v>
      </c>
      <c r="G91" s="17" cm="1">
        <f t="array" ref="G91">G90</f>
        <v>0</v>
      </c>
      <c r="H91" s="72"/>
      <c r="I91" s="72"/>
      <c r="J91" s="72"/>
      <c r="K91" s="72">
        <f>first_year+8</f>
        <v>2034</v>
      </c>
      <c r="L91" s="72"/>
      <c r="M91" s="72"/>
      <c r="N91" s="72"/>
      <c r="O91" s="72"/>
      <c r="P91" s="72"/>
      <c r="Q91" s="72"/>
      <c r="R91" s="72"/>
      <c r="S91" s="72"/>
      <c r="T91" s="351" t="b" cm="1">
        <f t="array" aca="1" ref="T91" ca="1">T90</f>
        <v>0</v>
      </c>
      <c r="U91" s="72"/>
      <c r="V91" s="72"/>
      <c r="W91" s="72"/>
      <c r="X91" s="1024"/>
      <c r="Y91" s="1024"/>
      <c r="Z91" s="1008"/>
      <c r="AA91" s="1126"/>
      <c r="AB91" s="167" t="str">
        <f t="shared" si="5"/>
        <v>2034 год</v>
      </c>
      <c r="AC91" s="307"/>
      <c r="AD91" s="920"/>
      <c r="AE91" s="919"/>
      <c r="AF91" s="919"/>
      <c r="AG91" s="920"/>
      <c r="AH91" s="919"/>
      <c r="AI91" s="920"/>
      <c r="AJ91" s="919"/>
      <c r="AK91" s="921"/>
      <c r="AL91" s="303"/>
      <c r="AM91" s="72"/>
      <c r="AN91" s="694" cm="1">
        <f t="array" ref="AN91">K91</f>
        <v>2034</v>
      </c>
      <c r="AO91" s="694" t="s">
        <v>2305</v>
      </c>
      <c r="AP91" s="704" cm="1">
        <f t="array" ref="AP91">AP90</f>
        <v>0</v>
      </c>
      <c r="AQ91" s="505"/>
      <c r="AR91" s="505"/>
    </row>
    <row r="92" spans="1:44" s="914" customFormat="1" ht="14.25" hidden="1" customHeight="1">
      <c r="A92" s="72"/>
      <c r="B92" s="340" t="b">
        <f t="shared" si="4"/>
        <v>0</v>
      </c>
      <c r="C92" s="72"/>
      <c r="D92" s="72"/>
      <c r="E92" s="505">
        <v>15</v>
      </c>
      <c r="F92" s="3" t="str" cm="1">
        <f t="array" aca="1" ref="F92" ca="1">OFFSET(E92,-1,1)</f>
        <v>1</v>
      </c>
      <c r="G92" s="17" cm="1">
        <f t="array" ref="G92">G91</f>
        <v>0</v>
      </c>
      <c r="H92" s="72"/>
      <c r="I92" s="72"/>
      <c r="J92" s="72"/>
      <c r="K92" s="72">
        <f>first_year+9</f>
        <v>2035</v>
      </c>
      <c r="L92" s="72"/>
      <c r="M92" s="72"/>
      <c r="N92" s="72"/>
      <c r="O92" s="72"/>
      <c r="P92" s="72"/>
      <c r="Q92" s="72"/>
      <c r="R92" s="72"/>
      <c r="S92" s="72"/>
      <c r="T92" s="351" t="b" cm="1">
        <f t="array" aca="1" ref="T92" ca="1">T91</f>
        <v>0</v>
      </c>
      <c r="U92" s="72"/>
      <c r="V92" s="72"/>
      <c r="W92" s="72"/>
      <c r="X92" s="1024"/>
      <c r="Y92" s="1024"/>
      <c r="Z92" s="1008"/>
      <c r="AA92" s="1126"/>
      <c r="AB92" s="167" t="str">
        <f t="shared" si="5"/>
        <v>2035 год</v>
      </c>
      <c r="AC92" s="307"/>
      <c r="AD92" s="920"/>
      <c r="AE92" s="919"/>
      <c r="AF92" s="919"/>
      <c r="AG92" s="920"/>
      <c r="AH92" s="919"/>
      <c r="AI92" s="920"/>
      <c r="AJ92" s="919"/>
      <c r="AK92" s="921"/>
      <c r="AL92" s="303"/>
      <c r="AM92" s="72"/>
      <c r="AN92" s="694" cm="1">
        <f t="array" ref="AN92">K92</f>
        <v>2035</v>
      </c>
      <c r="AO92" s="694" t="s">
        <v>2305</v>
      </c>
      <c r="AP92" s="704" cm="1">
        <f t="array" ref="AP92">AP91</f>
        <v>0</v>
      </c>
      <c r="AQ92" s="505"/>
      <c r="AR92" s="505"/>
    </row>
    <row r="93" spans="1:44" s="914" customFormat="1" ht="14.25" hidden="1" customHeight="1">
      <c r="A93" s="72"/>
      <c r="B93" s="340" t="b">
        <f t="shared" si="4"/>
        <v>0</v>
      </c>
      <c r="C93" s="72"/>
      <c r="D93" s="72"/>
      <c r="E93" s="505">
        <v>15</v>
      </c>
      <c r="F93" s="3" t="str" cm="1">
        <f t="array" aca="1" ref="F93" ca="1">OFFSET(E93,-1,1)</f>
        <v>1</v>
      </c>
      <c r="G93" s="17" cm="1">
        <f t="array" ref="G93">G92</f>
        <v>0</v>
      </c>
      <c r="H93" s="72"/>
      <c r="I93" s="72"/>
      <c r="J93" s="72"/>
      <c r="K93" s="72">
        <f>first_year+10</f>
        <v>2036</v>
      </c>
      <c r="L93" s="72"/>
      <c r="M93" s="72"/>
      <c r="N93" s="72"/>
      <c r="O93" s="72"/>
      <c r="P93" s="72"/>
      <c r="Q93" s="72"/>
      <c r="R93" s="72"/>
      <c r="S93" s="72"/>
      <c r="T93" s="351" t="b" cm="1">
        <f t="array" aca="1" ref="T93" ca="1">T92</f>
        <v>0</v>
      </c>
      <c r="U93" s="72"/>
      <c r="V93" s="72"/>
      <c r="W93" s="72"/>
      <c r="X93" s="1024"/>
      <c r="Y93" s="1024"/>
      <c r="Z93" s="1008"/>
      <c r="AA93" s="1126"/>
      <c r="AB93" s="167" t="str">
        <f t="shared" si="5"/>
        <v>2036 год</v>
      </c>
      <c r="AC93" s="307"/>
      <c r="AD93" s="920"/>
      <c r="AE93" s="919"/>
      <c r="AF93" s="919"/>
      <c r="AG93" s="920"/>
      <c r="AH93" s="919"/>
      <c r="AI93" s="920"/>
      <c r="AJ93" s="919"/>
      <c r="AK93" s="921"/>
      <c r="AL93" s="303"/>
      <c r="AM93" s="72"/>
      <c r="AN93" s="694" cm="1">
        <f t="array" ref="AN93">K93</f>
        <v>2036</v>
      </c>
      <c r="AO93" s="694" t="s">
        <v>2305</v>
      </c>
      <c r="AP93" s="704" cm="1">
        <f t="array" ref="AP93">AP92</f>
        <v>0</v>
      </c>
      <c r="AQ93" s="505"/>
      <c r="AR93" s="505"/>
    </row>
    <row r="94" spans="1:44" s="914" customFormat="1" ht="14.25" hidden="1" customHeight="1">
      <c r="A94" s="72"/>
      <c r="B94" s="340" t="b">
        <f t="shared" si="4"/>
        <v>0</v>
      </c>
      <c r="C94" s="72"/>
      <c r="D94" s="72"/>
      <c r="E94" s="505">
        <v>15</v>
      </c>
      <c r="F94" s="3" t="str" cm="1">
        <f t="array" aca="1" ref="F94" ca="1">OFFSET(E94,-1,1)</f>
        <v>1</v>
      </c>
      <c r="G94" s="17" cm="1">
        <f t="array" ref="G94">G93</f>
        <v>0</v>
      </c>
      <c r="H94" s="72"/>
      <c r="I94" s="72"/>
      <c r="J94" s="72"/>
      <c r="K94" s="72">
        <f>first_year+11</f>
        <v>2037</v>
      </c>
      <c r="L94" s="72"/>
      <c r="M94" s="72"/>
      <c r="N94" s="72"/>
      <c r="O94" s="72"/>
      <c r="P94" s="72"/>
      <c r="Q94" s="72"/>
      <c r="R94" s="72"/>
      <c r="S94" s="72"/>
      <c r="T94" s="351" t="b" cm="1">
        <f t="array" aca="1" ref="T94" ca="1">T93</f>
        <v>0</v>
      </c>
      <c r="U94" s="72"/>
      <c r="V94" s="72"/>
      <c r="W94" s="72"/>
      <c r="X94" s="1024"/>
      <c r="Y94" s="1024"/>
      <c r="Z94" s="1008"/>
      <c r="AA94" s="1126"/>
      <c r="AB94" s="167" t="str">
        <f t="shared" si="5"/>
        <v>2037 год</v>
      </c>
      <c r="AC94" s="307"/>
      <c r="AD94" s="920"/>
      <c r="AE94" s="919"/>
      <c r="AF94" s="919"/>
      <c r="AG94" s="920"/>
      <c r="AH94" s="919"/>
      <c r="AI94" s="920"/>
      <c r="AJ94" s="919"/>
      <c r="AK94" s="921"/>
      <c r="AL94" s="303"/>
      <c r="AM94" s="72"/>
      <c r="AN94" s="694" cm="1">
        <f t="array" ref="AN94">K94</f>
        <v>2037</v>
      </c>
      <c r="AO94" s="694" t="s">
        <v>2305</v>
      </c>
      <c r="AP94" s="704" cm="1">
        <f t="array" ref="AP94">AP93</f>
        <v>0</v>
      </c>
      <c r="AQ94" s="505"/>
      <c r="AR94" s="505"/>
    </row>
    <row r="95" spans="1:44" s="914" customFormat="1" ht="14.25" hidden="1" customHeight="1">
      <c r="A95" s="72"/>
      <c r="B95" s="340" t="b">
        <f t="shared" si="4"/>
        <v>0</v>
      </c>
      <c r="C95" s="72"/>
      <c r="D95" s="72"/>
      <c r="E95" s="505">
        <v>15</v>
      </c>
      <c r="F95" s="3" t="str" cm="1">
        <f t="array" aca="1" ref="F95" ca="1">OFFSET(E95,-1,1)</f>
        <v>1</v>
      </c>
      <c r="G95" s="17" cm="1">
        <f t="array" ref="G95">G94</f>
        <v>0</v>
      </c>
      <c r="H95" s="72"/>
      <c r="I95" s="72"/>
      <c r="J95" s="72"/>
      <c r="K95" s="72">
        <f>first_year+12</f>
        <v>2038</v>
      </c>
      <c r="L95" s="72"/>
      <c r="M95" s="72"/>
      <c r="N95" s="72"/>
      <c r="O95" s="72"/>
      <c r="P95" s="72"/>
      <c r="Q95" s="72"/>
      <c r="R95" s="72"/>
      <c r="S95" s="72"/>
      <c r="T95" s="351" t="b" cm="1">
        <f t="array" aca="1" ref="T95" ca="1">T94</f>
        <v>0</v>
      </c>
      <c r="U95" s="72"/>
      <c r="V95" s="72"/>
      <c r="W95" s="72"/>
      <c r="X95" s="1024"/>
      <c r="Y95" s="1024"/>
      <c r="Z95" s="1008"/>
      <c r="AA95" s="1126"/>
      <c r="AB95" s="167" t="str">
        <f t="shared" si="5"/>
        <v>2038 год</v>
      </c>
      <c r="AC95" s="307"/>
      <c r="AD95" s="920"/>
      <c r="AE95" s="919"/>
      <c r="AF95" s="919"/>
      <c r="AG95" s="920"/>
      <c r="AH95" s="919"/>
      <c r="AI95" s="920"/>
      <c r="AJ95" s="919"/>
      <c r="AK95" s="921"/>
      <c r="AL95" s="303"/>
      <c r="AM95" s="72"/>
      <c r="AN95" s="694" cm="1">
        <f t="array" ref="AN95">K95</f>
        <v>2038</v>
      </c>
      <c r="AO95" s="694" t="s">
        <v>2305</v>
      </c>
      <c r="AP95" s="704" cm="1">
        <f t="array" ref="AP95">AP94</f>
        <v>0</v>
      </c>
      <c r="AQ95" s="505"/>
      <c r="AR95" s="505"/>
    </row>
    <row r="96" spans="1:44" s="914" customFormat="1" ht="14.25" hidden="1" customHeight="1">
      <c r="A96" s="72"/>
      <c r="B96" s="340" t="b">
        <f t="shared" si="4"/>
        <v>0</v>
      </c>
      <c r="C96" s="72"/>
      <c r="D96" s="72"/>
      <c r="E96" s="505">
        <v>15</v>
      </c>
      <c r="F96" s="3" t="str" cm="1">
        <f t="array" aca="1" ref="F96" ca="1">OFFSET(E96,-1,1)</f>
        <v>1</v>
      </c>
      <c r="G96" s="17" cm="1">
        <f t="array" ref="G96">G95</f>
        <v>0</v>
      </c>
      <c r="H96" s="72"/>
      <c r="I96" s="72"/>
      <c r="J96" s="72"/>
      <c r="K96" s="72">
        <f>first_year+13</f>
        <v>2039</v>
      </c>
      <c r="L96" s="72"/>
      <c r="M96" s="72"/>
      <c r="N96" s="72"/>
      <c r="O96" s="72"/>
      <c r="P96" s="72"/>
      <c r="Q96" s="72"/>
      <c r="R96" s="72"/>
      <c r="S96" s="72"/>
      <c r="T96" s="351" t="b" cm="1">
        <f t="array" aca="1" ref="T96" ca="1">T95</f>
        <v>0</v>
      </c>
      <c r="U96" s="72"/>
      <c r="V96" s="72"/>
      <c r="W96" s="72"/>
      <c r="X96" s="1024"/>
      <c r="Y96" s="1024"/>
      <c r="Z96" s="1008"/>
      <c r="AA96" s="1126"/>
      <c r="AB96" s="167" t="str">
        <f t="shared" si="5"/>
        <v>2039 год</v>
      </c>
      <c r="AC96" s="307"/>
      <c r="AD96" s="920"/>
      <c r="AE96" s="919"/>
      <c r="AF96" s="919"/>
      <c r="AG96" s="920"/>
      <c r="AH96" s="919"/>
      <c r="AI96" s="920"/>
      <c r="AJ96" s="919"/>
      <c r="AK96" s="921"/>
      <c r="AL96" s="303"/>
      <c r="AM96" s="72"/>
      <c r="AN96" s="694" cm="1">
        <f t="array" ref="AN96">K96</f>
        <v>2039</v>
      </c>
      <c r="AO96" s="694" t="s">
        <v>2305</v>
      </c>
      <c r="AP96" s="704" cm="1">
        <f t="array" ref="AP96">AP95</f>
        <v>0</v>
      </c>
      <c r="AQ96" s="505"/>
      <c r="AR96" s="505"/>
    </row>
    <row r="97" spans="1:44" s="914" customFormat="1" ht="14.25" hidden="1" customHeight="1">
      <c r="A97" s="72"/>
      <c r="B97" s="340" t="b">
        <f t="shared" si="4"/>
        <v>0</v>
      </c>
      <c r="C97" s="72"/>
      <c r="D97" s="72"/>
      <c r="E97" s="505">
        <v>15</v>
      </c>
      <c r="F97" s="3" t="str" cm="1">
        <f t="array" aca="1" ref="F97" ca="1">OFFSET(E97,-1,1)</f>
        <v>1</v>
      </c>
      <c r="G97" s="17" cm="1">
        <f t="array" ref="G97">G96</f>
        <v>0</v>
      </c>
      <c r="H97" s="72"/>
      <c r="I97" s="72"/>
      <c r="J97" s="72"/>
      <c r="K97" s="72">
        <f>first_year+14</f>
        <v>2040</v>
      </c>
      <c r="L97" s="72"/>
      <c r="M97" s="72"/>
      <c r="N97" s="72"/>
      <c r="O97" s="72"/>
      <c r="P97" s="72"/>
      <c r="Q97" s="72"/>
      <c r="R97" s="72"/>
      <c r="S97" s="72"/>
      <c r="T97" s="351" t="b" cm="1">
        <f t="array" aca="1" ref="T97" ca="1">T96</f>
        <v>0</v>
      </c>
      <c r="U97" s="72"/>
      <c r="V97" s="72"/>
      <c r="W97" s="72"/>
      <c r="X97" s="1024"/>
      <c r="Y97" s="1024"/>
      <c r="Z97" s="1008"/>
      <c r="AA97" s="1126"/>
      <c r="AB97" s="167" t="str">
        <f t="shared" si="5"/>
        <v>2040 год</v>
      </c>
      <c r="AC97" s="307"/>
      <c r="AD97" s="920"/>
      <c r="AE97" s="919"/>
      <c r="AF97" s="919"/>
      <c r="AG97" s="920"/>
      <c r="AH97" s="919"/>
      <c r="AI97" s="920"/>
      <c r="AJ97" s="919"/>
      <c r="AK97" s="921"/>
      <c r="AL97" s="303"/>
      <c r="AM97" s="72"/>
      <c r="AN97" s="694" cm="1">
        <f t="array" ref="AN97">K97</f>
        <v>2040</v>
      </c>
      <c r="AO97" s="694" t="s">
        <v>2305</v>
      </c>
      <c r="AP97" s="704" cm="1">
        <f t="array" ref="AP97">AP96</f>
        <v>0</v>
      </c>
      <c r="AQ97" s="505"/>
      <c r="AR97" s="505"/>
    </row>
    <row r="98" spans="1:44" s="914" customFormat="1" ht="14.25" hidden="1" customHeight="1">
      <c r="A98" s="72"/>
      <c r="B98" s="340" t="b">
        <f t="shared" si="4"/>
        <v>0</v>
      </c>
      <c r="C98" s="72"/>
      <c r="D98" s="72"/>
      <c r="E98" s="505">
        <v>15</v>
      </c>
      <c r="F98" s="3" t="str" cm="1">
        <f t="array" aca="1" ref="F98" ca="1">OFFSET(E98,-1,1)</f>
        <v>1</v>
      </c>
      <c r="G98" s="17" cm="1">
        <f t="array" ref="G98">G97</f>
        <v>0</v>
      </c>
      <c r="H98" s="72"/>
      <c r="I98" s="72"/>
      <c r="J98" s="72"/>
      <c r="K98" s="72">
        <f>first_year+15</f>
        <v>2041</v>
      </c>
      <c r="L98" s="72"/>
      <c r="M98" s="72"/>
      <c r="N98" s="72"/>
      <c r="O98" s="72"/>
      <c r="P98" s="72"/>
      <c r="Q98" s="72"/>
      <c r="R98" s="72"/>
      <c r="S98" s="72"/>
      <c r="T98" s="351" t="b" cm="1">
        <f t="array" aca="1" ref="T98" ca="1">T97</f>
        <v>0</v>
      </c>
      <c r="U98" s="72"/>
      <c r="V98" s="72"/>
      <c r="W98" s="72"/>
      <c r="X98" s="1024"/>
      <c r="Y98" s="1024"/>
      <c r="Z98" s="1008"/>
      <c r="AA98" s="1126"/>
      <c r="AB98" s="167" t="str">
        <f t="shared" si="5"/>
        <v>2041 год</v>
      </c>
      <c r="AC98" s="307"/>
      <c r="AD98" s="920"/>
      <c r="AE98" s="919"/>
      <c r="AF98" s="919"/>
      <c r="AG98" s="920"/>
      <c r="AH98" s="919"/>
      <c r="AI98" s="920"/>
      <c r="AJ98" s="919"/>
      <c r="AK98" s="921"/>
      <c r="AL98" s="303"/>
      <c r="AM98" s="72"/>
      <c r="AN98" s="694" cm="1">
        <f t="array" ref="AN98">K98</f>
        <v>2041</v>
      </c>
      <c r="AO98" s="694" t="s">
        <v>2305</v>
      </c>
      <c r="AP98" s="704" cm="1">
        <f t="array" ref="AP98">AP97</f>
        <v>0</v>
      </c>
      <c r="AQ98" s="505"/>
      <c r="AR98" s="505"/>
    </row>
    <row r="99" spans="1:44" s="914" customFormat="1" ht="14.25" hidden="1" customHeight="1">
      <c r="A99" s="72"/>
      <c r="B99" s="340" t="b">
        <f t="shared" si="4"/>
        <v>0</v>
      </c>
      <c r="C99" s="72"/>
      <c r="D99" s="72"/>
      <c r="E99" s="505">
        <v>15</v>
      </c>
      <c r="F99" s="3" t="str" cm="1">
        <f t="array" aca="1" ref="F99" ca="1">OFFSET(E99,-1,1)</f>
        <v>1</v>
      </c>
      <c r="G99" s="17" cm="1">
        <f t="array" ref="G99">G98</f>
        <v>0</v>
      </c>
      <c r="H99" s="72"/>
      <c r="I99" s="72"/>
      <c r="J99" s="72"/>
      <c r="K99" s="72">
        <f>first_year+16</f>
        <v>2042</v>
      </c>
      <c r="L99" s="72"/>
      <c r="M99" s="72"/>
      <c r="N99" s="72"/>
      <c r="O99" s="72"/>
      <c r="P99" s="72"/>
      <c r="Q99" s="72"/>
      <c r="R99" s="72"/>
      <c r="S99" s="72"/>
      <c r="T99" s="351" t="b" cm="1">
        <f t="array" aca="1" ref="T99" ca="1">T98</f>
        <v>0</v>
      </c>
      <c r="U99" s="72"/>
      <c r="V99" s="72"/>
      <c r="W99" s="72"/>
      <c r="X99" s="1024"/>
      <c r="Y99" s="1024"/>
      <c r="Z99" s="1008"/>
      <c r="AA99" s="1126"/>
      <c r="AB99" s="167" t="str">
        <f t="shared" si="5"/>
        <v>2042 год</v>
      </c>
      <c r="AC99" s="307"/>
      <c r="AD99" s="920"/>
      <c r="AE99" s="919"/>
      <c r="AF99" s="919"/>
      <c r="AG99" s="920"/>
      <c r="AH99" s="919"/>
      <c r="AI99" s="920"/>
      <c r="AJ99" s="919"/>
      <c r="AK99" s="921"/>
      <c r="AL99" s="303"/>
      <c r="AM99" s="72"/>
      <c r="AN99" s="694" cm="1">
        <f t="array" ref="AN99">K99</f>
        <v>2042</v>
      </c>
      <c r="AO99" s="694" t="s">
        <v>2305</v>
      </c>
      <c r="AP99" s="704" cm="1">
        <f t="array" ref="AP99">AP98</f>
        <v>0</v>
      </c>
      <c r="AQ99" s="505"/>
      <c r="AR99" s="505"/>
    </row>
    <row r="100" spans="1:44" s="914" customFormat="1" ht="14.25" hidden="1" customHeight="1">
      <c r="A100" s="72"/>
      <c r="B100" s="340" t="b">
        <f t="shared" si="4"/>
        <v>0</v>
      </c>
      <c r="C100" s="72"/>
      <c r="D100" s="72"/>
      <c r="E100" s="505">
        <v>15</v>
      </c>
      <c r="F100" s="3" t="str" cm="1">
        <f t="array" aca="1" ref="F100" ca="1">OFFSET(E100,-1,1)</f>
        <v>1</v>
      </c>
      <c r="G100" s="17" cm="1">
        <f t="array" ref="G100">G99</f>
        <v>0</v>
      </c>
      <c r="H100" s="72"/>
      <c r="I100" s="72"/>
      <c r="J100" s="72"/>
      <c r="K100" s="72">
        <f>first_year+17</f>
        <v>2043</v>
      </c>
      <c r="L100" s="72"/>
      <c r="M100" s="72"/>
      <c r="N100" s="72"/>
      <c r="O100" s="72"/>
      <c r="P100" s="72"/>
      <c r="Q100" s="72"/>
      <c r="R100" s="72"/>
      <c r="S100" s="72"/>
      <c r="T100" s="351" t="b" cm="1">
        <f t="array" aca="1" ref="T100" ca="1">T99</f>
        <v>0</v>
      </c>
      <c r="U100" s="72"/>
      <c r="V100" s="72"/>
      <c r="W100" s="72"/>
      <c r="X100" s="1024"/>
      <c r="Y100" s="1024"/>
      <c r="Z100" s="1008"/>
      <c r="AA100" s="1126"/>
      <c r="AB100" s="167" t="str">
        <f t="shared" si="5"/>
        <v>2043 год</v>
      </c>
      <c r="AC100" s="307"/>
      <c r="AD100" s="920"/>
      <c r="AE100" s="919"/>
      <c r="AF100" s="919"/>
      <c r="AG100" s="920"/>
      <c r="AH100" s="919"/>
      <c r="AI100" s="920"/>
      <c r="AJ100" s="919"/>
      <c r="AK100" s="921"/>
      <c r="AL100" s="303"/>
      <c r="AM100" s="72"/>
      <c r="AN100" s="694" cm="1">
        <f t="array" ref="AN100">K100</f>
        <v>2043</v>
      </c>
      <c r="AO100" s="694" t="s">
        <v>2305</v>
      </c>
      <c r="AP100" s="704" cm="1">
        <f t="array" ref="AP100">AP99</f>
        <v>0</v>
      </c>
      <c r="AQ100" s="505"/>
      <c r="AR100" s="505"/>
    </row>
    <row r="101" spans="1:44" s="914" customFormat="1" ht="14.25" hidden="1" customHeight="1">
      <c r="A101" s="72"/>
      <c r="B101" s="340" t="b">
        <f t="shared" si="4"/>
        <v>0</v>
      </c>
      <c r="C101" s="72"/>
      <c r="D101" s="72"/>
      <c r="E101" s="505">
        <v>15</v>
      </c>
      <c r="F101" s="3" t="str" cm="1">
        <f t="array" aca="1" ref="F101" ca="1">OFFSET(E101,-1,1)</f>
        <v>1</v>
      </c>
      <c r="G101" s="17" cm="1">
        <f t="array" ref="G101">G100</f>
        <v>0</v>
      </c>
      <c r="H101" s="72"/>
      <c r="I101" s="72"/>
      <c r="J101" s="72"/>
      <c r="K101" s="72">
        <f>first_year+18</f>
        <v>2044</v>
      </c>
      <c r="L101" s="72"/>
      <c r="M101" s="72"/>
      <c r="N101" s="72"/>
      <c r="O101" s="72"/>
      <c r="P101" s="72"/>
      <c r="Q101" s="72"/>
      <c r="R101" s="72"/>
      <c r="S101" s="72"/>
      <c r="T101" s="351" t="b" cm="1">
        <f t="array" aca="1" ref="T101" ca="1">T100</f>
        <v>0</v>
      </c>
      <c r="U101" s="72"/>
      <c r="V101" s="72"/>
      <c r="W101" s="72"/>
      <c r="X101" s="1024"/>
      <c r="Y101" s="1024"/>
      <c r="Z101" s="1008"/>
      <c r="AA101" s="1126"/>
      <c r="AB101" s="167" t="str">
        <f t="shared" si="5"/>
        <v>2044 год</v>
      </c>
      <c r="AC101" s="307"/>
      <c r="AD101" s="920"/>
      <c r="AE101" s="919"/>
      <c r="AF101" s="919"/>
      <c r="AG101" s="920"/>
      <c r="AH101" s="919"/>
      <c r="AI101" s="920"/>
      <c r="AJ101" s="919"/>
      <c r="AK101" s="921"/>
      <c r="AL101" s="303"/>
      <c r="AM101" s="72"/>
      <c r="AN101" s="694" cm="1">
        <f t="array" ref="AN101">K101</f>
        <v>2044</v>
      </c>
      <c r="AO101" s="694" t="s">
        <v>2305</v>
      </c>
      <c r="AP101" s="704" cm="1">
        <f t="array" ref="AP101">AP100</f>
        <v>0</v>
      </c>
      <c r="AQ101" s="505"/>
      <c r="AR101" s="505"/>
    </row>
    <row r="102" spans="1:44" s="914" customFormat="1" ht="14.25" hidden="1" customHeight="1">
      <c r="A102" s="72"/>
      <c r="B102" s="340" t="b">
        <f t="shared" si="4"/>
        <v>0</v>
      </c>
      <c r="C102" s="72"/>
      <c r="D102" s="72"/>
      <c r="E102" s="505">
        <v>15</v>
      </c>
      <c r="F102" s="3" t="str" cm="1">
        <f t="array" aca="1" ref="F102" ca="1">OFFSET(E102,-1,1)</f>
        <v>1</v>
      </c>
      <c r="G102" s="17" cm="1">
        <f t="array" ref="G102">G101</f>
        <v>0</v>
      </c>
      <c r="H102" s="72"/>
      <c r="I102" s="72"/>
      <c r="J102" s="72"/>
      <c r="K102" s="72">
        <f>first_year+19</f>
        <v>2045</v>
      </c>
      <c r="L102" s="72"/>
      <c r="M102" s="72"/>
      <c r="N102" s="72"/>
      <c r="O102" s="72"/>
      <c r="P102" s="72"/>
      <c r="Q102" s="72"/>
      <c r="R102" s="72"/>
      <c r="S102" s="72"/>
      <c r="T102" s="351" t="b" cm="1">
        <f t="array" aca="1" ref="T102" ca="1">T101</f>
        <v>0</v>
      </c>
      <c r="U102" s="72"/>
      <c r="V102" s="72"/>
      <c r="W102" s="72"/>
      <c r="X102" s="1024"/>
      <c r="Y102" s="1024"/>
      <c r="Z102" s="1008"/>
      <c r="AA102" s="1126"/>
      <c r="AB102" s="167" t="str">
        <f t="shared" si="5"/>
        <v>2045 год</v>
      </c>
      <c r="AC102" s="307"/>
      <c r="AD102" s="920"/>
      <c r="AE102" s="919"/>
      <c r="AF102" s="919"/>
      <c r="AG102" s="920"/>
      <c r="AH102" s="919"/>
      <c r="AI102" s="920"/>
      <c r="AJ102" s="919"/>
      <c r="AK102" s="921"/>
      <c r="AL102" s="303"/>
      <c r="AM102" s="72"/>
      <c r="AN102" s="694" cm="1">
        <f t="array" ref="AN102">K102</f>
        <v>2045</v>
      </c>
      <c r="AO102" s="694" t="s">
        <v>2305</v>
      </c>
      <c r="AP102" s="704" cm="1">
        <f t="array" ref="AP102">AP101</f>
        <v>0</v>
      </c>
      <c r="AQ102" s="505"/>
      <c r="AR102" s="505"/>
    </row>
    <row r="103" spans="1:44" s="914" customFormat="1" ht="14.25" hidden="1" customHeight="1">
      <c r="A103" s="72"/>
      <c r="B103" s="340" t="b">
        <f t="shared" si="4"/>
        <v>0</v>
      </c>
      <c r="C103" s="72"/>
      <c r="D103" s="72"/>
      <c r="E103" s="505">
        <v>15</v>
      </c>
      <c r="F103" s="3" t="str" cm="1">
        <f t="array" aca="1" ref="F103" ca="1">OFFSET(E103,-1,1)</f>
        <v>1</v>
      </c>
      <c r="G103" s="17" cm="1">
        <f t="array" ref="G103">G102</f>
        <v>0</v>
      </c>
      <c r="H103" s="72"/>
      <c r="I103" s="72"/>
      <c r="J103" s="72"/>
      <c r="K103" s="72">
        <f>first_year+20</f>
        <v>2046</v>
      </c>
      <c r="L103" s="72"/>
      <c r="M103" s="72"/>
      <c r="N103" s="72"/>
      <c r="O103" s="72"/>
      <c r="P103" s="72"/>
      <c r="Q103" s="72"/>
      <c r="R103" s="72"/>
      <c r="S103" s="72"/>
      <c r="T103" s="351" t="b" cm="1">
        <f t="array" aca="1" ref="T103" ca="1">T102</f>
        <v>0</v>
      </c>
      <c r="U103" s="72"/>
      <c r="V103" s="72"/>
      <c r="W103" s="72"/>
      <c r="X103" s="1024"/>
      <c r="Y103" s="1024"/>
      <c r="Z103" s="1008"/>
      <c r="AA103" s="1126"/>
      <c r="AB103" s="167" t="str">
        <f t="shared" si="5"/>
        <v>2046 год</v>
      </c>
      <c r="AC103" s="307"/>
      <c r="AD103" s="920"/>
      <c r="AE103" s="919"/>
      <c r="AF103" s="919"/>
      <c r="AG103" s="920"/>
      <c r="AH103" s="919"/>
      <c r="AI103" s="920"/>
      <c r="AJ103" s="919"/>
      <c r="AK103" s="921"/>
      <c r="AL103" s="303"/>
      <c r="AM103" s="72"/>
      <c r="AN103" s="694" cm="1">
        <f t="array" ref="AN103">K103</f>
        <v>2046</v>
      </c>
      <c r="AO103" s="694" t="s">
        <v>2305</v>
      </c>
      <c r="AP103" s="704" cm="1">
        <f t="array" ref="AP103">AP102</f>
        <v>0</v>
      </c>
      <c r="AQ103" s="505"/>
      <c r="AR103" s="505"/>
    </row>
    <row r="104" spans="1:44" s="914" customFormat="1" ht="14.25" hidden="1" customHeight="1">
      <c r="A104" s="72"/>
      <c r="B104" s="340" t="b">
        <f t="shared" si="4"/>
        <v>0</v>
      </c>
      <c r="C104" s="72"/>
      <c r="D104" s="72"/>
      <c r="E104" s="505">
        <v>15</v>
      </c>
      <c r="F104" s="3" t="str" cm="1">
        <f t="array" aca="1" ref="F104" ca="1">OFFSET(E104,-1,1)</f>
        <v>1</v>
      </c>
      <c r="G104" s="17" cm="1">
        <f t="array" ref="G104">G103</f>
        <v>0</v>
      </c>
      <c r="H104" s="72"/>
      <c r="I104" s="72"/>
      <c r="J104" s="72"/>
      <c r="K104" s="72">
        <f>first_year+21</f>
        <v>2047</v>
      </c>
      <c r="L104" s="72"/>
      <c r="M104" s="72"/>
      <c r="N104" s="72"/>
      <c r="O104" s="72"/>
      <c r="P104" s="72"/>
      <c r="Q104" s="72"/>
      <c r="R104" s="72"/>
      <c r="S104" s="72"/>
      <c r="T104" s="351" t="b" cm="1">
        <f t="array" aca="1" ref="T104" ca="1">T103</f>
        <v>0</v>
      </c>
      <c r="U104" s="72"/>
      <c r="V104" s="72"/>
      <c r="W104" s="72"/>
      <c r="X104" s="1024"/>
      <c r="Y104" s="1024"/>
      <c r="Z104" s="1008"/>
      <c r="AA104" s="1126"/>
      <c r="AB104" s="167" t="str">
        <f t="shared" si="5"/>
        <v>2047 год</v>
      </c>
      <c r="AC104" s="307"/>
      <c r="AD104" s="920"/>
      <c r="AE104" s="919"/>
      <c r="AF104" s="919"/>
      <c r="AG104" s="920"/>
      <c r="AH104" s="919"/>
      <c r="AI104" s="920"/>
      <c r="AJ104" s="919"/>
      <c r="AK104" s="921"/>
      <c r="AL104" s="303"/>
      <c r="AM104" s="72"/>
      <c r="AN104" s="694" cm="1">
        <f t="array" ref="AN104">K104</f>
        <v>2047</v>
      </c>
      <c r="AO104" s="694" t="s">
        <v>2305</v>
      </c>
      <c r="AP104" s="704" cm="1">
        <f t="array" ref="AP104">AP103</f>
        <v>0</v>
      </c>
      <c r="AQ104" s="505"/>
      <c r="AR104" s="505"/>
    </row>
    <row r="105" spans="1:44" s="914" customFormat="1" ht="14.25" hidden="1" customHeight="1">
      <c r="A105" s="72"/>
      <c r="B105" s="340" t="b">
        <f t="shared" si="4"/>
        <v>0</v>
      </c>
      <c r="C105" s="72"/>
      <c r="D105" s="72"/>
      <c r="E105" s="505">
        <v>15</v>
      </c>
      <c r="F105" s="3" t="str" cm="1">
        <f t="array" aca="1" ref="F105" ca="1">OFFSET(E105,-1,1)</f>
        <v>1</v>
      </c>
      <c r="G105" s="17" cm="1">
        <f t="array" ref="G105">G104</f>
        <v>0</v>
      </c>
      <c r="H105" s="72"/>
      <c r="I105" s="72"/>
      <c r="J105" s="72"/>
      <c r="K105" s="72">
        <f>first_year+22</f>
        <v>2048</v>
      </c>
      <c r="L105" s="72"/>
      <c r="M105" s="72"/>
      <c r="N105" s="72"/>
      <c r="O105" s="72"/>
      <c r="P105" s="72"/>
      <c r="Q105" s="72"/>
      <c r="R105" s="72"/>
      <c r="S105" s="72"/>
      <c r="T105" s="351" t="b" cm="1">
        <f t="array" aca="1" ref="T105" ca="1">T104</f>
        <v>0</v>
      </c>
      <c r="U105" s="72"/>
      <c r="V105" s="72"/>
      <c r="W105" s="72"/>
      <c r="X105" s="1024"/>
      <c r="Y105" s="1024"/>
      <c r="Z105" s="1008"/>
      <c r="AA105" s="1126"/>
      <c r="AB105" s="167" t="str">
        <f t="shared" si="5"/>
        <v>2048 год</v>
      </c>
      <c r="AC105" s="307"/>
      <c r="AD105" s="920"/>
      <c r="AE105" s="919"/>
      <c r="AF105" s="919"/>
      <c r="AG105" s="920"/>
      <c r="AH105" s="919"/>
      <c r="AI105" s="920"/>
      <c r="AJ105" s="919"/>
      <c r="AK105" s="921"/>
      <c r="AL105" s="303"/>
      <c r="AM105" s="72"/>
      <c r="AN105" s="694" cm="1">
        <f t="array" ref="AN105">K105</f>
        <v>2048</v>
      </c>
      <c r="AO105" s="694" t="s">
        <v>2305</v>
      </c>
      <c r="AP105" s="704" cm="1">
        <f t="array" ref="AP105">AP104</f>
        <v>0</v>
      </c>
      <c r="AQ105" s="505"/>
      <c r="AR105" s="505"/>
    </row>
    <row r="106" spans="1:44" s="914" customFormat="1" ht="14.25" hidden="1" customHeight="1">
      <c r="A106" s="72"/>
      <c r="B106" s="340" t="b">
        <f t="shared" si="4"/>
        <v>0</v>
      </c>
      <c r="C106" s="72"/>
      <c r="D106" s="72"/>
      <c r="E106" s="505">
        <v>15</v>
      </c>
      <c r="F106" s="3" t="str" cm="1">
        <f t="array" aca="1" ref="F106" ca="1">OFFSET(E106,-1,1)</f>
        <v>1</v>
      </c>
      <c r="G106" s="17" cm="1">
        <f t="array" ref="G106">G105</f>
        <v>0</v>
      </c>
      <c r="H106" s="72"/>
      <c r="I106" s="72"/>
      <c r="J106" s="72"/>
      <c r="K106" s="72">
        <f>first_year+23</f>
        <v>2049</v>
      </c>
      <c r="L106" s="72"/>
      <c r="M106" s="72"/>
      <c r="N106" s="72"/>
      <c r="O106" s="72"/>
      <c r="P106" s="72"/>
      <c r="Q106" s="72"/>
      <c r="R106" s="72"/>
      <c r="S106" s="72"/>
      <c r="T106" s="351" t="b" cm="1">
        <f t="array" aca="1" ref="T106" ca="1">T105</f>
        <v>0</v>
      </c>
      <c r="U106" s="72"/>
      <c r="V106" s="72"/>
      <c r="W106" s="72"/>
      <c r="X106" s="1024"/>
      <c r="Y106" s="1024"/>
      <c r="Z106" s="1008"/>
      <c r="AA106" s="1126"/>
      <c r="AB106" s="167" t="str">
        <f t="shared" si="5"/>
        <v>2049 год</v>
      </c>
      <c r="AC106" s="307"/>
      <c r="AD106" s="920"/>
      <c r="AE106" s="919"/>
      <c r="AF106" s="919"/>
      <c r="AG106" s="920"/>
      <c r="AH106" s="919"/>
      <c r="AI106" s="920"/>
      <c r="AJ106" s="919"/>
      <c r="AK106" s="921"/>
      <c r="AL106" s="303"/>
      <c r="AM106" s="72"/>
      <c r="AN106" s="694" cm="1">
        <f t="array" ref="AN106">K106</f>
        <v>2049</v>
      </c>
      <c r="AO106" s="694" t="s">
        <v>2305</v>
      </c>
      <c r="AP106" s="704" cm="1">
        <f t="array" ref="AP106">AP105</f>
        <v>0</v>
      </c>
      <c r="AQ106" s="505"/>
      <c r="AR106" s="505"/>
    </row>
    <row r="107" spans="1:44" s="914" customFormat="1" ht="14.25" hidden="1" customHeight="1">
      <c r="A107" s="72"/>
      <c r="B107" s="340" t="b">
        <f t="shared" si="4"/>
        <v>0</v>
      </c>
      <c r="C107" s="72"/>
      <c r="D107" s="72"/>
      <c r="E107" s="505">
        <v>15</v>
      </c>
      <c r="F107" s="3" t="str" cm="1">
        <f t="array" aca="1" ref="F107" ca="1">OFFSET(E107,-1,1)</f>
        <v>1</v>
      </c>
      <c r="G107" s="17" cm="1">
        <f t="array" ref="G107">G106</f>
        <v>0</v>
      </c>
      <c r="H107" s="72"/>
      <c r="I107" s="72"/>
      <c r="J107" s="72"/>
      <c r="K107" s="72">
        <f>first_year+24</f>
        <v>2050</v>
      </c>
      <c r="L107" s="72"/>
      <c r="M107" s="72"/>
      <c r="N107" s="72"/>
      <c r="O107" s="72"/>
      <c r="P107" s="72"/>
      <c r="Q107" s="72"/>
      <c r="R107" s="72"/>
      <c r="S107" s="72"/>
      <c r="T107" s="351" t="b" cm="1">
        <f t="array" aca="1" ref="T107" ca="1">T106</f>
        <v>0</v>
      </c>
      <c r="U107" s="72"/>
      <c r="V107" s="72"/>
      <c r="W107" s="72"/>
      <c r="X107" s="1024"/>
      <c r="Y107" s="1024"/>
      <c r="Z107" s="1008"/>
      <c r="AA107" s="1126"/>
      <c r="AB107" s="167" t="str">
        <f t="shared" si="5"/>
        <v>2050 год</v>
      </c>
      <c r="AC107" s="307"/>
      <c r="AD107" s="920"/>
      <c r="AE107" s="919"/>
      <c r="AF107" s="919"/>
      <c r="AG107" s="920"/>
      <c r="AH107" s="919"/>
      <c r="AI107" s="920"/>
      <c r="AJ107" s="919"/>
      <c r="AK107" s="921"/>
      <c r="AL107" s="303"/>
      <c r="AM107" s="72"/>
      <c r="AN107" s="694" cm="1">
        <f t="array" ref="AN107">K107</f>
        <v>2050</v>
      </c>
      <c r="AO107" s="694" t="s">
        <v>2305</v>
      </c>
      <c r="AP107" s="704" cm="1">
        <f t="array" ref="AP107">AP106</f>
        <v>0</v>
      </c>
      <c r="AQ107" s="505"/>
      <c r="AR107" s="505"/>
    </row>
    <row r="108" spans="1:44" s="914" customFormat="1" ht="14.25" hidden="1" customHeight="1">
      <c r="A108" s="72"/>
      <c r="B108" s="340" t="b">
        <f t="shared" si="4"/>
        <v>0</v>
      </c>
      <c r="C108" s="72"/>
      <c r="D108" s="72"/>
      <c r="E108" s="505">
        <v>15</v>
      </c>
      <c r="F108" s="3" t="str" cm="1">
        <f t="array" aca="1" ref="F108" ca="1">OFFSET(E108,-1,1)</f>
        <v>1</v>
      </c>
      <c r="G108" s="17" cm="1">
        <f t="array" ref="G108">G107</f>
        <v>0</v>
      </c>
      <c r="H108" s="72"/>
      <c r="I108" s="72"/>
      <c r="J108" s="72"/>
      <c r="K108" s="72">
        <f>first_year+25</f>
        <v>2051</v>
      </c>
      <c r="L108" s="72"/>
      <c r="M108" s="72"/>
      <c r="N108" s="72"/>
      <c r="O108" s="72"/>
      <c r="P108" s="72"/>
      <c r="Q108" s="72"/>
      <c r="R108" s="72"/>
      <c r="S108" s="72"/>
      <c r="T108" s="351" t="b" cm="1">
        <f t="array" aca="1" ref="T108" ca="1">T107</f>
        <v>0</v>
      </c>
      <c r="U108" s="72"/>
      <c r="V108" s="72"/>
      <c r="W108" s="72"/>
      <c r="X108" s="1024"/>
      <c r="Y108" s="1024"/>
      <c r="Z108" s="1008"/>
      <c r="AA108" s="1126"/>
      <c r="AB108" s="167" t="str">
        <f t="shared" si="5"/>
        <v>2051 год</v>
      </c>
      <c r="AC108" s="307"/>
      <c r="AD108" s="920"/>
      <c r="AE108" s="919"/>
      <c r="AF108" s="919"/>
      <c r="AG108" s="920"/>
      <c r="AH108" s="919"/>
      <c r="AI108" s="920"/>
      <c r="AJ108" s="919"/>
      <c r="AK108" s="921"/>
      <c r="AL108" s="303"/>
      <c r="AM108" s="72"/>
      <c r="AN108" s="694" cm="1">
        <f t="array" ref="AN108">K108</f>
        <v>2051</v>
      </c>
      <c r="AO108" s="694" t="s">
        <v>2305</v>
      </c>
      <c r="AP108" s="704" cm="1">
        <f t="array" ref="AP108">AP107</f>
        <v>0</v>
      </c>
      <c r="AQ108" s="505"/>
      <c r="AR108" s="505"/>
    </row>
    <row r="109" spans="1:44" s="914" customFormat="1" ht="14.25" hidden="1" customHeight="1">
      <c r="A109" s="72"/>
      <c r="B109" s="340" t="b">
        <f t="shared" si="4"/>
        <v>0</v>
      </c>
      <c r="C109" s="72"/>
      <c r="D109" s="72"/>
      <c r="E109" s="505">
        <v>15</v>
      </c>
      <c r="F109" s="3" t="str" cm="1">
        <f t="array" aca="1" ref="F109" ca="1">OFFSET(E109,-1,1)</f>
        <v>1</v>
      </c>
      <c r="G109" s="17" cm="1">
        <f t="array" ref="G109">G108</f>
        <v>0</v>
      </c>
      <c r="H109" s="72"/>
      <c r="I109" s="72"/>
      <c r="J109" s="72"/>
      <c r="K109" s="72">
        <f>first_year+26</f>
        <v>2052</v>
      </c>
      <c r="L109" s="72"/>
      <c r="M109" s="72"/>
      <c r="N109" s="72"/>
      <c r="O109" s="72"/>
      <c r="P109" s="72"/>
      <c r="Q109" s="72"/>
      <c r="R109" s="72"/>
      <c r="S109" s="72"/>
      <c r="T109" s="351" t="b" cm="1">
        <f t="array" aca="1" ref="T109" ca="1">T108</f>
        <v>0</v>
      </c>
      <c r="U109" s="72"/>
      <c r="V109" s="72"/>
      <c r="W109" s="72"/>
      <c r="X109" s="1024"/>
      <c r="Y109" s="1024"/>
      <c r="Z109" s="1008"/>
      <c r="AA109" s="1126"/>
      <c r="AB109" s="167" t="str">
        <f t="shared" si="5"/>
        <v>2052 год</v>
      </c>
      <c r="AC109" s="307"/>
      <c r="AD109" s="920"/>
      <c r="AE109" s="919"/>
      <c r="AF109" s="919"/>
      <c r="AG109" s="920"/>
      <c r="AH109" s="919"/>
      <c r="AI109" s="920"/>
      <c r="AJ109" s="919"/>
      <c r="AK109" s="921"/>
      <c r="AL109" s="303"/>
      <c r="AM109" s="72"/>
      <c r="AN109" s="694" cm="1">
        <f t="array" ref="AN109">K109</f>
        <v>2052</v>
      </c>
      <c r="AO109" s="694" t="s">
        <v>2305</v>
      </c>
      <c r="AP109" s="704" cm="1">
        <f t="array" ref="AP109">AP108</f>
        <v>0</v>
      </c>
      <c r="AQ109" s="505"/>
      <c r="AR109" s="505"/>
    </row>
    <row r="110" spans="1:44" s="914" customFormat="1" ht="14.25" hidden="1" customHeight="1">
      <c r="A110" s="72"/>
      <c r="B110" s="340" t="b">
        <f t="shared" si="4"/>
        <v>0</v>
      </c>
      <c r="C110" s="72"/>
      <c r="D110" s="72"/>
      <c r="E110" s="505">
        <v>15</v>
      </c>
      <c r="F110" s="3" t="str" cm="1">
        <f t="array" aca="1" ref="F110" ca="1">OFFSET(E110,-1,1)</f>
        <v>1</v>
      </c>
      <c r="G110" s="17" cm="1">
        <f t="array" ref="G110">G109</f>
        <v>0</v>
      </c>
      <c r="H110" s="72"/>
      <c r="I110" s="72"/>
      <c r="J110" s="72"/>
      <c r="K110" s="72">
        <f>first_year+27</f>
        <v>2053</v>
      </c>
      <c r="L110" s="72"/>
      <c r="M110" s="72"/>
      <c r="N110" s="72"/>
      <c r="O110" s="72"/>
      <c r="P110" s="72"/>
      <c r="Q110" s="72"/>
      <c r="R110" s="72"/>
      <c r="S110" s="72"/>
      <c r="T110" s="351" t="b" cm="1">
        <f t="array" aca="1" ref="T110" ca="1">T109</f>
        <v>0</v>
      </c>
      <c r="U110" s="72"/>
      <c r="V110" s="72"/>
      <c r="W110" s="72"/>
      <c r="X110" s="1024"/>
      <c r="Y110" s="1024"/>
      <c r="Z110" s="1008"/>
      <c r="AA110" s="1126"/>
      <c r="AB110" s="167" t="str">
        <f t="shared" si="5"/>
        <v>2053 год</v>
      </c>
      <c r="AC110" s="307"/>
      <c r="AD110" s="920"/>
      <c r="AE110" s="919"/>
      <c r="AF110" s="919"/>
      <c r="AG110" s="920"/>
      <c r="AH110" s="919"/>
      <c r="AI110" s="920"/>
      <c r="AJ110" s="919"/>
      <c r="AK110" s="921"/>
      <c r="AL110" s="303"/>
      <c r="AM110" s="72"/>
      <c r="AN110" s="694" cm="1">
        <f t="array" ref="AN110">K110</f>
        <v>2053</v>
      </c>
      <c r="AO110" s="694" t="s">
        <v>2305</v>
      </c>
      <c r="AP110" s="704" cm="1">
        <f t="array" ref="AP110">AP109</f>
        <v>0</v>
      </c>
      <c r="AQ110" s="505"/>
      <c r="AR110" s="505"/>
    </row>
    <row r="111" spans="1:44" s="914" customFormat="1" ht="14.25" hidden="1" customHeight="1">
      <c r="A111" s="72"/>
      <c r="B111" s="340" t="b">
        <f t="shared" si="4"/>
        <v>0</v>
      </c>
      <c r="C111" s="72"/>
      <c r="D111" s="72"/>
      <c r="E111" s="505">
        <v>15</v>
      </c>
      <c r="F111" s="3" t="str" cm="1">
        <f t="array" aca="1" ref="F111" ca="1">OFFSET(E111,-1,1)</f>
        <v>1</v>
      </c>
      <c r="G111" s="17" cm="1">
        <f t="array" ref="G111">G110</f>
        <v>0</v>
      </c>
      <c r="H111" s="72"/>
      <c r="I111" s="72"/>
      <c r="J111" s="72"/>
      <c r="K111" s="72">
        <f>first_year+28</f>
        <v>2054</v>
      </c>
      <c r="L111" s="72"/>
      <c r="M111" s="72"/>
      <c r="N111" s="72"/>
      <c r="O111" s="72"/>
      <c r="P111" s="72"/>
      <c r="Q111" s="72"/>
      <c r="R111" s="72"/>
      <c r="S111" s="72"/>
      <c r="T111" s="351" t="b" cm="1">
        <f t="array" aca="1" ref="T111" ca="1">T110</f>
        <v>0</v>
      </c>
      <c r="U111" s="72"/>
      <c r="V111" s="72"/>
      <c r="W111" s="72"/>
      <c r="X111" s="1024"/>
      <c r="Y111" s="1024"/>
      <c r="Z111" s="1008"/>
      <c r="AA111" s="1126"/>
      <c r="AB111" s="167" t="str">
        <f t="shared" si="5"/>
        <v>2054 год</v>
      </c>
      <c r="AC111" s="307"/>
      <c r="AD111" s="920"/>
      <c r="AE111" s="919"/>
      <c r="AF111" s="919"/>
      <c r="AG111" s="920"/>
      <c r="AH111" s="919"/>
      <c r="AI111" s="920"/>
      <c r="AJ111" s="919"/>
      <c r="AK111" s="921"/>
      <c r="AL111" s="303"/>
      <c r="AM111" s="72"/>
      <c r="AN111" s="694" cm="1">
        <f t="array" ref="AN111">K111</f>
        <v>2054</v>
      </c>
      <c r="AO111" s="694" t="s">
        <v>2305</v>
      </c>
      <c r="AP111" s="704" cm="1">
        <f t="array" ref="AP111">AP110</f>
        <v>0</v>
      </c>
      <c r="AQ111" s="505"/>
      <c r="AR111" s="505"/>
    </row>
    <row r="112" spans="1:44" s="914" customFormat="1" ht="14.25" hidden="1" customHeight="1">
      <c r="A112" s="72"/>
      <c r="B112" s="340" t="b">
        <f t="shared" si="4"/>
        <v>0</v>
      </c>
      <c r="C112" s="72"/>
      <c r="D112" s="72"/>
      <c r="E112" s="505">
        <v>15</v>
      </c>
      <c r="F112" s="3" t="str" cm="1">
        <f t="array" aca="1" ref="F112" ca="1">OFFSET(E112,-1,1)</f>
        <v>1</v>
      </c>
      <c r="G112" s="17" cm="1">
        <f t="array" ref="G112">G111</f>
        <v>0</v>
      </c>
      <c r="H112" s="72"/>
      <c r="I112" s="72"/>
      <c r="J112" s="72"/>
      <c r="K112" s="72">
        <f>first_year+29</f>
        <v>2055</v>
      </c>
      <c r="L112" s="72"/>
      <c r="M112" s="72"/>
      <c r="N112" s="72"/>
      <c r="O112" s="72"/>
      <c r="P112" s="72"/>
      <c r="Q112" s="72"/>
      <c r="R112" s="72"/>
      <c r="S112" s="72"/>
      <c r="T112" s="351" t="b" cm="1">
        <f t="array" aca="1" ref="T112" ca="1">T111</f>
        <v>0</v>
      </c>
      <c r="U112" s="72"/>
      <c r="V112" s="72"/>
      <c r="W112" s="72"/>
      <c r="X112" s="1024"/>
      <c r="Y112" s="1024"/>
      <c r="Z112" s="1008"/>
      <c r="AA112" s="1126"/>
      <c r="AB112" s="167" t="str">
        <f t="shared" si="5"/>
        <v>2055 год</v>
      </c>
      <c r="AC112" s="307"/>
      <c r="AD112" s="920"/>
      <c r="AE112" s="919"/>
      <c r="AF112" s="919"/>
      <c r="AG112" s="920"/>
      <c r="AH112" s="919"/>
      <c r="AI112" s="920"/>
      <c r="AJ112" s="919"/>
      <c r="AK112" s="921"/>
      <c r="AL112" s="303"/>
      <c r="AM112" s="72"/>
      <c r="AN112" s="694" cm="1">
        <f t="array" ref="AN112">K112</f>
        <v>2055</v>
      </c>
      <c r="AO112" s="694" t="s">
        <v>2305</v>
      </c>
      <c r="AP112" s="704" cm="1">
        <f t="array" ref="AP112">AP111</f>
        <v>0</v>
      </c>
      <c r="AQ112" s="505"/>
      <c r="AR112" s="505"/>
    </row>
    <row r="113" spans="1:44" s="914" customFormat="1" ht="14.25" hidden="1" customHeight="1">
      <c r="A113" s="72"/>
      <c r="B113" s="340" t="b">
        <f t="shared" si="4"/>
        <v>0</v>
      </c>
      <c r="C113" s="72"/>
      <c r="D113" s="72"/>
      <c r="E113" s="505">
        <v>15</v>
      </c>
      <c r="F113" s="3" t="str" cm="1">
        <f t="array" aca="1" ref="F113" ca="1">OFFSET(E113,-1,1)</f>
        <v>1</v>
      </c>
      <c r="G113" s="17" cm="1">
        <f t="array" ref="G113">G112</f>
        <v>0</v>
      </c>
      <c r="H113" s="72"/>
      <c r="I113" s="72"/>
      <c r="J113" s="72"/>
      <c r="K113" s="72">
        <f>first_year+30</f>
        <v>2056</v>
      </c>
      <c r="L113" s="72"/>
      <c r="M113" s="72"/>
      <c r="N113" s="72"/>
      <c r="O113" s="72"/>
      <c r="P113" s="72"/>
      <c r="Q113" s="72"/>
      <c r="R113" s="72"/>
      <c r="S113" s="72"/>
      <c r="T113" s="351" t="b" cm="1">
        <f t="array" aca="1" ref="T113" ca="1">T112</f>
        <v>0</v>
      </c>
      <c r="U113" s="72"/>
      <c r="V113" s="72"/>
      <c r="W113" s="72"/>
      <c r="X113" s="1024"/>
      <c r="Y113" s="1024"/>
      <c r="Z113" s="1008"/>
      <c r="AA113" s="1126"/>
      <c r="AB113" s="167" t="str">
        <f t="shared" si="5"/>
        <v>2056 год</v>
      </c>
      <c r="AC113" s="307"/>
      <c r="AD113" s="920"/>
      <c r="AE113" s="919"/>
      <c r="AF113" s="919"/>
      <c r="AG113" s="920"/>
      <c r="AH113" s="919"/>
      <c r="AI113" s="920"/>
      <c r="AJ113" s="919"/>
      <c r="AK113" s="921"/>
      <c r="AL113" s="303"/>
      <c r="AM113" s="72"/>
      <c r="AN113" s="694" cm="1">
        <f t="array" ref="AN113">K113</f>
        <v>2056</v>
      </c>
      <c r="AO113" s="694" t="s">
        <v>2305</v>
      </c>
      <c r="AP113" s="704" cm="1">
        <f t="array" ref="AP113">AP112</f>
        <v>0</v>
      </c>
      <c r="AQ113" s="505"/>
      <c r="AR113" s="505"/>
    </row>
    <row r="114" spans="1:44" s="914" customFormat="1" ht="14.25" hidden="1" customHeight="1">
      <c r="A114" s="72"/>
      <c r="B114" s="340" t="b">
        <f t="shared" si="4"/>
        <v>0</v>
      </c>
      <c r="C114" s="72"/>
      <c r="D114" s="72"/>
      <c r="E114" s="505">
        <v>15</v>
      </c>
      <c r="F114" s="3" t="str" cm="1">
        <f t="array" aca="1" ref="F114" ca="1">OFFSET(E114,-1,1)</f>
        <v>1</v>
      </c>
      <c r="G114" s="17" cm="1">
        <f t="array" ref="G114">G113</f>
        <v>0</v>
      </c>
      <c r="H114" s="72"/>
      <c r="I114" s="72"/>
      <c r="J114" s="72"/>
      <c r="K114" s="72">
        <f>first_year+31</f>
        <v>2057</v>
      </c>
      <c r="L114" s="72"/>
      <c r="M114" s="72"/>
      <c r="N114" s="72"/>
      <c r="O114" s="72"/>
      <c r="P114" s="72"/>
      <c r="Q114" s="72"/>
      <c r="R114" s="72"/>
      <c r="S114" s="72"/>
      <c r="T114" s="351" t="b" cm="1">
        <f t="array" aca="1" ref="T114" ca="1">T113</f>
        <v>0</v>
      </c>
      <c r="U114" s="72"/>
      <c r="V114" s="72"/>
      <c r="W114" s="72"/>
      <c r="X114" s="1024"/>
      <c r="Y114" s="1024"/>
      <c r="Z114" s="1008"/>
      <c r="AA114" s="1126"/>
      <c r="AB114" s="167" t="str">
        <f t="shared" si="5"/>
        <v>2057 год</v>
      </c>
      <c r="AC114" s="307"/>
      <c r="AD114" s="920"/>
      <c r="AE114" s="919"/>
      <c r="AF114" s="919"/>
      <c r="AG114" s="920"/>
      <c r="AH114" s="919"/>
      <c r="AI114" s="920"/>
      <c r="AJ114" s="919"/>
      <c r="AK114" s="921"/>
      <c r="AL114" s="303"/>
      <c r="AM114" s="72"/>
      <c r="AN114" s="694" cm="1">
        <f t="array" ref="AN114">K114</f>
        <v>2057</v>
      </c>
      <c r="AO114" s="694" t="s">
        <v>2305</v>
      </c>
      <c r="AP114" s="704" cm="1">
        <f t="array" ref="AP114">AP113</f>
        <v>0</v>
      </c>
      <c r="AQ114" s="505"/>
      <c r="AR114" s="505"/>
    </row>
    <row r="115" spans="1:44" s="914" customFormat="1" ht="14.25" hidden="1" customHeight="1">
      <c r="A115" s="72"/>
      <c r="B115" s="340" t="b">
        <f t="shared" ref="B115:B132" si="6">K115&lt;first_year+PERIOD_LENGTH</f>
        <v>0</v>
      </c>
      <c r="C115" s="72"/>
      <c r="D115" s="72"/>
      <c r="E115" s="505">
        <v>15</v>
      </c>
      <c r="F115" s="3" t="str" cm="1">
        <f t="array" aca="1" ref="F115" ca="1">OFFSET(E115,-1,1)</f>
        <v>1</v>
      </c>
      <c r="G115" s="17" cm="1">
        <f t="array" ref="G115">G114</f>
        <v>0</v>
      </c>
      <c r="H115" s="72"/>
      <c r="I115" s="72"/>
      <c r="J115" s="72"/>
      <c r="K115" s="72">
        <f>first_year+32</f>
        <v>2058</v>
      </c>
      <c r="L115" s="72"/>
      <c r="M115" s="72"/>
      <c r="N115" s="72"/>
      <c r="O115" s="72"/>
      <c r="P115" s="72"/>
      <c r="Q115" s="72"/>
      <c r="R115" s="72"/>
      <c r="S115" s="72"/>
      <c r="T115" s="351" t="b" cm="1">
        <f t="array" aca="1" ref="T115" ca="1">T114</f>
        <v>0</v>
      </c>
      <c r="U115" s="72"/>
      <c r="V115" s="72"/>
      <c r="W115" s="72"/>
      <c r="X115" s="1024"/>
      <c r="Y115" s="1024"/>
      <c r="Z115" s="1008"/>
      <c r="AA115" s="1126"/>
      <c r="AB115" s="167" t="str">
        <f t="shared" ref="AB115:AB132" si="7">K115&amp;" год"</f>
        <v>2058 год</v>
      </c>
      <c r="AC115" s="307"/>
      <c r="AD115" s="920"/>
      <c r="AE115" s="919"/>
      <c r="AF115" s="919"/>
      <c r="AG115" s="920"/>
      <c r="AH115" s="919"/>
      <c r="AI115" s="920"/>
      <c r="AJ115" s="919"/>
      <c r="AK115" s="921"/>
      <c r="AL115" s="303"/>
      <c r="AM115" s="72"/>
      <c r="AN115" s="694" cm="1">
        <f t="array" ref="AN115">K115</f>
        <v>2058</v>
      </c>
      <c r="AO115" s="694" t="s">
        <v>2305</v>
      </c>
      <c r="AP115" s="704" cm="1">
        <f t="array" ref="AP115">AP114</f>
        <v>0</v>
      </c>
      <c r="AQ115" s="505"/>
      <c r="AR115" s="505"/>
    </row>
    <row r="116" spans="1:44" s="914" customFormat="1" ht="14.25" hidden="1" customHeight="1">
      <c r="A116" s="72"/>
      <c r="B116" s="340" t="b">
        <f t="shared" si="6"/>
        <v>0</v>
      </c>
      <c r="C116" s="72"/>
      <c r="D116" s="72"/>
      <c r="E116" s="505">
        <v>15</v>
      </c>
      <c r="F116" s="3" t="str" cm="1">
        <f t="array" aca="1" ref="F116" ca="1">OFFSET(E116,-1,1)</f>
        <v>1</v>
      </c>
      <c r="G116" s="17" cm="1">
        <f t="array" ref="G116">G115</f>
        <v>0</v>
      </c>
      <c r="H116" s="72"/>
      <c r="I116" s="72"/>
      <c r="J116" s="72"/>
      <c r="K116" s="72">
        <f>first_year+33</f>
        <v>2059</v>
      </c>
      <c r="L116" s="72"/>
      <c r="M116" s="72"/>
      <c r="N116" s="72"/>
      <c r="O116" s="72"/>
      <c r="P116" s="72"/>
      <c r="Q116" s="72"/>
      <c r="R116" s="72"/>
      <c r="S116" s="72"/>
      <c r="T116" s="351" t="b" cm="1">
        <f t="array" aca="1" ref="T116" ca="1">T115</f>
        <v>0</v>
      </c>
      <c r="U116" s="72"/>
      <c r="V116" s="72"/>
      <c r="W116" s="72"/>
      <c r="X116" s="1024"/>
      <c r="Y116" s="1024"/>
      <c r="Z116" s="1008"/>
      <c r="AA116" s="1126"/>
      <c r="AB116" s="167" t="str">
        <f t="shared" si="7"/>
        <v>2059 год</v>
      </c>
      <c r="AC116" s="307"/>
      <c r="AD116" s="920"/>
      <c r="AE116" s="919"/>
      <c r="AF116" s="919"/>
      <c r="AG116" s="920"/>
      <c r="AH116" s="919"/>
      <c r="AI116" s="920"/>
      <c r="AJ116" s="919"/>
      <c r="AK116" s="921"/>
      <c r="AL116" s="303"/>
      <c r="AM116" s="72"/>
      <c r="AN116" s="694" cm="1">
        <f t="array" ref="AN116">K116</f>
        <v>2059</v>
      </c>
      <c r="AO116" s="694" t="s">
        <v>2305</v>
      </c>
      <c r="AP116" s="704" cm="1">
        <f t="array" ref="AP116">AP115</f>
        <v>0</v>
      </c>
      <c r="AQ116" s="505"/>
      <c r="AR116" s="505"/>
    </row>
    <row r="117" spans="1:44" s="914" customFormat="1" ht="14.25" hidden="1" customHeight="1">
      <c r="A117" s="72"/>
      <c r="B117" s="340" t="b">
        <f t="shared" si="6"/>
        <v>0</v>
      </c>
      <c r="C117" s="72"/>
      <c r="D117" s="72"/>
      <c r="E117" s="505">
        <v>15</v>
      </c>
      <c r="F117" s="3" t="str" cm="1">
        <f t="array" aca="1" ref="F117" ca="1">OFFSET(E117,-1,1)</f>
        <v>1</v>
      </c>
      <c r="G117" s="17" cm="1">
        <f t="array" ref="G117">G116</f>
        <v>0</v>
      </c>
      <c r="H117" s="72"/>
      <c r="I117" s="72"/>
      <c r="J117" s="72"/>
      <c r="K117" s="72">
        <f>first_year+34</f>
        <v>2060</v>
      </c>
      <c r="L117" s="72"/>
      <c r="M117" s="72"/>
      <c r="N117" s="72"/>
      <c r="O117" s="72"/>
      <c r="P117" s="72"/>
      <c r="Q117" s="72"/>
      <c r="R117" s="72"/>
      <c r="S117" s="72"/>
      <c r="T117" s="351" t="b" cm="1">
        <f t="array" aca="1" ref="T117" ca="1">T116</f>
        <v>0</v>
      </c>
      <c r="U117" s="72"/>
      <c r="V117" s="72"/>
      <c r="W117" s="72"/>
      <c r="X117" s="1024"/>
      <c r="Y117" s="1024"/>
      <c r="Z117" s="1008"/>
      <c r="AA117" s="1126"/>
      <c r="AB117" s="167" t="str">
        <f t="shared" si="7"/>
        <v>2060 год</v>
      </c>
      <c r="AC117" s="307"/>
      <c r="AD117" s="920"/>
      <c r="AE117" s="919"/>
      <c r="AF117" s="919"/>
      <c r="AG117" s="920"/>
      <c r="AH117" s="919"/>
      <c r="AI117" s="920"/>
      <c r="AJ117" s="919"/>
      <c r="AK117" s="921"/>
      <c r="AL117" s="303"/>
      <c r="AM117" s="72"/>
      <c r="AN117" s="694" cm="1">
        <f t="array" ref="AN117">K117</f>
        <v>2060</v>
      </c>
      <c r="AO117" s="694" t="s">
        <v>2305</v>
      </c>
      <c r="AP117" s="704" cm="1">
        <f t="array" ref="AP117">AP116</f>
        <v>0</v>
      </c>
      <c r="AQ117" s="505"/>
      <c r="AR117" s="505"/>
    </row>
    <row r="118" spans="1:44" s="914" customFormat="1" ht="14.25" hidden="1" customHeight="1">
      <c r="A118" s="72"/>
      <c r="B118" s="340" t="b">
        <f t="shared" si="6"/>
        <v>0</v>
      </c>
      <c r="C118" s="72"/>
      <c r="D118" s="72"/>
      <c r="E118" s="505">
        <v>15</v>
      </c>
      <c r="F118" s="3" t="str" cm="1">
        <f t="array" aca="1" ref="F118" ca="1">OFFSET(E118,-1,1)</f>
        <v>1</v>
      </c>
      <c r="G118" s="17" cm="1">
        <f t="array" ref="G118">G117</f>
        <v>0</v>
      </c>
      <c r="H118" s="72"/>
      <c r="I118" s="72"/>
      <c r="J118" s="72"/>
      <c r="K118" s="72">
        <f>first_year+35</f>
        <v>2061</v>
      </c>
      <c r="L118" s="72"/>
      <c r="M118" s="72"/>
      <c r="N118" s="72"/>
      <c r="O118" s="72"/>
      <c r="P118" s="72"/>
      <c r="Q118" s="72"/>
      <c r="R118" s="72"/>
      <c r="S118" s="72"/>
      <c r="T118" s="351" t="b" cm="1">
        <f t="array" aca="1" ref="T118" ca="1">T117</f>
        <v>0</v>
      </c>
      <c r="U118" s="72"/>
      <c r="V118" s="72"/>
      <c r="W118" s="72"/>
      <c r="X118" s="1024"/>
      <c r="Y118" s="1024"/>
      <c r="Z118" s="1008"/>
      <c r="AA118" s="1126"/>
      <c r="AB118" s="167" t="str">
        <f t="shared" si="7"/>
        <v>2061 год</v>
      </c>
      <c r="AC118" s="307"/>
      <c r="AD118" s="920"/>
      <c r="AE118" s="919"/>
      <c r="AF118" s="919"/>
      <c r="AG118" s="920"/>
      <c r="AH118" s="919"/>
      <c r="AI118" s="920"/>
      <c r="AJ118" s="919"/>
      <c r="AK118" s="921"/>
      <c r="AL118" s="303"/>
      <c r="AM118" s="72"/>
      <c r="AN118" s="694" cm="1">
        <f t="array" ref="AN118">K118</f>
        <v>2061</v>
      </c>
      <c r="AO118" s="694" t="s">
        <v>2305</v>
      </c>
      <c r="AP118" s="704" cm="1">
        <f t="array" ref="AP118">AP117</f>
        <v>0</v>
      </c>
      <c r="AQ118" s="505"/>
      <c r="AR118" s="505"/>
    </row>
    <row r="119" spans="1:44" s="914" customFormat="1" ht="14.25" hidden="1" customHeight="1">
      <c r="A119" s="72"/>
      <c r="B119" s="340" t="b">
        <f t="shared" si="6"/>
        <v>0</v>
      </c>
      <c r="C119" s="72"/>
      <c r="D119" s="72"/>
      <c r="E119" s="505">
        <v>15</v>
      </c>
      <c r="F119" s="3" t="str" cm="1">
        <f t="array" aca="1" ref="F119" ca="1">OFFSET(E119,-1,1)</f>
        <v>1</v>
      </c>
      <c r="G119" s="17" cm="1">
        <f t="array" ref="G119">G118</f>
        <v>0</v>
      </c>
      <c r="H119" s="72"/>
      <c r="I119" s="72"/>
      <c r="J119" s="72"/>
      <c r="K119" s="72">
        <f>first_year+36</f>
        <v>2062</v>
      </c>
      <c r="L119" s="72"/>
      <c r="M119" s="72"/>
      <c r="N119" s="72"/>
      <c r="O119" s="72"/>
      <c r="P119" s="72"/>
      <c r="Q119" s="72"/>
      <c r="R119" s="72"/>
      <c r="S119" s="72"/>
      <c r="T119" s="351" t="b" cm="1">
        <f t="array" aca="1" ref="T119" ca="1">T118</f>
        <v>0</v>
      </c>
      <c r="U119" s="72"/>
      <c r="V119" s="72"/>
      <c r="W119" s="72"/>
      <c r="X119" s="1024"/>
      <c r="Y119" s="1024"/>
      <c r="Z119" s="1008"/>
      <c r="AA119" s="1126"/>
      <c r="AB119" s="167" t="str">
        <f t="shared" si="7"/>
        <v>2062 год</v>
      </c>
      <c r="AC119" s="307"/>
      <c r="AD119" s="920"/>
      <c r="AE119" s="919"/>
      <c r="AF119" s="919"/>
      <c r="AG119" s="920"/>
      <c r="AH119" s="919"/>
      <c r="AI119" s="920"/>
      <c r="AJ119" s="919"/>
      <c r="AK119" s="921"/>
      <c r="AL119" s="303"/>
      <c r="AM119" s="72"/>
      <c r="AN119" s="694" cm="1">
        <f t="array" ref="AN119">K119</f>
        <v>2062</v>
      </c>
      <c r="AO119" s="694" t="s">
        <v>2305</v>
      </c>
      <c r="AP119" s="704" cm="1">
        <f t="array" ref="AP119">AP118</f>
        <v>0</v>
      </c>
      <c r="AQ119" s="505"/>
      <c r="AR119" s="505"/>
    </row>
    <row r="120" spans="1:44" s="914" customFormat="1" ht="14.25" hidden="1" customHeight="1">
      <c r="A120" s="72"/>
      <c r="B120" s="340" t="b">
        <f t="shared" si="6"/>
        <v>0</v>
      </c>
      <c r="C120" s="72"/>
      <c r="D120" s="72"/>
      <c r="E120" s="505">
        <v>15</v>
      </c>
      <c r="F120" s="3" t="str" cm="1">
        <f t="array" aca="1" ref="F120" ca="1">OFFSET(E120,-1,1)</f>
        <v>1</v>
      </c>
      <c r="G120" s="17" cm="1">
        <f t="array" ref="G120">G119</f>
        <v>0</v>
      </c>
      <c r="H120" s="72"/>
      <c r="I120" s="72"/>
      <c r="J120" s="72"/>
      <c r="K120" s="72">
        <f>first_year+37</f>
        <v>2063</v>
      </c>
      <c r="L120" s="72"/>
      <c r="M120" s="72"/>
      <c r="N120" s="72"/>
      <c r="O120" s="72"/>
      <c r="P120" s="72"/>
      <c r="Q120" s="72"/>
      <c r="R120" s="72"/>
      <c r="S120" s="72"/>
      <c r="T120" s="351" t="b" cm="1">
        <f t="array" aca="1" ref="T120" ca="1">T119</f>
        <v>0</v>
      </c>
      <c r="U120" s="72"/>
      <c r="V120" s="72"/>
      <c r="W120" s="72"/>
      <c r="X120" s="1024"/>
      <c r="Y120" s="1024"/>
      <c r="Z120" s="1008"/>
      <c r="AA120" s="1126"/>
      <c r="AB120" s="167" t="str">
        <f t="shared" si="7"/>
        <v>2063 год</v>
      </c>
      <c r="AC120" s="307"/>
      <c r="AD120" s="920"/>
      <c r="AE120" s="919"/>
      <c r="AF120" s="919"/>
      <c r="AG120" s="920"/>
      <c r="AH120" s="919"/>
      <c r="AI120" s="920"/>
      <c r="AJ120" s="919"/>
      <c r="AK120" s="921"/>
      <c r="AL120" s="303"/>
      <c r="AM120" s="72"/>
      <c r="AN120" s="694" cm="1">
        <f t="array" ref="AN120">K120</f>
        <v>2063</v>
      </c>
      <c r="AO120" s="694" t="s">
        <v>2305</v>
      </c>
      <c r="AP120" s="704" cm="1">
        <f t="array" ref="AP120">AP119</f>
        <v>0</v>
      </c>
      <c r="AQ120" s="505"/>
      <c r="AR120" s="505"/>
    </row>
    <row r="121" spans="1:44" s="914" customFormat="1" ht="14.25" hidden="1" customHeight="1">
      <c r="A121" s="72"/>
      <c r="B121" s="340" t="b">
        <f t="shared" si="6"/>
        <v>0</v>
      </c>
      <c r="C121" s="72"/>
      <c r="D121" s="72"/>
      <c r="E121" s="505">
        <v>15</v>
      </c>
      <c r="F121" s="3" t="str" cm="1">
        <f t="array" aca="1" ref="F121" ca="1">OFFSET(E121,-1,1)</f>
        <v>1</v>
      </c>
      <c r="G121" s="17" cm="1">
        <f t="array" ref="G121">G120</f>
        <v>0</v>
      </c>
      <c r="H121" s="72"/>
      <c r="I121" s="72"/>
      <c r="J121" s="72"/>
      <c r="K121" s="72">
        <f>first_year+38</f>
        <v>2064</v>
      </c>
      <c r="L121" s="72"/>
      <c r="M121" s="72"/>
      <c r="N121" s="72"/>
      <c r="O121" s="72"/>
      <c r="P121" s="72"/>
      <c r="Q121" s="72"/>
      <c r="R121" s="72"/>
      <c r="S121" s="72"/>
      <c r="T121" s="351" t="b" cm="1">
        <f t="array" aca="1" ref="T121" ca="1">T120</f>
        <v>0</v>
      </c>
      <c r="U121" s="72"/>
      <c r="V121" s="72"/>
      <c r="W121" s="72"/>
      <c r="X121" s="1024"/>
      <c r="Y121" s="1024"/>
      <c r="Z121" s="1008"/>
      <c r="AA121" s="1126"/>
      <c r="AB121" s="167" t="str">
        <f t="shared" si="7"/>
        <v>2064 год</v>
      </c>
      <c r="AC121" s="307"/>
      <c r="AD121" s="920"/>
      <c r="AE121" s="919"/>
      <c r="AF121" s="919"/>
      <c r="AG121" s="920"/>
      <c r="AH121" s="919"/>
      <c r="AI121" s="920"/>
      <c r="AJ121" s="919"/>
      <c r="AK121" s="921"/>
      <c r="AL121" s="303"/>
      <c r="AM121" s="72"/>
      <c r="AN121" s="694" cm="1">
        <f t="array" ref="AN121">K121</f>
        <v>2064</v>
      </c>
      <c r="AO121" s="694" t="s">
        <v>2305</v>
      </c>
      <c r="AP121" s="704" cm="1">
        <f t="array" ref="AP121">AP120</f>
        <v>0</v>
      </c>
      <c r="AQ121" s="505"/>
      <c r="AR121" s="505"/>
    </row>
    <row r="122" spans="1:44" s="914" customFormat="1" ht="14.25" hidden="1" customHeight="1">
      <c r="A122" s="72"/>
      <c r="B122" s="340" t="b">
        <f t="shared" si="6"/>
        <v>0</v>
      </c>
      <c r="C122" s="72"/>
      <c r="D122" s="72"/>
      <c r="E122" s="505">
        <v>15</v>
      </c>
      <c r="F122" s="3" t="str" cm="1">
        <f t="array" aca="1" ref="F122" ca="1">OFFSET(E122,-1,1)</f>
        <v>1</v>
      </c>
      <c r="G122" s="17" cm="1">
        <f t="array" ref="G122">G121</f>
        <v>0</v>
      </c>
      <c r="H122" s="72"/>
      <c r="I122" s="72"/>
      <c r="J122" s="72"/>
      <c r="K122" s="72">
        <f>first_year+39</f>
        <v>2065</v>
      </c>
      <c r="L122" s="72"/>
      <c r="M122" s="72"/>
      <c r="N122" s="72"/>
      <c r="O122" s="72"/>
      <c r="P122" s="72"/>
      <c r="Q122" s="72"/>
      <c r="R122" s="72"/>
      <c r="S122" s="72"/>
      <c r="T122" s="351" t="b" cm="1">
        <f t="array" aca="1" ref="T122" ca="1">T121</f>
        <v>0</v>
      </c>
      <c r="U122" s="72"/>
      <c r="V122" s="72"/>
      <c r="W122" s="72"/>
      <c r="X122" s="1024"/>
      <c r="Y122" s="1024"/>
      <c r="Z122" s="1008"/>
      <c r="AA122" s="1126"/>
      <c r="AB122" s="167" t="str">
        <f t="shared" si="7"/>
        <v>2065 год</v>
      </c>
      <c r="AC122" s="307"/>
      <c r="AD122" s="920"/>
      <c r="AE122" s="919"/>
      <c r="AF122" s="919"/>
      <c r="AG122" s="920"/>
      <c r="AH122" s="919"/>
      <c r="AI122" s="920"/>
      <c r="AJ122" s="919"/>
      <c r="AK122" s="921"/>
      <c r="AL122" s="303"/>
      <c r="AM122" s="72"/>
      <c r="AN122" s="694" cm="1">
        <f t="array" ref="AN122">K122</f>
        <v>2065</v>
      </c>
      <c r="AO122" s="694" t="s">
        <v>2305</v>
      </c>
      <c r="AP122" s="704" cm="1">
        <f t="array" ref="AP122">AP121</f>
        <v>0</v>
      </c>
      <c r="AQ122" s="505"/>
      <c r="AR122" s="505"/>
    </row>
    <row r="123" spans="1:44" s="914" customFormat="1" ht="14.25" hidden="1" customHeight="1">
      <c r="A123" s="72"/>
      <c r="B123" s="340" t="b">
        <f t="shared" si="6"/>
        <v>0</v>
      </c>
      <c r="C123" s="72"/>
      <c r="D123" s="72"/>
      <c r="E123" s="505">
        <v>15</v>
      </c>
      <c r="F123" s="3" t="str" cm="1">
        <f t="array" aca="1" ref="F123" ca="1">OFFSET(E123,-1,1)</f>
        <v>1</v>
      </c>
      <c r="G123" s="17" cm="1">
        <f t="array" ref="G123">G122</f>
        <v>0</v>
      </c>
      <c r="H123" s="72"/>
      <c r="I123" s="72"/>
      <c r="J123" s="72"/>
      <c r="K123" s="72">
        <f>first_year+40</f>
        <v>2066</v>
      </c>
      <c r="L123" s="72"/>
      <c r="M123" s="72"/>
      <c r="N123" s="72"/>
      <c r="O123" s="72"/>
      <c r="P123" s="72"/>
      <c r="Q123" s="72"/>
      <c r="R123" s="72"/>
      <c r="S123" s="72"/>
      <c r="T123" s="351" t="b" cm="1">
        <f t="array" aca="1" ref="T123" ca="1">T122</f>
        <v>0</v>
      </c>
      <c r="U123" s="72"/>
      <c r="V123" s="72"/>
      <c r="W123" s="72"/>
      <c r="X123" s="1024"/>
      <c r="Y123" s="1024"/>
      <c r="Z123" s="1008"/>
      <c r="AA123" s="1126"/>
      <c r="AB123" s="167" t="str">
        <f t="shared" si="7"/>
        <v>2066 год</v>
      </c>
      <c r="AC123" s="307"/>
      <c r="AD123" s="920"/>
      <c r="AE123" s="919"/>
      <c r="AF123" s="919"/>
      <c r="AG123" s="920"/>
      <c r="AH123" s="919"/>
      <c r="AI123" s="920"/>
      <c r="AJ123" s="919"/>
      <c r="AK123" s="921"/>
      <c r="AL123" s="303"/>
      <c r="AM123" s="72"/>
      <c r="AN123" s="694" cm="1">
        <f t="array" ref="AN123">K123</f>
        <v>2066</v>
      </c>
      <c r="AO123" s="694" t="s">
        <v>2305</v>
      </c>
      <c r="AP123" s="704" cm="1">
        <f t="array" ref="AP123">AP122</f>
        <v>0</v>
      </c>
      <c r="AQ123" s="505"/>
      <c r="AR123" s="505"/>
    </row>
    <row r="124" spans="1:44" s="914" customFormat="1" ht="14.25" hidden="1" customHeight="1">
      <c r="A124" s="72"/>
      <c r="B124" s="340" t="b">
        <f t="shared" si="6"/>
        <v>0</v>
      </c>
      <c r="C124" s="72"/>
      <c r="D124" s="72"/>
      <c r="E124" s="505">
        <v>15</v>
      </c>
      <c r="F124" s="3" t="str" cm="1">
        <f t="array" aca="1" ref="F124" ca="1">OFFSET(E124,-1,1)</f>
        <v>1</v>
      </c>
      <c r="G124" s="17" cm="1">
        <f t="array" ref="G124">G123</f>
        <v>0</v>
      </c>
      <c r="H124" s="72"/>
      <c r="I124" s="72"/>
      <c r="J124" s="72"/>
      <c r="K124" s="72">
        <f>first_year+41</f>
        <v>2067</v>
      </c>
      <c r="L124" s="72"/>
      <c r="M124" s="72"/>
      <c r="N124" s="72"/>
      <c r="O124" s="72"/>
      <c r="P124" s="72"/>
      <c r="Q124" s="72"/>
      <c r="R124" s="72"/>
      <c r="S124" s="72"/>
      <c r="T124" s="351" t="b" cm="1">
        <f t="array" aca="1" ref="T124" ca="1">T123</f>
        <v>0</v>
      </c>
      <c r="U124" s="72"/>
      <c r="V124" s="72"/>
      <c r="W124" s="72"/>
      <c r="X124" s="1024"/>
      <c r="Y124" s="1024"/>
      <c r="Z124" s="1008"/>
      <c r="AA124" s="1126"/>
      <c r="AB124" s="167" t="str">
        <f t="shared" si="7"/>
        <v>2067 год</v>
      </c>
      <c r="AC124" s="307"/>
      <c r="AD124" s="920"/>
      <c r="AE124" s="919"/>
      <c r="AF124" s="919"/>
      <c r="AG124" s="920"/>
      <c r="AH124" s="919"/>
      <c r="AI124" s="920"/>
      <c r="AJ124" s="919"/>
      <c r="AK124" s="921"/>
      <c r="AL124" s="303"/>
      <c r="AM124" s="72"/>
      <c r="AN124" s="694" cm="1">
        <f t="array" ref="AN124">K124</f>
        <v>2067</v>
      </c>
      <c r="AO124" s="694" t="s">
        <v>2305</v>
      </c>
      <c r="AP124" s="704" cm="1">
        <f t="array" ref="AP124">AP123</f>
        <v>0</v>
      </c>
      <c r="AQ124" s="505"/>
      <c r="AR124" s="505"/>
    </row>
    <row r="125" spans="1:44" s="914" customFormat="1" ht="14.25" hidden="1" customHeight="1">
      <c r="A125" s="72"/>
      <c r="B125" s="340" t="b">
        <f t="shared" si="6"/>
        <v>0</v>
      </c>
      <c r="C125" s="72"/>
      <c r="D125" s="72"/>
      <c r="E125" s="505">
        <v>15</v>
      </c>
      <c r="F125" s="3" t="str" cm="1">
        <f t="array" aca="1" ref="F125" ca="1">OFFSET(E125,-1,1)</f>
        <v>1</v>
      </c>
      <c r="G125" s="17" cm="1">
        <f t="array" ref="G125">G124</f>
        <v>0</v>
      </c>
      <c r="H125" s="72"/>
      <c r="I125" s="72"/>
      <c r="J125" s="72"/>
      <c r="K125" s="72">
        <f>first_year+42</f>
        <v>2068</v>
      </c>
      <c r="L125" s="72"/>
      <c r="M125" s="72"/>
      <c r="N125" s="72"/>
      <c r="O125" s="72"/>
      <c r="P125" s="72"/>
      <c r="Q125" s="72"/>
      <c r="R125" s="72"/>
      <c r="S125" s="72"/>
      <c r="T125" s="351" t="b" cm="1">
        <f t="array" aca="1" ref="T125" ca="1">T124</f>
        <v>0</v>
      </c>
      <c r="U125" s="72"/>
      <c r="V125" s="72"/>
      <c r="W125" s="72"/>
      <c r="X125" s="1024"/>
      <c r="Y125" s="1024"/>
      <c r="Z125" s="1008"/>
      <c r="AA125" s="1126"/>
      <c r="AB125" s="167" t="str">
        <f t="shared" si="7"/>
        <v>2068 год</v>
      </c>
      <c r="AC125" s="307"/>
      <c r="AD125" s="920"/>
      <c r="AE125" s="919"/>
      <c r="AF125" s="919"/>
      <c r="AG125" s="920"/>
      <c r="AH125" s="919"/>
      <c r="AI125" s="920"/>
      <c r="AJ125" s="919"/>
      <c r="AK125" s="921"/>
      <c r="AL125" s="303"/>
      <c r="AM125" s="72"/>
      <c r="AN125" s="694" cm="1">
        <f t="array" ref="AN125">K125</f>
        <v>2068</v>
      </c>
      <c r="AO125" s="694" t="s">
        <v>2305</v>
      </c>
      <c r="AP125" s="704" cm="1">
        <f t="array" ref="AP125">AP124</f>
        <v>0</v>
      </c>
      <c r="AQ125" s="505"/>
      <c r="AR125" s="505"/>
    </row>
    <row r="126" spans="1:44" s="914" customFormat="1" ht="14.25" hidden="1" customHeight="1">
      <c r="A126" s="72"/>
      <c r="B126" s="340" t="b">
        <f t="shared" si="6"/>
        <v>0</v>
      </c>
      <c r="C126" s="72"/>
      <c r="D126" s="72"/>
      <c r="E126" s="505">
        <v>15</v>
      </c>
      <c r="F126" s="3" t="str" cm="1">
        <f t="array" aca="1" ref="F126" ca="1">OFFSET(E126,-1,1)</f>
        <v>1</v>
      </c>
      <c r="G126" s="17" cm="1">
        <f t="array" ref="G126">G125</f>
        <v>0</v>
      </c>
      <c r="H126" s="72"/>
      <c r="I126" s="72"/>
      <c r="J126" s="72"/>
      <c r="K126" s="72">
        <f>first_year+43</f>
        <v>2069</v>
      </c>
      <c r="L126" s="72"/>
      <c r="M126" s="72"/>
      <c r="N126" s="72"/>
      <c r="O126" s="72"/>
      <c r="P126" s="72"/>
      <c r="Q126" s="72"/>
      <c r="R126" s="72"/>
      <c r="S126" s="72"/>
      <c r="T126" s="351" t="b" cm="1">
        <f t="array" aca="1" ref="T126" ca="1">T125</f>
        <v>0</v>
      </c>
      <c r="U126" s="72"/>
      <c r="V126" s="72"/>
      <c r="W126" s="72"/>
      <c r="X126" s="1024"/>
      <c r="Y126" s="1024"/>
      <c r="Z126" s="1008"/>
      <c r="AA126" s="1126"/>
      <c r="AB126" s="167" t="str">
        <f t="shared" si="7"/>
        <v>2069 год</v>
      </c>
      <c r="AC126" s="307"/>
      <c r="AD126" s="920"/>
      <c r="AE126" s="919"/>
      <c r="AF126" s="919"/>
      <c r="AG126" s="920"/>
      <c r="AH126" s="919"/>
      <c r="AI126" s="920"/>
      <c r="AJ126" s="919"/>
      <c r="AK126" s="921"/>
      <c r="AL126" s="303"/>
      <c r="AM126" s="72"/>
      <c r="AN126" s="694" cm="1">
        <f t="array" ref="AN126">K126</f>
        <v>2069</v>
      </c>
      <c r="AO126" s="694" t="s">
        <v>2305</v>
      </c>
      <c r="AP126" s="704" cm="1">
        <f t="array" ref="AP126">AP125</f>
        <v>0</v>
      </c>
      <c r="AQ126" s="505"/>
      <c r="AR126" s="505"/>
    </row>
    <row r="127" spans="1:44" s="914" customFormat="1" ht="14.25" hidden="1" customHeight="1">
      <c r="A127" s="72"/>
      <c r="B127" s="340" t="b">
        <f t="shared" si="6"/>
        <v>0</v>
      </c>
      <c r="C127" s="72"/>
      <c r="D127" s="72"/>
      <c r="E127" s="505">
        <v>15</v>
      </c>
      <c r="F127" s="3" t="str" cm="1">
        <f t="array" aca="1" ref="F127" ca="1">OFFSET(E127,-1,1)</f>
        <v>1</v>
      </c>
      <c r="G127" s="17" cm="1">
        <f t="array" ref="G127">G126</f>
        <v>0</v>
      </c>
      <c r="H127" s="72"/>
      <c r="I127" s="72"/>
      <c r="J127" s="72"/>
      <c r="K127" s="72">
        <f>first_year+44</f>
        <v>2070</v>
      </c>
      <c r="L127" s="72"/>
      <c r="M127" s="72"/>
      <c r="N127" s="72"/>
      <c r="O127" s="72"/>
      <c r="P127" s="72"/>
      <c r="Q127" s="72"/>
      <c r="R127" s="72"/>
      <c r="S127" s="72"/>
      <c r="T127" s="351" t="b" cm="1">
        <f t="array" aca="1" ref="T127" ca="1">T126</f>
        <v>0</v>
      </c>
      <c r="U127" s="72"/>
      <c r="V127" s="72"/>
      <c r="W127" s="72"/>
      <c r="X127" s="1024"/>
      <c r="Y127" s="1024"/>
      <c r="Z127" s="1008"/>
      <c r="AA127" s="1126"/>
      <c r="AB127" s="167" t="str">
        <f t="shared" si="7"/>
        <v>2070 год</v>
      </c>
      <c r="AC127" s="307"/>
      <c r="AD127" s="920"/>
      <c r="AE127" s="919"/>
      <c r="AF127" s="919"/>
      <c r="AG127" s="920"/>
      <c r="AH127" s="919"/>
      <c r="AI127" s="920"/>
      <c r="AJ127" s="919"/>
      <c r="AK127" s="921"/>
      <c r="AL127" s="303"/>
      <c r="AM127" s="72"/>
      <c r="AN127" s="694" cm="1">
        <f t="array" ref="AN127">K127</f>
        <v>2070</v>
      </c>
      <c r="AO127" s="694" t="s">
        <v>2305</v>
      </c>
      <c r="AP127" s="704" cm="1">
        <f t="array" ref="AP127">AP126</f>
        <v>0</v>
      </c>
      <c r="AQ127" s="505"/>
      <c r="AR127" s="505"/>
    </row>
    <row r="128" spans="1:44" s="914" customFormat="1" ht="14.25" hidden="1" customHeight="1">
      <c r="A128" s="72"/>
      <c r="B128" s="340" t="b">
        <f t="shared" si="6"/>
        <v>0</v>
      </c>
      <c r="C128" s="72"/>
      <c r="D128" s="72"/>
      <c r="E128" s="505">
        <v>15</v>
      </c>
      <c r="F128" s="3" t="str" cm="1">
        <f t="array" aca="1" ref="F128" ca="1">OFFSET(E128,-1,1)</f>
        <v>1</v>
      </c>
      <c r="G128" s="17" cm="1">
        <f t="array" ref="G128">G127</f>
        <v>0</v>
      </c>
      <c r="H128" s="72"/>
      <c r="I128" s="72"/>
      <c r="J128" s="72"/>
      <c r="K128" s="72">
        <f>first_year+45</f>
        <v>2071</v>
      </c>
      <c r="L128" s="72"/>
      <c r="M128" s="72"/>
      <c r="N128" s="72"/>
      <c r="O128" s="72"/>
      <c r="P128" s="72"/>
      <c r="Q128" s="72"/>
      <c r="R128" s="72"/>
      <c r="S128" s="72"/>
      <c r="T128" s="351" t="b" cm="1">
        <f t="array" aca="1" ref="T128" ca="1">T127</f>
        <v>0</v>
      </c>
      <c r="U128" s="72"/>
      <c r="V128" s="72"/>
      <c r="W128" s="72"/>
      <c r="X128" s="1024"/>
      <c r="Y128" s="1024"/>
      <c r="Z128" s="1008"/>
      <c r="AA128" s="1126"/>
      <c r="AB128" s="167" t="str">
        <f t="shared" si="7"/>
        <v>2071 год</v>
      </c>
      <c r="AC128" s="307"/>
      <c r="AD128" s="920"/>
      <c r="AE128" s="919"/>
      <c r="AF128" s="919"/>
      <c r="AG128" s="920"/>
      <c r="AH128" s="919"/>
      <c r="AI128" s="920"/>
      <c r="AJ128" s="919"/>
      <c r="AK128" s="921"/>
      <c r="AL128" s="303"/>
      <c r="AM128" s="72"/>
      <c r="AN128" s="694" cm="1">
        <f t="array" ref="AN128">K128</f>
        <v>2071</v>
      </c>
      <c r="AO128" s="694" t="s">
        <v>2305</v>
      </c>
      <c r="AP128" s="704" cm="1">
        <f t="array" ref="AP128">AP127</f>
        <v>0</v>
      </c>
      <c r="AQ128" s="505"/>
      <c r="AR128" s="505"/>
    </row>
    <row r="129" spans="1:44" s="914" customFormat="1" ht="14.25" hidden="1" customHeight="1">
      <c r="A129" s="72"/>
      <c r="B129" s="340" t="b">
        <f t="shared" si="6"/>
        <v>0</v>
      </c>
      <c r="C129" s="72"/>
      <c r="D129" s="72"/>
      <c r="E129" s="505">
        <v>15</v>
      </c>
      <c r="F129" s="3" t="str" cm="1">
        <f t="array" aca="1" ref="F129" ca="1">OFFSET(E129,-1,1)</f>
        <v>1</v>
      </c>
      <c r="G129" s="17" cm="1">
        <f t="array" ref="G129">G128</f>
        <v>0</v>
      </c>
      <c r="H129" s="72"/>
      <c r="I129" s="72"/>
      <c r="J129" s="72"/>
      <c r="K129" s="72">
        <f>first_year+46</f>
        <v>2072</v>
      </c>
      <c r="L129" s="72"/>
      <c r="M129" s="72"/>
      <c r="N129" s="72"/>
      <c r="O129" s="72"/>
      <c r="P129" s="72"/>
      <c r="Q129" s="72"/>
      <c r="R129" s="72"/>
      <c r="S129" s="72"/>
      <c r="T129" s="351" t="b" cm="1">
        <f t="array" aca="1" ref="T129" ca="1">T128</f>
        <v>0</v>
      </c>
      <c r="U129" s="72"/>
      <c r="V129" s="72"/>
      <c r="W129" s="72"/>
      <c r="X129" s="1024"/>
      <c r="Y129" s="1024"/>
      <c r="Z129" s="1008"/>
      <c r="AA129" s="1126"/>
      <c r="AB129" s="167" t="str">
        <f t="shared" si="7"/>
        <v>2072 год</v>
      </c>
      <c r="AC129" s="307"/>
      <c r="AD129" s="920"/>
      <c r="AE129" s="919"/>
      <c r="AF129" s="919"/>
      <c r="AG129" s="920"/>
      <c r="AH129" s="919"/>
      <c r="AI129" s="920"/>
      <c r="AJ129" s="919"/>
      <c r="AK129" s="921"/>
      <c r="AL129" s="303"/>
      <c r="AM129" s="72"/>
      <c r="AN129" s="694" cm="1">
        <f t="array" ref="AN129">K129</f>
        <v>2072</v>
      </c>
      <c r="AO129" s="694" t="s">
        <v>2305</v>
      </c>
      <c r="AP129" s="704" cm="1">
        <f t="array" ref="AP129">AP128</f>
        <v>0</v>
      </c>
      <c r="AQ129" s="505"/>
      <c r="AR129" s="505"/>
    </row>
    <row r="130" spans="1:44" s="914" customFormat="1" ht="14.25" hidden="1" customHeight="1">
      <c r="A130" s="72"/>
      <c r="B130" s="340" t="b">
        <f t="shared" si="6"/>
        <v>0</v>
      </c>
      <c r="C130" s="72"/>
      <c r="D130" s="72"/>
      <c r="E130" s="505">
        <v>15</v>
      </c>
      <c r="F130" s="3" t="str" cm="1">
        <f t="array" aca="1" ref="F130" ca="1">OFFSET(E130,-1,1)</f>
        <v>1</v>
      </c>
      <c r="G130" s="17" cm="1">
        <f t="array" ref="G130">G129</f>
        <v>0</v>
      </c>
      <c r="H130" s="72"/>
      <c r="I130" s="72"/>
      <c r="J130" s="72"/>
      <c r="K130" s="72">
        <f>first_year+47</f>
        <v>2073</v>
      </c>
      <c r="L130" s="72"/>
      <c r="M130" s="72"/>
      <c r="N130" s="72"/>
      <c r="O130" s="72"/>
      <c r="P130" s="72"/>
      <c r="Q130" s="72"/>
      <c r="R130" s="72"/>
      <c r="S130" s="72"/>
      <c r="T130" s="351" t="b" cm="1">
        <f t="array" aca="1" ref="T130" ca="1">T129</f>
        <v>0</v>
      </c>
      <c r="U130" s="72"/>
      <c r="V130" s="72"/>
      <c r="W130" s="72"/>
      <c r="X130" s="1024"/>
      <c r="Y130" s="1024"/>
      <c r="Z130" s="1008"/>
      <c r="AA130" s="1126"/>
      <c r="AB130" s="167" t="str">
        <f t="shared" si="7"/>
        <v>2073 год</v>
      </c>
      <c r="AC130" s="307"/>
      <c r="AD130" s="920"/>
      <c r="AE130" s="919"/>
      <c r="AF130" s="919"/>
      <c r="AG130" s="920"/>
      <c r="AH130" s="919"/>
      <c r="AI130" s="920"/>
      <c r="AJ130" s="919"/>
      <c r="AK130" s="921"/>
      <c r="AL130" s="303"/>
      <c r="AM130" s="72"/>
      <c r="AN130" s="694" cm="1">
        <f t="array" ref="AN130">K130</f>
        <v>2073</v>
      </c>
      <c r="AO130" s="694" t="s">
        <v>2305</v>
      </c>
      <c r="AP130" s="704" cm="1">
        <f t="array" ref="AP130">AP129</f>
        <v>0</v>
      </c>
      <c r="AQ130" s="505"/>
      <c r="AR130" s="505"/>
    </row>
    <row r="131" spans="1:44" s="914" customFormat="1" ht="14.25" hidden="1" customHeight="1">
      <c r="A131" s="72"/>
      <c r="B131" s="340" t="b">
        <f t="shared" si="6"/>
        <v>0</v>
      </c>
      <c r="C131" s="72"/>
      <c r="D131" s="72"/>
      <c r="E131" s="505">
        <v>15</v>
      </c>
      <c r="F131" s="3" t="str" cm="1">
        <f t="array" aca="1" ref="F131" ca="1">OFFSET(E131,-1,1)</f>
        <v>1</v>
      </c>
      <c r="G131" s="17" cm="1">
        <f t="array" ref="G131">G130</f>
        <v>0</v>
      </c>
      <c r="H131" s="72"/>
      <c r="I131" s="72"/>
      <c r="J131" s="72"/>
      <c r="K131" s="72">
        <f>first_year+48</f>
        <v>2074</v>
      </c>
      <c r="L131" s="72"/>
      <c r="M131" s="72"/>
      <c r="N131" s="72"/>
      <c r="O131" s="72"/>
      <c r="P131" s="72"/>
      <c r="Q131" s="72"/>
      <c r="R131" s="72"/>
      <c r="S131" s="72"/>
      <c r="T131" s="351" t="b" cm="1">
        <f t="array" aca="1" ref="T131" ca="1">T130</f>
        <v>0</v>
      </c>
      <c r="U131" s="72"/>
      <c r="V131" s="72"/>
      <c r="W131" s="72"/>
      <c r="X131" s="1024"/>
      <c r="Y131" s="1024"/>
      <c r="Z131" s="1008"/>
      <c r="AA131" s="1126"/>
      <c r="AB131" s="167" t="str">
        <f t="shared" si="7"/>
        <v>2074 год</v>
      </c>
      <c r="AC131" s="307"/>
      <c r="AD131" s="920"/>
      <c r="AE131" s="919"/>
      <c r="AF131" s="919"/>
      <c r="AG131" s="920"/>
      <c r="AH131" s="919"/>
      <c r="AI131" s="920"/>
      <c r="AJ131" s="919"/>
      <c r="AK131" s="921"/>
      <c r="AL131" s="303"/>
      <c r="AM131" s="72"/>
      <c r="AN131" s="694" cm="1">
        <f t="array" ref="AN131">K131</f>
        <v>2074</v>
      </c>
      <c r="AO131" s="694" t="s">
        <v>2305</v>
      </c>
      <c r="AP131" s="704" cm="1">
        <f t="array" ref="AP131">AP130</f>
        <v>0</v>
      </c>
      <c r="AQ131" s="505"/>
      <c r="AR131" s="505"/>
    </row>
    <row r="132" spans="1:44" s="914" customFormat="1" ht="14.25" hidden="1" customHeight="1">
      <c r="A132" s="72"/>
      <c r="B132" s="340" t="b">
        <f t="shared" si="6"/>
        <v>0</v>
      </c>
      <c r="C132" s="72"/>
      <c r="D132" s="72"/>
      <c r="E132" s="505">
        <v>15</v>
      </c>
      <c r="F132" s="3" t="str" cm="1">
        <f t="array" aca="1" ref="F132" ca="1">OFFSET(E132,-1,1)</f>
        <v>1</v>
      </c>
      <c r="G132" s="17" cm="1">
        <f t="array" ref="G132">G131</f>
        <v>0</v>
      </c>
      <c r="H132" s="72"/>
      <c r="I132" s="72"/>
      <c r="J132" s="72"/>
      <c r="K132" s="72">
        <f>first_year+49</f>
        <v>2075</v>
      </c>
      <c r="L132" s="72"/>
      <c r="M132" s="72"/>
      <c r="N132" s="72"/>
      <c r="O132" s="72"/>
      <c r="P132" s="72"/>
      <c r="Q132" s="72"/>
      <c r="R132" s="72"/>
      <c r="S132" s="72"/>
      <c r="T132" s="351" t="b" cm="1">
        <f t="array" aca="1" ref="T132" ca="1">T131</f>
        <v>0</v>
      </c>
      <c r="U132" s="72"/>
      <c r="V132" s="72"/>
      <c r="W132" s="72"/>
      <c r="X132" s="1024"/>
      <c r="Y132" s="1024"/>
      <c r="Z132" s="1008"/>
      <c r="AA132" s="1126"/>
      <c r="AB132" s="167" t="str">
        <f t="shared" si="7"/>
        <v>2075 год</v>
      </c>
      <c r="AC132" s="307"/>
      <c r="AD132" s="920"/>
      <c r="AE132" s="919"/>
      <c r="AF132" s="919"/>
      <c r="AG132" s="920"/>
      <c r="AH132" s="919"/>
      <c r="AI132" s="920"/>
      <c r="AJ132" s="919"/>
      <c r="AK132" s="921"/>
      <c r="AL132" s="303"/>
      <c r="AM132" s="72"/>
      <c r="AN132" s="694" cm="1">
        <f t="array" ref="AN132">K132</f>
        <v>2075</v>
      </c>
      <c r="AO132" s="694" t="s">
        <v>2305</v>
      </c>
      <c r="AP132" s="704" cm="1">
        <f t="array" ref="AP132">AP131</f>
        <v>0</v>
      </c>
      <c r="AQ132" s="505"/>
      <c r="AR132" s="505"/>
    </row>
    <row r="133" spans="1:44" ht="14.25" customHeight="1">
      <c r="A133" s="72"/>
      <c r="B133" s="328"/>
      <c r="C133" s="72"/>
      <c r="D133" s="72"/>
      <c r="E133" s="505">
        <v>15</v>
      </c>
      <c r="F133" s="764" t="str" cm="1">
        <f t="array" aca="1" ref="F133" ca="1">OFFSET(E133,-1,1)</f>
        <v>1</v>
      </c>
      <c r="G133" s="72" t="str">
        <f>"!== 'не определено'"</f>
        <v>!== 'не определено'</v>
      </c>
      <c r="H133" s="72"/>
      <c r="I133" s="72"/>
      <c r="J133" s="72"/>
      <c r="K133" s="72"/>
      <c r="L133" s="72"/>
      <c r="M133" s="72"/>
      <c r="N133" s="72"/>
      <c r="O133" s="72"/>
      <c r="P133" s="72"/>
      <c r="Q133" s="72"/>
      <c r="R133" s="72"/>
      <c r="S133" s="72"/>
      <c r="T133" s="351" t="b">
        <f ca="1">F133&gt;0</f>
        <v>1</v>
      </c>
      <c r="U133" s="72"/>
      <c r="V133" s="72"/>
      <c r="W133" s="504" t="s">
        <v>2306</v>
      </c>
      <c r="X133" s="1024"/>
      <c r="Y133" s="72"/>
      <c r="Z133" s="1008"/>
      <c r="AA133" s="72"/>
      <c r="AB133" s="621" t="s">
        <v>175</v>
      </c>
      <c r="AC133" s="211"/>
      <c r="AD133" s="211"/>
      <c r="AE133" s="211"/>
      <c r="AF133" s="211"/>
      <c r="AG133" s="211"/>
      <c r="AH133" s="211"/>
      <c r="AI133" s="211"/>
      <c r="AJ133" s="211"/>
      <c r="AK133" s="211"/>
      <c r="AL133" s="303"/>
      <c r="AM133"/>
      <c r="AN133" s="659"/>
      <c r="AO133" s="659"/>
      <c r="AP133" s="659"/>
      <c r="AQ133" s="661" t="s">
        <v>2305</v>
      </c>
      <c r="AR133" s="452"/>
    </row>
    <row r="134" spans="1:44" ht="10.9" customHeight="1">
      <c r="E134" s="505">
        <v>11.25</v>
      </c>
      <c r="U134" s="17" t="s">
        <v>175</v>
      </c>
      <c r="V134" s="511" t="s">
        <v>2307</v>
      </c>
      <c r="AN134" s="659"/>
      <c r="AO134" s="659"/>
      <c r="AP134" s="659"/>
      <c r="AQ134" s="452"/>
      <c r="AR134" s="452"/>
    </row>
    <row r="135" spans="1:44" ht="14.65" customHeight="1">
      <c r="E135" s="459">
        <v>15</v>
      </c>
      <c r="AB135" s="1032" t="s">
        <v>396</v>
      </c>
      <c r="AC135" s="1032"/>
      <c r="AD135" s="1032"/>
      <c r="AE135" s="1032"/>
      <c r="AF135" s="1032"/>
      <c r="AG135" s="1032"/>
      <c r="AH135" s="1032"/>
      <c r="AI135" s="1032"/>
      <c r="AJ135" s="1032"/>
      <c r="AK135" s="1032"/>
    </row>
    <row r="136" spans="1:44" ht="14.65" customHeight="1">
      <c r="E136" s="459">
        <v>15</v>
      </c>
      <c r="AA136" s="479"/>
      <c r="AB136" s="1116"/>
      <c r="AC136" s="1116"/>
      <c r="AD136" s="1116"/>
      <c r="AE136" s="1116"/>
      <c r="AF136" s="1116"/>
      <c r="AG136" s="1116"/>
      <c r="AH136" s="1115"/>
      <c r="AI136" s="1115"/>
      <c r="AJ136" s="1115"/>
      <c r="AK136" s="1115"/>
    </row>
    <row r="137" spans="1:44" ht="14.65" hidden="1" customHeight="1">
      <c r="E137" s="459">
        <v>15</v>
      </c>
      <c r="T137" s="17" t="b">
        <f>ROW(W137)&gt;ROW(W$137)</f>
        <v>0</v>
      </c>
      <c r="W137" s="17" t="s">
        <v>171</v>
      </c>
      <c r="AA137" s="319" t="s">
        <v>172</v>
      </c>
      <c r="AB137" s="1115" t="s">
        <v>124</v>
      </c>
      <c r="AC137" s="1115"/>
      <c r="AD137" s="1115"/>
      <c r="AE137" s="1115"/>
      <c r="AF137" s="1115"/>
      <c r="AG137" s="1115"/>
      <c r="AH137" s="1115"/>
      <c r="AI137" s="1115"/>
      <c r="AJ137" s="1115"/>
      <c r="AK137" s="1120"/>
    </row>
    <row r="138" spans="1:44" ht="14.65" customHeight="1">
      <c r="E138" s="459">
        <v>15</v>
      </c>
      <c r="W138" s="504" t="s">
        <v>407</v>
      </c>
      <c r="AB138" s="472"/>
      <c r="AC138" s="380" t="s">
        <v>408</v>
      </c>
      <c r="AD138" s="220"/>
      <c r="AE138" s="220"/>
      <c r="AF138" s="220"/>
      <c r="AG138" s="220"/>
      <c r="AH138" s="220"/>
      <c r="AI138" s="220"/>
      <c r="AJ138" s="220"/>
      <c r="AK138" s="512"/>
    </row>
    <row r="139" spans="1:44" ht="10.7" customHeight="1">
      <c r="E139" s="459">
        <v>11</v>
      </c>
      <c r="AL139" s="22"/>
    </row>
  </sheetData>
  <sheetProtection formatColumns="0" formatRows="0" insertRows="0" deleteColumns="0" deleteRows="0" sort="0" autoFilter="0"/>
  <mergeCells count="18">
    <mergeCell ref="X81:X133"/>
    <mergeCell ref="Z81:Z133"/>
    <mergeCell ref="Y82:Y132"/>
    <mergeCell ref="AA82:AA132"/>
    <mergeCell ref="AB82:AK82"/>
    <mergeCell ref="X28:X80"/>
    <mergeCell ref="Z28:Z80"/>
    <mergeCell ref="Y29:Y79"/>
    <mergeCell ref="AA29:AA79"/>
    <mergeCell ref="AB29:AK29"/>
    <mergeCell ref="AB136:AK136"/>
    <mergeCell ref="AB135:AK135"/>
    <mergeCell ref="AB137:AK137"/>
    <mergeCell ref="AB24:AB26"/>
    <mergeCell ref="AC24:AC25"/>
    <mergeCell ref="AD24:AD25"/>
    <mergeCell ref="AE24:AE25"/>
    <mergeCell ref="AF24:AK24"/>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02D8-D4B6-5A68-3D58-83FA29878AA8}">
  <sheetPr>
    <tabColor rgb="FF002060"/>
    <outlinePr summaryBelow="0" summaryRight="0"/>
    <pageSetUpPr fitToPage="1"/>
  </sheetPr>
  <dimension ref="A1:AP229"/>
  <sheetViews>
    <sheetView showGridLines="0" workbookViewId="0">
      <pane xSplit="30" ySplit="25" topLeftCell="AE11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485" hidden="1" customWidth="1"/>
    <col min="2" max="2" width="9.28515625" style="22" hidden="1" customWidth="1"/>
    <col min="3" max="3" width="5.140625" style="22" hidden="1" customWidth="1"/>
    <col min="4" max="4" width="2.7109375" style="22" hidden="1" customWidth="1"/>
    <col min="5" max="5" width="5.7109375" style="447"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4"/>
    <col min="33" max="33" width="8.7109375" style="314" hidden="1"/>
    <col min="34" max="36" width="8.7109375" style="653" hidden="1"/>
    <col min="37" max="38" width="8.7109375" style="478" hidden="1"/>
    <col min="39" max="42" width="8.7109375" hidden="1"/>
  </cols>
  <sheetData>
    <row r="1" spans="1:42" ht="11.25" hidden="1" customHeight="1">
      <c r="E1" s="22"/>
      <c r="F1" s="22" t="s">
        <v>309</v>
      </c>
      <c r="H1" s="22" t="s">
        <v>320</v>
      </c>
      <c r="I1" s="22" t="s">
        <v>346</v>
      </c>
      <c r="T1" s="351" t="s">
        <v>92</v>
      </c>
      <c r="U1" s="351" t="s">
        <v>97</v>
      </c>
      <c r="V1" s="351" t="s">
        <v>93</v>
      </c>
      <c r="W1" s="351" t="s">
        <v>94</v>
      </c>
      <c r="X1" s="351" t="s">
        <v>95</v>
      </c>
      <c r="Y1" s="353" t="s">
        <v>311</v>
      </c>
      <c r="Z1" s="351" t="s">
        <v>99</v>
      </c>
      <c r="AA1" s="353" t="s">
        <v>96</v>
      </c>
      <c r="AB1" s="314"/>
      <c r="AC1" s="352" t="s">
        <v>98</v>
      </c>
      <c r="AH1" s="653" t="s">
        <v>312</v>
      </c>
      <c r="AI1" s="653" t="s">
        <v>313</v>
      </c>
      <c r="AJ1" s="653" t="s">
        <v>314</v>
      </c>
      <c r="AK1" s="478" t="s">
        <v>317</v>
      </c>
      <c r="AL1" s="478" t="s">
        <v>318</v>
      </c>
    </row>
    <row r="2" spans="1:42" ht="11.25" hidden="1" customHeight="1">
      <c r="B2" s="340" t="s">
        <v>18</v>
      </c>
      <c r="E2" s="22"/>
    </row>
    <row r="3" spans="1:42" ht="11.25" hidden="1" customHeight="1">
      <c r="E3" s="22"/>
    </row>
    <row r="4" spans="1:42" ht="11.25" hidden="1" customHeight="1">
      <c r="E4" s="22"/>
    </row>
    <row r="5" spans="1:42" s="447" customFormat="1" ht="11.25" hidden="1" customHeight="1">
      <c r="A5" s="485"/>
      <c r="B5" s="22"/>
      <c r="C5" s="22"/>
      <c r="D5" s="22"/>
      <c r="E5" s="447" t="s">
        <v>19</v>
      </c>
      <c r="AA5" s="447">
        <v>3</v>
      </c>
      <c r="AB5" s="447">
        <v>11</v>
      </c>
      <c r="AC5" s="447">
        <v>58</v>
      </c>
      <c r="AD5" s="473">
        <v>11</v>
      </c>
      <c r="AE5" s="473">
        <v>18.29</v>
      </c>
      <c r="AF5" s="478" t="s">
        <v>319</v>
      </c>
      <c r="AG5" s="478"/>
      <c r="AH5" s="653"/>
      <c r="AI5" s="653"/>
      <c r="AJ5" s="653"/>
      <c r="AK5" s="478"/>
      <c r="AL5" s="478"/>
      <c r="AM5" s="452"/>
      <c r="AN5" s="452"/>
      <c r="AO5" s="452"/>
      <c r="AP5" s="452"/>
    </row>
    <row r="6" spans="1:42" ht="13.5" hidden="1" customHeight="1">
      <c r="A6" s="485" t="s">
        <v>349</v>
      </c>
      <c r="AE6" s="17">
        <f>god-2</f>
        <v>2024</v>
      </c>
    </row>
    <row r="7" spans="1:42" ht="11.25" hidden="1" customHeight="1">
      <c r="AE7" s="17"/>
    </row>
    <row r="8" spans="1:42" ht="11.25" hidden="1" customHeight="1">
      <c r="AE8" s="17"/>
    </row>
    <row r="9" spans="1:42" ht="11.25" hidden="1" customHeight="1">
      <c r="AE9" s="17" cm="1">
        <f t="array" ref="AE9">god</f>
        <v>2026</v>
      </c>
    </row>
    <row r="10" spans="1:42" s="656" customFormat="1" ht="11.25" hidden="1" customHeight="1">
      <c r="A10" s="705" t="s">
        <v>327</v>
      </c>
      <c r="AC10" s="656" t="s">
        <v>314</v>
      </c>
      <c r="AD10" s="673"/>
      <c r="AE10" s="669"/>
      <c r="AF10" s="653"/>
      <c r="AG10" s="653"/>
      <c r="AH10" s="653"/>
      <c r="AI10" s="653"/>
      <c r="AJ10" s="653"/>
      <c r="AK10" s="478"/>
      <c r="AL10" s="478"/>
      <c r="AM10" s="659"/>
      <c r="AN10" s="659"/>
      <c r="AO10" s="659"/>
      <c r="AP10" s="659"/>
    </row>
    <row r="11" spans="1:42" ht="11.25" hidden="1" customHeight="1">
      <c r="AE11" s="17"/>
    </row>
    <row r="12" spans="1:42" ht="11.25" hidden="1" customHeight="1">
      <c r="AE12" s="17"/>
    </row>
    <row r="13" spans="1:42" ht="11.25" hidden="1" customHeight="1">
      <c r="AE13" s="17"/>
    </row>
    <row r="14" spans="1:42" ht="11.25" hidden="1" customHeight="1">
      <c r="AE14" s="17"/>
    </row>
    <row r="15" spans="1:42" ht="11.25" hidden="1" customHeight="1">
      <c r="AE15" s="17"/>
    </row>
    <row r="16" spans="1:42" ht="11.25" hidden="1" customHeight="1">
      <c r="AE16" s="17"/>
    </row>
    <row r="17" spans="1:34" ht="11.25" hidden="1" customHeight="1">
      <c r="AE17" s="38"/>
    </row>
    <row r="18" spans="1:34" ht="11.25" hidden="1" customHeight="1">
      <c r="A18" s="485" t="s">
        <v>357</v>
      </c>
      <c r="AC18" s="22" t="s">
        <v>192</v>
      </c>
    </row>
    <row r="19" spans="1:34" ht="11.25" hidden="1" customHeight="1"/>
    <row r="20" spans="1:34" ht="11.25" hidden="1" customHeight="1"/>
    <row r="21" spans="1:34" ht="14.65" customHeight="1">
      <c r="E21" s="447">
        <v>15</v>
      </c>
      <c r="AC21" s="266" t="str" cm="1">
        <f t="array" ref="AC21">tpl_title</f>
        <v>Кемеровская область / 2026 / МУП "Водоканал" (ИНН:4202043124, КПП:420201001) / ДПР: 2026-2028</v>
      </c>
    </row>
    <row r="22" spans="1:34" ht="43.9" customHeight="1">
      <c r="E22" s="447">
        <v>45</v>
      </c>
      <c r="AB22" s="112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13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13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13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c r="E23" s="447">
        <v>11.25</v>
      </c>
      <c r="AB23" s="1055"/>
      <c r="AC23" s="1055"/>
      <c r="AD23" s="1055"/>
      <c r="AE23" s="1055"/>
    </row>
    <row r="24" spans="1:34" ht="14.65" customHeight="1">
      <c r="E24" s="447">
        <v>15</v>
      </c>
      <c r="AB24" s="1028" t="s">
        <v>841</v>
      </c>
      <c r="AC24" s="1074" t="s">
        <v>192</v>
      </c>
      <c r="AD24" s="1028" t="s">
        <v>359</v>
      </c>
      <c r="AE24" s="13" t="str">
        <f>god-2&amp;" год"</f>
        <v>2024 год</v>
      </c>
    </row>
    <row r="25" spans="1:34" ht="48.75" customHeight="1">
      <c r="E25" s="447">
        <v>50</v>
      </c>
      <c r="AB25" s="1028"/>
      <c r="AC25" s="1074"/>
      <c r="AD25" s="1071"/>
      <c r="AE25" s="10" t="s">
        <v>2308</v>
      </c>
    </row>
    <row r="26" spans="1:34" ht="11.25" hidden="1" customHeight="1">
      <c r="E26" s="447">
        <v>0</v>
      </c>
      <c r="AB26" s="519"/>
      <c r="AC26" s="518"/>
      <c r="AD26" s="519"/>
      <c r="AE26" s="516"/>
    </row>
    <row r="27" spans="1:34" ht="14.65" hidden="1" customHeight="1">
      <c r="E27" s="447">
        <v>15</v>
      </c>
      <c r="F27" s="266" cm="1">
        <f t="array" ref="F27">X27</f>
        <v>0</v>
      </c>
      <c r="G27" s="22" t="s">
        <v>852</v>
      </c>
      <c r="T27" s="351" t="b">
        <f>X27&gt;0</f>
        <v>0</v>
      </c>
      <c r="V27" s="22" t="s">
        <v>266</v>
      </c>
      <c r="X27" s="1046">
        <v>0</v>
      </c>
      <c r="Z27" s="1047"/>
      <c r="AB27" s="135" t="str" cm="1">
        <f t="array" ref="AB27">INDEX('Общие сведения'!$AG$179:$AG$208,MATCH($X27,'Общие сведения'!$Z$179:$Z$208,0))</f>
        <v xml:space="preserve">Тариф 0 () - </v>
      </c>
      <c r="AC27" s="94"/>
      <c r="AD27" s="88"/>
      <c r="AE27" s="781">
        <f>AE28+AE78+AE115</f>
        <v>0</v>
      </c>
    </row>
    <row r="28" spans="1:34" ht="14.65" hidden="1" customHeight="1">
      <c r="E28" s="447">
        <v>15</v>
      </c>
      <c r="F28" s="3" cm="1">
        <f t="array" aca="1" ref="F28" ca="1">OFFSET(E28,-1,1)</f>
        <v>0</v>
      </c>
      <c r="H28" s="22" t="s">
        <v>321</v>
      </c>
      <c r="T28" s="351" t="b" cm="1">
        <f t="array" ref="T28">T27</f>
        <v>0</v>
      </c>
      <c r="X28" s="1046"/>
      <c r="Z28" s="1047"/>
      <c r="AB28" s="513" t="s">
        <v>277</v>
      </c>
      <c r="AC28" s="397" t="s">
        <v>1943</v>
      </c>
      <c r="AD28" s="398" t="s">
        <v>859</v>
      </c>
      <c r="AE28" s="404">
        <f>AE29+AE47+AE55+AE75</f>
        <v>0</v>
      </c>
      <c r="AH28" s="653" t="s">
        <v>577</v>
      </c>
    </row>
    <row r="29" spans="1:34" ht="14.65" hidden="1" customHeight="1">
      <c r="E29" s="447">
        <v>15</v>
      </c>
      <c r="F29" s="3" cm="1">
        <f t="array" aca="1" ref="F29" ca="1">OFFSET(E29,-1,1)</f>
        <v>0</v>
      </c>
      <c r="H29" s="22" t="s">
        <v>507</v>
      </c>
      <c r="T29" s="351" t="b" cm="1">
        <f t="array" ref="T29">T28</f>
        <v>0</v>
      </c>
      <c r="X29" s="1046"/>
      <c r="Z29" s="1047"/>
      <c r="AB29" s="514" t="s">
        <v>936</v>
      </c>
      <c r="AC29" s="399" t="s">
        <v>1739</v>
      </c>
      <c r="AD29" s="400" t="s">
        <v>859</v>
      </c>
      <c r="AE29" s="404">
        <f>AE30+AE31+AE32+AE37+AE38+AE39</f>
        <v>0</v>
      </c>
      <c r="AH29" s="653" t="s">
        <v>1137</v>
      </c>
    </row>
    <row r="30" spans="1:34" ht="14.65" hidden="1" customHeight="1">
      <c r="E30" s="447">
        <v>15</v>
      </c>
      <c r="F30" s="3" cm="1">
        <f t="array" aca="1" ref="F30" ca="1">OFFSET(E30,-1,1)</f>
        <v>0</v>
      </c>
      <c r="H30" s="22" t="s">
        <v>1040</v>
      </c>
      <c r="T30" s="351" t="b" cm="1">
        <f t="array" ref="T30">T29</f>
        <v>0</v>
      </c>
      <c r="X30" s="1046"/>
      <c r="Z30" s="1047"/>
      <c r="AB30" s="514" t="s">
        <v>1041</v>
      </c>
      <c r="AC30" s="401" t="s">
        <v>2309</v>
      </c>
      <c r="AD30" s="400" t="s">
        <v>859</v>
      </c>
      <c r="AE30" s="888"/>
      <c r="AH30" s="653" t="s">
        <v>1274</v>
      </c>
    </row>
    <row r="31" spans="1:34" ht="21.95" hidden="1" customHeight="1">
      <c r="E31" s="447">
        <v>22.5</v>
      </c>
      <c r="F31" s="3" cm="1">
        <f t="array" aca="1" ref="F31" ca="1">OFFSET(E31,-1,1)</f>
        <v>0</v>
      </c>
      <c r="H31" s="22" t="s">
        <v>1044</v>
      </c>
      <c r="T31" s="351" t="b" cm="1">
        <f t="array" ref="T31">T30</f>
        <v>0</v>
      </c>
      <c r="X31" s="1046"/>
      <c r="Z31" s="1047"/>
      <c r="AB31" s="514" t="s">
        <v>1045</v>
      </c>
      <c r="AC31" s="401" t="s">
        <v>1951</v>
      </c>
      <c r="AD31" s="400" t="s">
        <v>859</v>
      </c>
      <c r="AE31" s="888"/>
      <c r="AH31" s="653" t="s">
        <v>1772</v>
      </c>
    </row>
    <row r="32" spans="1:34" ht="32.85" hidden="1" customHeight="1">
      <c r="E32" s="447">
        <v>33.75</v>
      </c>
      <c r="F32" s="3" cm="1">
        <f t="array" aca="1" ref="F32" ca="1">OFFSET(E32,-1,1)</f>
        <v>0</v>
      </c>
      <c r="H32" s="22" t="s">
        <v>1353</v>
      </c>
      <c r="T32" s="351" t="b" cm="1">
        <f t="array" ref="T32">T31</f>
        <v>0</v>
      </c>
      <c r="X32" s="1046"/>
      <c r="Z32" s="1047"/>
      <c r="AB32" s="514" t="s">
        <v>1354</v>
      </c>
      <c r="AC32" s="401" t="s">
        <v>2310</v>
      </c>
      <c r="AD32" s="400" t="s">
        <v>859</v>
      </c>
      <c r="AE32" s="404">
        <f>AE33+AE36</f>
        <v>0</v>
      </c>
      <c r="AH32" s="653" t="s">
        <v>1774</v>
      </c>
    </row>
    <row r="33" spans="5:34" ht="21.95" hidden="1" customHeight="1">
      <c r="E33" s="447">
        <v>22.5</v>
      </c>
      <c r="F33" s="3" cm="1">
        <f t="array" aca="1" ref="F33" ca="1">OFFSET(E33,-1,1)</f>
        <v>0</v>
      </c>
      <c r="H33" s="22" t="s">
        <v>2311</v>
      </c>
      <c r="T33" s="351" t="b" cm="1">
        <f t="array" ref="T33">T32</f>
        <v>0</v>
      </c>
      <c r="X33" s="1046"/>
      <c r="Z33" s="1047"/>
      <c r="AB33" s="514" t="s">
        <v>2312</v>
      </c>
      <c r="AC33" s="402" t="s">
        <v>2313</v>
      </c>
      <c r="AD33" s="400" t="s">
        <v>859</v>
      </c>
      <c r="AE33" s="888"/>
      <c r="AH33" s="653" t="s">
        <v>1776</v>
      </c>
    </row>
    <row r="34" spans="5:34" ht="21.95" hidden="1" customHeight="1">
      <c r="E34" s="447">
        <v>22.5</v>
      </c>
      <c r="F34" s="3" cm="1">
        <f t="array" aca="1" ref="F34" ca="1">OFFSET(E34,-1,1)</f>
        <v>0</v>
      </c>
      <c r="H34" s="22" t="s">
        <v>2314</v>
      </c>
      <c r="T34" s="351" t="b" cm="1">
        <f t="array" ref="T34">T33</f>
        <v>0</v>
      </c>
      <c r="X34" s="1046"/>
      <c r="Z34" s="1047"/>
      <c r="AB34" s="514" t="s">
        <v>2315</v>
      </c>
      <c r="AC34" s="403" t="s">
        <v>2316</v>
      </c>
      <c r="AD34" s="400" t="s">
        <v>2317</v>
      </c>
      <c r="AE34" s="888"/>
      <c r="AH34" s="653" t="s">
        <v>2318</v>
      </c>
    </row>
    <row r="35" spans="5:34" ht="21.95" hidden="1" customHeight="1">
      <c r="E35" s="447">
        <v>22.5</v>
      </c>
      <c r="F35" s="3" cm="1">
        <f t="array" aca="1" ref="F35" ca="1">OFFSET(E35,-1,1)</f>
        <v>0</v>
      </c>
      <c r="H35" s="22" t="s">
        <v>2319</v>
      </c>
      <c r="T35" s="351" t="b" cm="1">
        <f t="array" ref="T35">T34</f>
        <v>0</v>
      </c>
      <c r="X35" s="1046"/>
      <c r="Z35" s="1047"/>
      <c r="AB35" s="514" t="s">
        <v>2320</v>
      </c>
      <c r="AC35" s="403" t="s">
        <v>2321</v>
      </c>
      <c r="AD35" s="400" t="s">
        <v>2322</v>
      </c>
      <c r="AE35" s="888"/>
      <c r="AH35" s="653" t="s">
        <v>2323</v>
      </c>
    </row>
    <row r="36" spans="5:34" ht="21.95" hidden="1" customHeight="1">
      <c r="E36" s="447">
        <v>22.5</v>
      </c>
      <c r="F36" s="3" cm="1">
        <f t="array" aca="1" ref="F36" ca="1">OFFSET(E36,-1,1)</f>
        <v>0</v>
      </c>
      <c r="H36" s="22" t="s">
        <v>2324</v>
      </c>
      <c r="T36" s="351" t="b" cm="1">
        <f t="array" ref="T36">T35</f>
        <v>0</v>
      </c>
      <c r="X36" s="1046"/>
      <c r="Z36" s="1047"/>
      <c r="AB36" s="514" t="s">
        <v>2325</v>
      </c>
      <c r="AC36" s="402" t="s">
        <v>2326</v>
      </c>
      <c r="AD36" s="400" t="s">
        <v>859</v>
      </c>
      <c r="AE36" s="888"/>
      <c r="AH36" s="653" t="s">
        <v>1778</v>
      </c>
    </row>
    <row r="37" spans="5:34" ht="14.65" hidden="1" customHeight="1">
      <c r="E37" s="447">
        <v>15</v>
      </c>
      <c r="F37" s="3" cm="1">
        <f t="array" aca="1" ref="F37" ca="1">OFFSET(E37,-1,1)</f>
        <v>0</v>
      </c>
      <c r="H37" s="22" t="s">
        <v>1357</v>
      </c>
      <c r="T37" s="351" t="b" cm="1">
        <f t="array" ref="T37">T36</f>
        <v>0</v>
      </c>
      <c r="X37" s="1046"/>
      <c r="Z37" s="1047"/>
      <c r="AB37" s="514" t="s">
        <v>1358</v>
      </c>
      <c r="AC37" s="401" t="s">
        <v>2327</v>
      </c>
      <c r="AD37" s="400" t="s">
        <v>859</v>
      </c>
      <c r="AE37" s="888"/>
      <c r="AH37" s="653" t="s">
        <v>2132</v>
      </c>
    </row>
    <row r="38" spans="5:34" ht="14.65" hidden="1" customHeight="1">
      <c r="E38" s="447">
        <v>15</v>
      </c>
      <c r="F38" s="3" cm="1">
        <f t="array" aca="1" ref="F38" ca="1">OFFSET(E38,-1,1)</f>
        <v>0</v>
      </c>
      <c r="H38" s="22" t="s">
        <v>2328</v>
      </c>
      <c r="T38" s="351" t="b" cm="1">
        <f t="array" ref="T38">T37</f>
        <v>0</v>
      </c>
      <c r="X38" s="1046"/>
      <c r="Z38" s="1047"/>
      <c r="AB38" s="514" t="s">
        <v>1361</v>
      </c>
      <c r="AC38" s="401" t="s">
        <v>1957</v>
      </c>
      <c r="AD38" s="400" t="s">
        <v>859</v>
      </c>
      <c r="AE38" s="888"/>
      <c r="AH38" s="653" t="s">
        <v>1783</v>
      </c>
    </row>
    <row r="39" spans="5:34" ht="14.65" hidden="1" customHeight="1">
      <c r="E39" s="447">
        <v>15</v>
      </c>
      <c r="F39" s="3" cm="1">
        <f t="array" aca="1" ref="F39" ca="1">OFFSET(E39,-1,1)</f>
        <v>0</v>
      </c>
      <c r="H39" s="22" t="s">
        <v>2329</v>
      </c>
      <c r="T39" s="351" t="b" cm="1">
        <f t="array" ref="T39">T38</f>
        <v>0</v>
      </c>
      <c r="X39" s="1046"/>
      <c r="Z39" s="1047"/>
      <c r="AB39" s="514" t="s">
        <v>2330</v>
      </c>
      <c r="AC39" s="401" t="s">
        <v>2331</v>
      </c>
      <c r="AD39" s="400" t="s">
        <v>859</v>
      </c>
      <c r="AE39" s="404">
        <f>SUM(AE40:AE46)</f>
        <v>0</v>
      </c>
      <c r="AH39" s="653" t="s">
        <v>1787</v>
      </c>
    </row>
    <row r="40" spans="5:34" ht="14.65" hidden="1" customHeight="1">
      <c r="E40" s="447">
        <v>15</v>
      </c>
      <c r="F40" s="3" cm="1">
        <f t="array" aca="1" ref="F40" ca="1">OFFSET(E40,-1,1)</f>
        <v>0</v>
      </c>
      <c r="H40" s="22" t="s">
        <v>2332</v>
      </c>
      <c r="T40" s="351" t="b" cm="1">
        <f t="array" ref="T40">T39</f>
        <v>0</v>
      </c>
      <c r="X40" s="1046"/>
      <c r="Z40" s="1047"/>
      <c r="AB40" s="514" t="s">
        <v>2333</v>
      </c>
      <c r="AC40" s="402" t="s">
        <v>1794</v>
      </c>
      <c r="AD40" s="400" t="s">
        <v>859</v>
      </c>
      <c r="AE40" s="888"/>
      <c r="AH40" s="653" t="s">
        <v>2334</v>
      </c>
    </row>
    <row r="41" spans="5:34" ht="21.95" hidden="1" customHeight="1">
      <c r="E41" s="447">
        <v>22.5</v>
      </c>
      <c r="F41" s="3" cm="1">
        <f t="array" aca="1" ref="F41" ca="1">OFFSET(E41,-1,1)</f>
        <v>0</v>
      </c>
      <c r="H41" s="22" t="s">
        <v>2335</v>
      </c>
      <c r="T41" s="351" t="b" cm="1">
        <f t="array" ref="T41">T40</f>
        <v>0</v>
      </c>
      <c r="X41" s="1046"/>
      <c r="Z41" s="1047"/>
      <c r="AB41" s="514" t="s">
        <v>2336</v>
      </c>
      <c r="AC41" s="402" t="s">
        <v>1965</v>
      </c>
      <c r="AD41" s="400" t="s">
        <v>859</v>
      </c>
      <c r="AE41" s="888"/>
      <c r="AH41" s="694" t="s">
        <v>1966</v>
      </c>
    </row>
    <row r="42" spans="5:34" ht="21.95" hidden="1" customHeight="1">
      <c r="E42" s="447">
        <v>22.5</v>
      </c>
      <c r="F42" s="3" cm="1">
        <f t="array" aca="1" ref="F42" ca="1">OFFSET(E42,-1,1)</f>
        <v>0</v>
      </c>
      <c r="H42" s="22" t="s">
        <v>2337</v>
      </c>
      <c r="T42" s="351" t="b" cm="1">
        <f t="array" ref="T42">T41</f>
        <v>0</v>
      </c>
      <c r="X42" s="1046"/>
      <c r="Z42" s="1047"/>
      <c r="AB42" s="514" t="s">
        <v>2338</v>
      </c>
      <c r="AC42" s="402" t="s">
        <v>1969</v>
      </c>
      <c r="AD42" s="400" t="s">
        <v>859</v>
      </c>
      <c r="AE42" s="888"/>
      <c r="AH42" s="694" t="s">
        <v>1970</v>
      </c>
    </row>
    <row r="43" spans="5:34" ht="21.95" hidden="1" customHeight="1">
      <c r="E43" s="447">
        <v>22.5</v>
      </c>
      <c r="F43" s="3" cm="1">
        <f t="array" aca="1" ref="F43" ca="1">OFFSET(E43,-1,1)</f>
        <v>0</v>
      </c>
      <c r="H43" s="22" t="s">
        <v>2339</v>
      </c>
      <c r="T43" s="351" t="b" cm="1">
        <f t="array" ref="T43">T42</f>
        <v>0</v>
      </c>
      <c r="X43" s="1046"/>
      <c r="Z43" s="1047"/>
      <c r="AB43" s="514" t="s">
        <v>2340</v>
      </c>
      <c r="AC43" s="402" t="s">
        <v>2341</v>
      </c>
      <c r="AD43" s="400" t="s">
        <v>859</v>
      </c>
      <c r="AE43" s="888"/>
      <c r="AH43" s="694" t="s">
        <v>1974</v>
      </c>
    </row>
    <row r="44" spans="5:34" ht="54.75" hidden="1" customHeight="1">
      <c r="E44" s="447">
        <v>56.25</v>
      </c>
      <c r="F44" s="3" cm="1">
        <f t="array" aca="1" ref="F44" ca="1">OFFSET(E44,-1,1)</f>
        <v>0</v>
      </c>
      <c r="H44" s="22" t="s">
        <v>2342</v>
      </c>
      <c r="T44" s="351" t="b" cm="1">
        <f t="array" ref="T44">T43</f>
        <v>0</v>
      </c>
      <c r="X44" s="1046"/>
      <c r="Z44" s="1047"/>
      <c r="AB44" s="514" t="s">
        <v>2343</v>
      </c>
      <c r="AC44" s="402" t="s">
        <v>1977</v>
      </c>
      <c r="AD44" s="400" t="s">
        <v>859</v>
      </c>
      <c r="AE44" s="888"/>
      <c r="AH44" s="694" t="s">
        <v>1799</v>
      </c>
    </row>
    <row r="45" spans="5:34" ht="14.65" hidden="1" customHeight="1">
      <c r="E45" s="447">
        <v>15</v>
      </c>
      <c r="F45" s="3" cm="1">
        <f t="array" aca="1" ref="F45" ca="1">OFFSET(E45,-1,1)</f>
        <v>0</v>
      </c>
      <c r="H45" s="22" t="s">
        <v>2344</v>
      </c>
      <c r="T45" s="351" t="b" cm="1">
        <f t="array" ref="T45">T44</f>
        <v>0</v>
      </c>
      <c r="X45" s="1046"/>
      <c r="Z45" s="1047"/>
      <c r="AB45" s="514" t="s">
        <v>2345</v>
      </c>
      <c r="AC45" s="402" t="s">
        <v>1802</v>
      </c>
      <c r="AD45" s="400" t="s">
        <v>859</v>
      </c>
      <c r="AE45" s="888"/>
      <c r="AH45" s="694" t="s">
        <v>1803</v>
      </c>
    </row>
    <row r="46" spans="5:34" ht="14.65" hidden="1" customHeight="1">
      <c r="E46" s="447">
        <v>15</v>
      </c>
      <c r="F46" s="3" cm="1">
        <f t="array" aca="1" ref="F46" ca="1">OFFSET(E46,-1,1)</f>
        <v>0</v>
      </c>
      <c r="H46" s="22" t="s">
        <v>2346</v>
      </c>
      <c r="T46" s="351" t="b" cm="1">
        <f t="array" ref="T46">T45</f>
        <v>0</v>
      </c>
      <c r="X46" s="1046"/>
      <c r="Z46" s="1047"/>
      <c r="AB46" s="514" t="s">
        <v>2347</v>
      </c>
      <c r="AC46" s="402" t="s">
        <v>1247</v>
      </c>
      <c r="AD46" s="400" t="s">
        <v>859</v>
      </c>
      <c r="AE46" s="888"/>
      <c r="AH46" s="694" t="s">
        <v>1787</v>
      </c>
    </row>
    <row r="47" spans="5:34" ht="14.65" hidden="1" customHeight="1">
      <c r="E47" s="447">
        <v>15</v>
      </c>
      <c r="F47" s="3" cm="1">
        <f t="array" aca="1" ref="F47" ca="1">OFFSET(E47,-1,1)</f>
        <v>0</v>
      </c>
      <c r="H47" s="22" t="s">
        <v>511</v>
      </c>
      <c r="T47" s="351" t="b" cm="1">
        <f t="array" ref="T47">T46</f>
        <v>0</v>
      </c>
      <c r="X47" s="1046"/>
      <c r="Z47" s="1047"/>
      <c r="AB47" s="514" t="s">
        <v>939</v>
      </c>
      <c r="AC47" s="399" t="s">
        <v>2348</v>
      </c>
      <c r="AD47" s="400" t="s">
        <v>859</v>
      </c>
      <c r="AE47" s="404">
        <f>AE48+AE49+AE50</f>
        <v>0</v>
      </c>
      <c r="AH47" s="693" t="s">
        <v>1808</v>
      </c>
    </row>
    <row r="48" spans="5:34" ht="14.65" hidden="1" customHeight="1">
      <c r="E48" s="447">
        <v>15</v>
      </c>
      <c r="F48" s="3" cm="1">
        <f t="array" aca="1" ref="F48" ca="1">OFFSET(E48,-1,1)</f>
        <v>0</v>
      </c>
      <c r="H48" s="22" t="s">
        <v>1378</v>
      </c>
      <c r="T48" s="351" t="b" cm="1">
        <f t="array" ref="T48">T47</f>
        <v>0</v>
      </c>
      <c r="X48" s="1046"/>
      <c r="Z48" s="1047"/>
      <c r="AB48" s="514" t="s">
        <v>1379</v>
      </c>
      <c r="AC48" s="401" t="s">
        <v>2349</v>
      </c>
      <c r="AD48" s="400" t="s">
        <v>859</v>
      </c>
      <c r="AE48" s="888"/>
      <c r="AH48" s="692" t="s">
        <v>1810</v>
      </c>
    </row>
    <row r="49" spans="5:34" ht="14.65" hidden="1" customHeight="1">
      <c r="E49" s="447">
        <v>15</v>
      </c>
      <c r="F49" s="3" cm="1">
        <f t="array" aca="1" ref="F49" ca="1">OFFSET(E49,-1,1)</f>
        <v>0</v>
      </c>
      <c r="H49" s="22" t="s">
        <v>1381</v>
      </c>
      <c r="T49" s="351" t="b" cm="1">
        <f t="array" ref="T49">T48</f>
        <v>0</v>
      </c>
      <c r="X49" s="1046"/>
      <c r="Z49" s="1047"/>
      <c r="AB49" s="514" t="s">
        <v>1382</v>
      </c>
      <c r="AC49" s="401" t="s">
        <v>2350</v>
      </c>
      <c r="AD49" s="400" t="s">
        <v>859</v>
      </c>
      <c r="AE49" s="888"/>
      <c r="AH49" s="694" t="s">
        <v>1985</v>
      </c>
    </row>
    <row r="50" spans="5:34" ht="21.95" hidden="1" customHeight="1">
      <c r="E50" s="447">
        <v>22.5</v>
      </c>
      <c r="F50" s="3" cm="1">
        <f t="array" aca="1" ref="F50" ca="1">OFFSET(E50,-1,1)</f>
        <v>0</v>
      </c>
      <c r="H50" s="22" t="s">
        <v>1385</v>
      </c>
      <c r="T50" s="351" t="b" cm="1">
        <f t="array" ref="T50">T49</f>
        <v>0</v>
      </c>
      <c r="X50" s="1046"/>
      <c r="Z50" s="1047"/>
      <c r="AB50" s="514" t="s">
        <v>1386</v>
      </c>
      <c r="AC50" s="401" t="s">
        <v>2351</v>
      </c>
      <c r="AD50" s="400" t="s">
        <v>859</v>
      </c>
      <c r="AE50" s="404">
        <f>AE51+AE54</f>
        <v>0</v>
      </c>
      <c r="AH50" s="692" t="s">
        <v>1812</v>
      </c>
    </row>
    <row r="51" spans="5:34" ht="14.65" hidden="1" customHeight="1">
      <c r="E51" s="447">
        <v>15</v>
      </c>
      <c r="F51" s="3" cm="1">
        <f t="array" aca="1" ref="F51" ca="1">OFFSET(E51,-1,1)</f>
        <v>0</v>
      </c>
      <c r="H51" s="22" t="s">
        <v>1529</v>
      </c>
      <c r="T51" s="351" t="b" cm="1">
        <f t="array" ref="T51">T50</f>
        <v>0</v>
      </c>
      <c r="X51" s="1046"/>
      <c r="Z51" s="1047"/>
      <c r="AB51" s="514" t="s">
        <v>1954</v>
      </c>
      <c r="AC51" s="402" t="s">
        <v>1814</v>
      </c>
      <c r="AD51" s="400" t="s">
        <v>859</v>
      </c>
      <c r="AE51" s="888"/>
      <c r="AH51" s="692" t="s">
        <v>1815</v>
      </c>
    </row>
    <row r="52" spans="5:34" ht="14.65" hidden="1" customHeight="1">
      <c r="E52" s="447">
        <v>15</v>
      </c>
      <c r="F52" s="3" cm="1">
        <f t="array" aca="1" ref="F52" ca="1">OFFSET(E52,-1,1)</f>
        <v>0</v>
      </c>
      <c r="H52" s="22" t="s">
        <v>2352</v>
      </c>
      <c r="T52" s="351" t="b" cm="1">
        <f t="array" ref="T52">T51</f>
        <v>0</v>
      </c>
      <c r="X52" s="1046"/>
      <c r="Z52" s="1047"/>
      <c r="AB52" s="514" t="s">
        <v>2353</v>
      </c>
      <c r="AC52" s="403" t="s">
        <v>2354</v>
      </c>
      <c r="AD52" s="400" t="s">
        <v>2317</v>
      </c>
      <c r="AE52" s="888"/>
      <c r="AH52" s="653" t="s">
        <v>2355</v>
      </c>
    </row>
    <row r="53" spans="5:34" ht="14.65" hidden="1" customHeight="1">
      <c r="E53" s="447">
        <v>15</v>
      </c>
      <c r="F53" s="3" cm="1">
        <f t="array" aca="1" ref="F53" ca="1">OFFSET(E53,-1,1)</f>
        <v>0</v>
      </c>
      <c r="H53" s="22" t="s">
        <v>2356</v>
      </c>
      <c r="T53" s="351" t="b" cm="1">
        <f t="array" ref="T53">T52</f>
        <v>0</v>
      </c>
      <c r="X53" s="1046"/>
      <c r="Z53" s="1047"/>
      <c r="AB53" s="514" t="s">
        <v>2357</v>
      </c>
      <c r="AC53" s="403" t="s">
        <v>2358</v>
      </c>
      <c r="AD53" s="400" t="s">
        <v>2322</v>
      </c>
      <c r="AE53" s="888"/>
      <c r="AH53" s="653" t="s">
        <v>2359</v>
      </c>
    </row>
    <row r="54" spans="5:34" ht="21.95" hidden="1" customHeight="1">
      <c r="E54" s="447">
        <v>22.5</v>
      </c>
      <c r="F54" s="3" cm="1">
        <f t="array" aca="1" ref="F54" ca="1">OFFSET(E54,-1,1)</f>
        <v>0</v>
      </c>
      <c r="H54" s="22" t="s">
        <v>1533</v>
      </c>
      <c r="T54" s="351" t="b" cm="1">
        <f t="array" ref="T54">T53</f>
        <v>0</v>
      </c>
      <c r="X54" s="1046"/>
      <c r="Z54" s="1047"/>
      <c r="AB54" s="514" t="s">
        <v>1955</v>
      </c>
      <c r="AC54" s="402" t="s">
        <v>1991</v>
      </c>
      <c r="AD54" s="400" t="s">
        <v>859</v>
      </c>
      <c r="AE54" s="888"/>
      <c r="AH54" s="692" t="s">
        <v>1818</v>
      </c>
    </row>
    <row r="55" spans="5:34" ht="14.65" hidden="1" customHeight="1">
      <c r="E55" s="447">
        <v>15</v>
      </c>
      <c r="F55" s="3" cm="1">
        <f t="array" aca="1" ref="F55" ca="1">OFFSET(E55,-1,1)</f>
        <v>0</v>
      </c>
      <c r="H55" s="22" t="s">
        <v>514</v>
      </c>
      <c r="T55" s="351" t="b" cm="1">
        <f t="array" ref="T55">T54</f>
        <v>0</v>
      </c>
      <c r="X55" s="1046"/>
      <c r="Z55" s="1047"/>
      <c r="AB55" s="514" t="s">
        <v>942</v>
      </c>
      <c r="AC55" s="399" t="s">
        <v>1992</v>
      </c>
      <c r="AD55" s="400" t="s">
        <v>859</v>
      </c>
      <c r="AE55" s="404">
        <f>AE56+AE62+AE67+AE68+AE69+AE70+AE71</f>
        <v>0</v>
      </c>
      <c r="AH55" s="693" t="s">
        <v>1820</v>
      </c>
    </row>
    <row r="56" spans="5:34" ht="21.95" hidden="1" customHeight="1">
      <c r="E56" s="447">
        <v>22.5</v>
      </c>
      <c r="F56" s="3" cm="1">
        <f t="array" aca="1" ref="F56" ca="1">OFFSET(E56,-1,1)</f>
        <v>0</v>
      </c>
      <c r="H56" s="22" t="s">
        <v>1391</v>
      </c>
      <c r="T56" s="351" t="b" cm="1">
        <f t="array" ref="T56">T55</f>
        <v>0</v>
      </c>
      <c r="X56" s="1046"/>
      <c r="Z56" s="1047"/>
      <c r="AB56" s="514" t="s">
        <v>1392</v>
      </c>
      <c r="AC56" s="401" t="s">
        <v>1821</v>
      </c>
      <c r="AD56" s="400" t="s">
        <v>859</v>
      </c>
      <c r="AE56" s="404">
        <f>SUM(AE57:AE61)</f>
        <v>0</v>
      </c>
      <c r="AH56" s="692" t="s">
        <v>1200</v>
      </c>
    </row>
    <row r="57" spans="5:34" ht="14.65" hidden="1" customHeight="1">
      <c r="E57" s="447">
        <v>15</v>
      </c>
      <c r="F57" s="3" cm="1">
        <f t="array" aca="1" ref="F57" ca="1">OFFSET(E57,-1,1)</f>
        <v>0</v>
      </c>
      <c r="H57" s="22" t="s">
        <v>2360</v>
      </c>
      <c r="T57" s="351" t="b" cm="1">
        <f t="array" ref="T57">T56</f>
        <v>0</v>
      </c>
      <c r="X57" s="1046"/>
      <c r="Z57" s="1047"/>
      <c r="AB57" s="514" t="s">
        <v>2361</v>
      </c>
      <c r="AC57" s="402" t="s">
        <v>1202</v>
      </c>
      <c r="AD57" s="400" t="s">
        <v>859</v>
      </c>
      <c r="AE57" s="888"/>
      <c r="AH57" s="694" t="s">
        <v>1203</v>
      </c>
    </row>
    <row r="58" spans="5:34" ht="14.65" hidden="1" customHeight="1">
      <c r="E58" s="447">
        <v>15</v>
      </c>
      <c r="F58" s="3" cm="1">
        <f t="array" aca="1" ref="F58" ca="1">OFFSET(E58,-1,1)</f>
        <v>0</v>
      </c>
      <c r="H58" s="22" t="s">
        <v>2362</v>
      </c>
      <c r="T58" s="351" t="b" cm="1">
        <f t="array" ref="T58">T57</f>
        <v>0</v>
      </c>
      <c r="X58" s="1046"/>
      <c r="Z58" s="1047"/>
      <c r="AB58" s="514" t="s">
        <v>2363</v>
      </c>
      <c r="AC58" s="402" t="s">
        <v>1205</v>
      </c>
      <c r="AD58" s="400" t="s">
        <v>859</v>
      </c>
      <c r="AE58" s="888"/>
      <c r="AH58" s="694" t="s">
        <v>1206</v>
      </c>
    </row>
    <row r="59" spans="5:34" ht="14.65" hidden="1" customHeight="1">
      <c r="E59" s="447">
        <v>15</v>
      </c>
      <c r="F59" s="3" cm="1">
        <f t="array" aca="1" ref="F59" ca="1">OFFSET(E59,-1,1)</f>
        <v>0</v>
      </c>
      <c r="H59" s="22" t="s">
        <v>2364</v>
      </c>
      <c r="T59" s="351" t="b" cm="1">
        <f t="array" ref="T59">T58</f>
        <v>0</v>
      </c>
      <c r="X59" s="1046"/>
      <c r="Z59" s="1047"/>
      <c r="AB59" s="514" t="s">
        <v>2365</v>
      </c>
      <c r="AC59" s="402" t="s">
        <v>1208</v>
      </c>
      <c r="AD59" s="400" t="s">
        <v>859</v>
      </c>
      <c r="AE59" s="888"/>
      <c r="AH59" s="694" t="s">
        <v>1209</v>
      </c>
    </row>
    <row r="60" spans="5:34" ht="14.65" hidden="1" customHeight="1">
      <c r="E60" s="447">
        <v>15</v>
      </c>
      <c r="F60" s="3" cm="1">
        <f t="array" aca="1" ref="F60" ca="1">OFFSET(E60,-1,1)</f>
        <v>0</v>
      </c>
      <c r="H60" s="22" t="s">
        <v>2366</v>
      </c>
      <c r="T60" s="351" t="b" cm="1">
        <f t="array" ref="T60">T59</f>
        <v>0</v>
      </c>
      <c r="X60" s="1046"/>
      <c r="Z60" s="1047"/>
      <c r="AB60" s="514" t="s">
        <v>2367</v>
      </c>
      <c r="AC60" s="402" t="s">
        <v>1211</v>
      </c>
      <c r="AD60" s="400" t="s">
        <v>859</v>
      </c>
      <c r="AE60" s="888"/>
      <c r="AH60" s="694" t="s">
        <v>1212</v>
      </c>
    </row>
    <row r="61" spans="5:34" ht="14.65" hidden="1" customHeight="1">
      <c r="E61" s="447">
        <v>15</v>
      </c>
      <c r="F61" s="3" cm="1">
        <f t="array" aca="1" ref="F61" ca="1">OFFSET(E61,-1,1)</f>
        <v>0</v>
      </c>
      <c r="H61" s="22" t="s">
        <v>2368</v>
      </c>
      <c r="T61" s="351" t="b" cm="1">
        <f t="array" ref="T61">T60</f>
        <v>0</v>
      </c>
      <c r="X61" s="1046"/>
      <c r="Z61" s="1047"/>
      <c r="AB61" s="514" t="s">
        <v>2369</v>
      </c>
      <c r="AC61" s="402" t="s">
        <v>1219</v>
      </c>
      <c r="AD61" s="400" t="s">
        <v>859</v>
      </c>
      <c r="AE61" s="888"/>
      <c r="AH61" s="694" t="s">
        <v>1220</v>
      </c>
    </row>
    <row r="62" spans="5:34" ht="32.85" hidden="1" customHeight="1">
      <c r="E62" s="447">
        <v>33.75</v>
      </c>
      <c r="F62" s="3" cm="1">
        <f t="array" aca="1" ref="F62" ca="1">OFFSET(E62,-1,1)</f>
        <v>0</v>
      </c>
      <c r="H62" s="22" t="s">
        <v>1395</v>
      </c>
      <c r="T62" s="351" t="b" cm="1">
        <f t="array" ref="T62">T61</f>
        <v>0</v>
      </c>
      <c r="X62" s="1046"/>
      <c r="Z62" s="1047"/>
      <c r="AB62" s="514" t="s">
        <v>1396</v>
      </c>
      <c r="AC62" s="401" t="s">
        <v>2370</v>
      </c>
      <c r="AD62" s="400" t="s">
        <v>859</v>
      </c>
      <c r="AE62" s="404">
        <f>AE63+AE66</f>
        <v>0</v>
      </c>
      <c r="AH62" s="692" t="s">
        <v>1823</v>
      </c>
    </row>
    <row r="63" spans="5:34" ht="21.95" hidden="1" customHeight="1">
      <c r="E63" s="447">
        <v>22.5</v>
      </c>
      <c r="F63" s="3" cm="1">
        <f t="array" aca="1" ref="F63" ca="1">OFFSET(E63,-1,1)</f>
        <v>0</v>
      </c>
      <c r="H63" s="22" t="s">
        <v>2371</v>
      </c>
      <c r="T63" s="351" t="b" cm="1">
        <f t="array" ref="T63">T62</f>
        <v>0</v>
      </c>
      <c r="X63" s="1046"/>
      <c r="Z63" s="1047"/>
      <c r="AB63" s="514" t="s">
        <v>2372</v>
      </c>
      <c r="AC63" s="402" t="s">
        <v>1824</v>
      </c>
      <c r="AD63" s="400" t="s">
        <v>859</v>
      </c>
      <c r="AE63" s="888"/>
      <c r="AH63" s="692" t="s">
        <v>1197</v>
      </c>
    </row>
    <row r="64" spans="5:34" ht="14.65" hidden="1" customHeight="1">
      <c r="E64" s="447">
        <v>15</v>
      </c>
      <c r="F64" s="3" cm="1">
        <f t="array" aca="1" ref="F64" ca="1">OFFSET(E64,-1,1)</f>
        <v>0</v>
      </c>
      <c r="H64" s="22" t="s">
        <v>2373</v>
      </c>
      <c r="T64" s="351" t="b" cm="1">
        <f t="array" ref="T64">T63</f>
        <v>0</v>
      </c>
      <c r="X64" s="1046"/>
      <c r="Z64" s="1047"/>
      <c r="AB64" s="514" t="s">
        <v>2374</v>
      </c>
      <c r="AC64" s="403" t="s">
        <v>2375</v>
      </c>
      <c r="AD64" s="400" t="s">
        <v>2317</v>
      </c>
      <c r="AE64" s="888"/>
      <c r="AH64" s="653" t="s">
        <v>2376</v>
      </c>
    </row>
    <row r="65" spans="1:38" ht="21.95" hidden="1" customHeight="1">
      <c r="E65" s="447">
        <v>22.5</v>
      </c>
      <c r="F65" s="3" cm="1">
        <f t="array" aca="1" ref="F65" ca="1">OFFSET(E65,-1,1)</f>
        <v>0</v>
      </c>
      <c r="H65" s="22" t="s">
        <v>2377</v>
      </c>
      <c r="T65" s="351" t="b" cm="1">
        <f t="array" ref="T65">T64</f>
        <v>0</v>
      </c>
      <c r="X65" s="1046"/>
      <c r="Z65" s="1047"/>
      <c r="AB65" s="514" t="s">
        <v>2378</v>
      </c>
      <c r="AC65" s="403" t="s">
        <v>2379</v>
      </c>
      <c r="AD65" s="400" t="s">
        <v>2322</v>
      </c>
      <c r="AE65" s="888"/>
      <c r="AH65" s="653" t="s">
        <v>2380</v>
      </c>
    </row>
    <row r="66" spans="1:38" ht="21.95" hidden="1" customHeight="1">
      <c r="E66" s="447">
        <v>22.5</v>
      </c>
      <c r="F66" s="3" cm="1">
        <f t="array" aca="1" ref="F66" ca="1">OFFSET(E66,-1,1)</f>
        <v>0</v>
      </c>
      <c r="H66" s="22" t="s">
        <v>2381</v>
      </c>
      <c r="T66" s="351" t="b" cm="1">
        <f t="array" ref="T66">T65</f>
        <v>0</v>
      </c>
      <c r="X66" s="1046"/>
      <c r="Z66" s="1047"/>
      <c r="AB66" s="514" t="s">
        <v>2382</v>
      </c>
      <c r="AC66" s="402" t="s">
        <v>2015</v>
      </c>
      <c r="AD66" s="400" t="s">
        <v>859</v>
      </c>
      <c r="AE66" s="888"/>
      <c r="AH66" s="692" t="s">
        <v>1826</v>
      </c>
    </row>
    <row r="67" spans="1:38" ht="21.95" hidden="1" customHeight="1">
      <c r="E67" s="447">
        <v>22.5</v>
      </c>
      <c r="F67" s="3" cm="1">
        <f t="array" aca="1" ref="F67" ca="1">OFFSET(E67,-1,1)</f>
        <v>0</v>
      </c>
      <c r="H67" s="22" t="s">
        <v>1399</v>
      </c>
      <c r="T67" s="351" t="b" cm="1">
        <f t="array" ref="T67">T66</f>
        <v>0</v>
      </c>
      <c r="X67" s="1046"/>
      <c r="Z67" s="1047"/>
      <c r="AB67" s="514" t="s">
        <v>1400</v>
      </c>
      <c r="AC67" s="401" t="s">
        <v>2383</v>
      </c>
      <c r="AD67" s="400" t="s">
        <v>859</v>
      </c>
      <c r="AE67" s="888"/>
      <c r="AH67" s="692" t="s">
        <v>1228</v>
      </c>
    </row>
    <row r="68" spans="1:38" ht="14.65" hidden="1" customHeight="1">
      <c r="E68" s="447">
        <v>15</v>
      </c>
      <c r="F68" s="3" cm="1">
        <f t="array" aca="1" ref="F68" ca="1">OFFSET(E68,-1,1)</f>
        <v>0</v>
      </c>
      <c r="H68" s="22" t="s">
        <v>2384</v>
      </c>
      <c r="T68" s="351" t="b" cm="1">
        <f t="array" ref="T68">T67</f>
        <v>0</v>
      </c>
      <c r="X68" s="1046"/>
      <c r="Z68" s="1047"/>
      <c r="AB68" s="514" t="s">
        <v>2385</v>
      </c>
      <c r="AC68" s="401" t="s">
        <v>1230</v>
      </c>
      <c r="AD68" s="400" t="s">
        <v>859</v>
      </c>
      <c r="AE68" s="888"/>
      <c r="AH68" s="692" t="s">
        <v>1231</v>
      </c>
    </row>
    <row r="69" spans="1:38" ht="14.65" hidden="1" customHeight="1">
      <c r="E69" s="447">
        <v>15</v>
      </c>
      <c r="F69" s="3" cm="1">
        <f t="array" aca="1" ref="F69" ca="1">OFFSET(E69,-1,1)</f>
        <v>0</v>
      </c>
      <c r="H69" s="22" t="s">
        <v>2386</v>
      </c>
      <c r="T69" s="351" t="b" cm="1">
        <f t="array" ref="T69">T68</f>
        <v>0</v>
      </c>
      <c r="X69" s="1046"/>
      <c r="Z69" s="1047"/>
      <c r="AB69" s="514" t="s">
        <v>2387</v>
      </c>
      <c r="AC69" s="401" t="s">
        <v>1233</v>
      </c>
      <c r="AD69" s="400" t="s">
        <v>859</v>
      </c>
      <c r="AE69" s="888"/>
      <c r="AH69" s="692" t="s">
        <v>1234</v>
      </c>
    </row>
    <row r="70" spans="1:38" ht="21.95" hidden="1" customHeight="1">
      <c r="E70" s="447">
        <v>22.5</v>
      </c>
      <c r="F70" s="3" cm="1">
        <f t="array" aca="1" ref="F70" ca="1">OFFSET(E70,-1,1)</f>
        <v>0</v>
      </c>
      <c r="H70" s="22" t="s">
        <v>2388</v>
      </c>
      <c r="T70" s="351" t="b" cm="1">
        <f t="array" ref="T70">T69</f>
        <v>0</v>
      </c>
      <c r="X70" s="1046"/>
      <c r="Z70" s="1047"/>
      <c r="AB70" s="514" t="s">
        <v>2389</v>
      </c>
      <c r="AC70" s="401" t="s">
        <v>2390</v>
      </c>
      <c r="AD70" s="400" t="s">
        <v>859</v>
      </c>
      <c r="AE70" s="888"/>
      <c r="AH70" s="692" t="s">
        <v>1828</v>
      </c>
    </row>
    <row r="71" spans="1:38" ht="14.65" hidden="1" customHeight="1">
      <c r="E71" s="447">
        <v>15</v>
      </c>
      <c r="F71" s="3" cm="1">
        <f t="array" aca="1" ref="F71" ca="1">OFFSET(E71,-1,1)</f>
        <v>0</v>
      </c>
      <c r="H71" s="22" t="s">
        <v>2391</v>
      </c>
      <c r="T71" s="351" t="b" cm="1">
        <f t="array" ref="T71">T70</f>
        <v>0</v>
      </c>
      <c r="X71" s="1046"/>
      <c r="Z71" s="1047"/>
      <c r="AB71" s="514" t="s">
        <v>2392</v>
      </c>
      <c r="AC71" s="401" t="s">
        <v>2393</v>
      </c>
      <c r="AD71" s="400" t="s">
        <v>859</v>
      </c>
      <c r="AE71" s="404">
        <f>AE72+AE73+AE74</f>
        <v>0</v>
      </c>
      <c r="AH71" s="692" t="s">
        <v>1830</v>
      </c>
    </row>
    <row r="72" spans="1:38" ht="14.65" hidden="1" customHeight="1">
      <c r="E72" s="447">
        <v>15</v>
      </c>
      <c r="F72" s="3" cm="1">
        <f t="array" aca="1" ref="F72" ca="1">OFFSET(E72,-1,1)</f>
        <v>0</v>
      </c>
      <c r="H72" s="22" t="s">
        <v>2394</v>
      </c>
      <c r="T72" s="351" t="b" cm="1">
        <f t="array" ref="T72">T71</f>
        <v>0</v>
      </c>
      <c r="X72" s="1046"/>
      <c r="Z72" s="1047"/>
      <c r="AB72" s="514" t="s">
        <v>2395</v>
      </c>
      <c r="AC72" s="402" t="s">
        <v>2396</v>
      </c>
      <c r="AD72" s="400" t="s">
        <v>859</v>
      </c>
      <c r="AE72" s="888"/>
      <c r="AH72" s="692" t="s">
        <v>1834</v>
      </c>
    </row>
    <row r="73" spans="1:38" ht="14.65" hidden="1" customHeight="1">
      <c r="E73" s="447">
        <v>15</v>
      </c>
      <c r="F73" s="3" cm="1">
        <f t="array" aca="1" ref="F73" ca="1">OFFSET(E73,-1,1)</f>
        <v>0</v>
      </c>
      <c r="H73" s="22" t="s">
        <v>2397</v>
      </c>
      <c r="T73" s="351" t="b" cm="1">
        <f t="array" ref="T73">T72</f>
        <v>0</v>
      </c>
      <c r="X73" s="1046"/>
      <c r="Z73" s="1047"/>
      <c r="AB73" s="514" t="s">
        <v>2398</v>
      </c>
      <c r="AC73" s="402" t="s">
        <v>2399</v>
      </c>
      <c r="AD73" s="400" t="s">
        <v>859</v>
      </c>
      <c r="AE73" s="888"/>
      <c r="AH73" s="692" t="s">
        <v>1837</v>
      </c>
    </row>
    <row r="74" spans="1:38" ht="14.65" hidden="1" customHeight="1">
      <c r="E74" s="447">
        <v>15</v>
      </c>
      <c r="F74" s="3" cm="1">
        <f t="array" aca="1" ref="F74" ca="1">OFFSET(E74,-1,1)</f>
        <v>0</v>
      </c>
      <c r="H74" s="22" t="s">
        <v>2400</v>
      </c>
      <c r="T74" s="351" t="b" cm="1">
        <f t="array" ref="T74">T73</f>
        <v>0</v>
      </c>
      <c r="X74" s="1046"/>
      <c r="Z74" s="1047"/>
      <c r="AB74" s="514" t="s">
        <v>2401</v>
      </c>
      <c r="AC74" s="402" t="s">
        <v>1247</v>
      </c>
      <c r="AD74" s="400" t="s">
        <v>859</v>
      </c>
      <c r="AE74" s="888"/>
      <c r="AH74" s="692" t="s">
        <v>1840</v>
      </c>
    </row>
    <row r="75" spans="1:38" ht="14.65" hidden="1" customHeight="1">
      <c r="E75" s="447">
        <v>15</v>
      </c>
      <c r="F75" s="3" cm="1">
        <f t="array" aca="1" ref="F75" ca="1">OFFSET(E75,-1,1)</f>
        <v>0</v>
      </c>
      <c r="H75" s="22" t="s">
        <v>518</v>
      </c>
      <c r="T75" s="351" t="b" cm="1">
        <f t="array" ref="T75">T74</f>
        <v>0</v>
      </c>
      <c r="X75" s="1046"/>
      <c r="Z75" s="1047"/>
      <c r="AB75" s="514" t="s">
        <v>945</v>
      </c>
      <c r="AC75" s="399" t="s">
        <v>2402</v>
      </c>
      <c r="AD75" s="400" t="s">
        <v>859</v>
      </c>
      <c r="AE75" s="404">
        <f>SUM(AE76:AE77)</f>
        <v>0</v>
      </c>
      <c r="AH75" s="694" t="s">
        <v>2403</v>
      </c>
    </row>
    <row r="76" spans="1:38" ht="14.65" hidden="1" customHeight="1">
      <c r="E76" s="447">
        <v>15</v>
      </c>
      <c r="F76" s="3" cm="1">
        <f t="array" aca="1" ref="F76" ca="1">OFFSET(E76,-1,1)</f>
        <v>0</v>
      </c>
      <c r="H76" s="22" t="s">
        <v>518</v>
      </c>
      <c r="I76" s="408" cm="1">
        <f t="array" ref="I76">AC76</f>
        <v>0</v>
      </c>
      <c r="T76" s="351" t="b">
        <f ca="1">AND(F76&gt;0,Y76&gt;0)</f>
        <v>0</v>
      </c>
      <c r="W76" s="17" t="s">
        <v>171</v>
      </c>
      <c r="X76" s="1046"/>
      <c r="Y76" s="22">
        <v>0</v>
      </c>
      <c r="Z76" s="1047"/>
      <c r="AA76" s="480" t="s">
        <v>172</v>
      </c>
      <c r="AB76" s="514" t="str">
        <f>"1.4."&amp;Y76</f>
        <v>1.4.0</v>
      </c>
      <c r="AC76" s="922"/>
      <c r="AD76" s="400" t="s">
        <v>859</v>
      </c>
      <c r="AE76" s="888"/>
      <c r="AH76" s="694" t="s">
        <v>2403</v>
      </c>
      <c r="AI76" s="653" t="s">
        <v>2404</v>
      </c>
      <c r="AJ76" s="653" cm="1">
        <f t="array" ref="AJ76">AC76</f>
        <v>0</v>
      </c>
      <c r="AL76" s="478" t="b">
        <v>1</v>
      </c>
    </row>
    <row r="77" spans="1:38" ht="14.65" hidden="1" customHeight="1">
      <c r="E77" s="447">
        <v>15</v>
      </c>
      <c r="F77" s="3" cm="1">
        <f t="array" aca="1" ref="F77" ca="1">OFFSET(E77,-1,1)</f>
        <v>0</v>
      </c>
      <c r="I77" s="72" t="str">
        <f>"!== 'не определено' &amp;&amp; row.l1_4 !== null"</f>
        <v>!== 'не определено' &amp;&amp; row.l1_4 !== null</v>
      </c>
      <c r="T77" s="351" t="b">
        <f ca="1">F77&gt;0</f>
        <v>0</v>
      </c>
      <c r="W77" s="504" t="s">
        <v>388</v>
      </c>
      <c r="X77" s="1046"/>
      <c r="Z77" s="1047"/>
      <c r="AB77" s="782"/>
      <c r="AC77" s="783" t="s">
        <v>175</v>
      </c>
      <c r="AD77" s="784"/>
      <c r="AE77" s="794"/>
      <c r="AK77" s="478" t="s">
        <v>2404</v>
      </c>
    </row>
    <row r="78" spans="1:38" ht="14.65" hidden="1" customHeight="1">
      <c r="E78" s="447">
        <v>15</v>
      </c>
      <c r="F78" s="3" cm="1">
        <f t="array" aca="1" ref="F78" ca="1">OFFSET(E78,-1,1)</f>
        <v>0</v>
      </c>
      <c r="H78" s="22" t="s">
        <v>322</v>
      </c>
      <c r="T78" s="351" t="b" cm="1">
        <f t="array" aca="1" ref="T78" ca="1">T77</f>
        <v>0</v>
      </c>
      <c r="X78" s="1046"/>
      <c r="Z78" s="1047"/>
      <c r="AB78" s="513" t="s">
        <v>435</v>
      </c>
      <c r="AC78" s="397" t="s">
        <v>2040</v>
      </c>
      <c r="AD78" s="398" t="s">
        <v>859</v>
      </c>
      <c r="AE78" s="404">
        <f>AE79+AE91+AE92+AE102+AE103+AE104+AE107+AE108+AE109+AE110+AE111+AE112</f>
        <v>0</v>
      </c>
      <c r="AH78" s="653" t="s">
        <v>2405</v>
      </c>
    </row>
    <row r="79" spans="1:38" s="4" customFormat="1" ht="26.25" hidden="1" customHeight="1">
      <c r="A79" s="485"/>
      <c r="B79" s="22"/>
      <c r="C79" s="22"/>
      <c r="D79" s="22"/>
      <c r="E79" s="447">
        <v>27</v>
      </c>
      <c r="F79" s="266" cm="1">
        <f t="array" aca="1" ref="F79" ca="1">OFFSET(E79,-1,1)</f>
        <v>0</v>
      </c>
      <c r="G79" s="22"/>
      <c r="H79" s="22"/>
      <c r="I79" s="22"/>
      <c r="J79" s="22"/>
      <c r="K79" s="22"/>
      <c r="L79" s="22"/>
      <c r="M79" s="22"/>
      <c r="N79" s="22"/>
      <c r="O79" s="22"/>
      <c r="P79" s="22"/>
      <c r="Q79" s="22"/>
      <c r="R79" s="22"/>
      <c r="S79" s="22"/>
      <c r="T79" s="351" t="b" cm="1">
        <f t="array" aca="1" ref="T79" ca="1">T78</f>
        <v>0</v>
      </c>
      <c r="U79" s="22"/>
      <c r="V79" s="22"/>
      <c r="W79" s="22"/>
      <c r="X79" s="1046"/>
      <c r="Y79" s="22"/>
      <c r="Z79" s="1047"/>
      <c r="AA79" s="22"/>
      <c r="AB79" s="514" t="s">
        <v>588</v>
      </c>
      <c r="AC79" s="785" t="s">
        <v>2042</v>
      </c>
      <c r="AD79" s="398" t="s">
        <v>859</v>
      </c>
      <c r="AE79" s="404">
        <f>SUM(AE80:AE90)</f>
        <v>0</v>
      </c>
      <c r="AF79" s="314"/>
      <c r="AG79" s="314"/>
      <c r="AH79" s="694" t="s">
        <v>1248</v>
      </c>
      <c r="AI79" s="653"/>
      <c r="AJ79" s="653"/>
      <c r="AK79" s="478"/>
      <c r="AL79" s="478"/>
    </row>
    <row r="80" spans="1:38" s="4" customFormat="1" ht="14.65" hidden="1" customHeight="1">
      <c r="A80" s="485"/>
      <c r="B80" s="22"/>
      <c r="C80" s="22"/>
      <c r="D80" s="22"/>
      <c r="E80" s="447">
        <v>15</v>
      </c>
      <c r="F80" s="266" cm="1">
        <f t="array" aca="1" ref="F80" ca="1">OFFSET(E80,-1,1)</f>
        <v>0</v>
      </c>
      <c r="G80" s="22"/>
      <c r="H80" s="22"/>
      <c r="I80" s="22"/>
      <c r="J80" s="22"/>
      <c r="K80" s="22"/>
      <c r="L80" s="22"/>
      <c r="M80" s="22"/>
      <c r="N80" s="22"/>
      <c r="O80" s="22"/>
      <c r="P80" s="22"/>
      <c r="Q80" s="22"/>
      <c r="R80" s="22"/>
      <c r="S80" s="22"/>
      <c r="T80" s="351" t="b" cm="1">
        <f t="array" aca="1" ref="T80" ca="1">T79</f>
        <v>0</v>
      </c>
      <c r="U80" s="22"/>
      <c r="V80" s="22"/>
      <c r="W80" s="22"/>
      <c r="X80" s="1046"/>
      <c r="Y80" s="22"/>
      <c r="Z80" s="1047"/>
      <c r="AA80" s="22"/>
      <c r="AB80" s="514" t="s">
        <v>533</v>
      </c>
      <c r="AC80" s="401" t="s">
        <v>2044</v>
      </c>
      <c r="AD80" s="400" t="s">
        <v>859</v>
      </c>
      <c r="AE80" s="888"/>
      <c r="AF80" s="314"/>
      <c r="AG80" s="314"/>
      <c r="AH80" s="694" t="s">
        <v>2406</v>
      </c>
      <c r="AI80" s="653"/>
      <c r="AJ80" s="653"/>
      <c r="AK80" s="478"/>
      <c r="AL80" s="478"/>
    </row>
    <row r="81" spans="1:38" s="4" customFormat="1" ht="14.65" hidden="1" customHeight="1">
      <c r="A81" s="485"/>
      <c r="B81" s="22"/>
      <c r="C81" s="22"/>
      <c r="D81" s="22"/>
      <c r="E81" s="447">
        <v>15</v>
      </c>
      <c r="F81" s="266" cm="1">
        <f t="array" aca="1" ref="F81" ca="1">OFFSET(E81,-1,1)</f>
        <v>0</v>
      </c>
      <c r="G81" s="22"/>
      <c r="H81" s="22"/>
      <c r="I81" s="22"/>
      <c r="J81" s="22"/>
      <c r="K81" s="22"/>
      <c r="L81" s="22"/>
      <c r="M81" s="22"/>
      <c r="N81" s="22"/>
      <c r="O81" s="22"/>
      <c r="P81" s="22"/>
      <c r="Q81" s="22"/>
      <c r="R81" s="22"/>
      <c r="S81" s="22"/>
      <c r="T81" s="351" t="b" cm="1">
        <f t="array" aca="1" ref="T81" ca="1">T80</f>
        <v>0</v>
      </c>
      <c r="U81" s="22"/>
      <c r="V81" s="22"/>
      <c r="W81" s="22"/>
      <c r="X81" s="1046"/>
      <c r="Y81" s="22"/>
      <c r="Z81" s="1047"/>
      <c r="AA81" s="22"/>
      <c r="AB81" s="514" t="s">
        <v>2045</v>
      </c>
      <c r="AC81" s="401" t="s">
        <v>2046</v>
      </c>
      <c r="AD81" s="400" t="s">
        <v>859</v>
      </c>
      <c r="AE81" s="888"/>
      <c r="AF81" s="314"/>
      <c r="AG81" s="314"/>
      <c r="AH81" s="694" t="s">
        <v>2407</v>
      </c>
      <c r="AI81" s="653"/>
      <c r="AJ81" s="653"/>
      <c r="AK81" s="478"/>
      <c r="AL81" s="478"/>
    </row>
    <row r="82" spans="1:38" s="4" customFormat="1" ht="14.65" hidden="1" customHeight="1">
      <c r="A82" s="485"/>
      <c r="B82" s="22"/>
      <c r="C82" s="22"/>
      <c r="D82" s="22"/>
      <c r="E82" s="447">
        <v>15</v>
      </c>
      <c r="F82" s="266" cm="1">
        <f t="array" aca="1" ref="F82" ca="1">OFFSET(E82,-1,1)</f>
        <v>0</v>
      </c>
      <c r="G82" s="22"/>
      <c r="H82" s="22"/>
      <c r="I82" s="22"/>
      <c r="J82" s="22"/>
      <c r="K82" s="22"/>
      <c r="L82" s="22"/>
      <c r="M82" s="22"/>
      <c r="N82" s="22"/>
      <c r="O82" s="22"/>
      <c r="P82" s="22"/>
      <c r="Q82" s="22"/>
      <c r="R82" s="22"/>
      <c r="S82" s="22"/>
      <c r="T82" s="351" t="b" cm="1">
        <f t="array" aca="1" ref="T82" ca="1">T81</f>
        <v>0</v>
      </c>
      <c r="U82" s="22"/>
      <c r="V82" s="22"/>
      <c r="W82" s="22"/>
      <c r="X82" s="1046"/>
      <c r="Y82" s="22"/>
      <c r="Z82" s="1047"/>
      <c r="AA82" s="22"/>
      <c r="AB82" s="514" t="s">
        <v>2047</v>
      </c>
      <c r="AC82" s="401" t="s">
        <v>2048</v>
      </c>
      <c r="AD82" s="400" t="s">
        <v>859</v>
      </c>
      <c r="AE82" s="888"/>
      <c r="AF82" s="314"/>
      <c r="AG82" s="314"/>
      <c r="AH82" s="694" t="s">
        <v>2408</v>
      </c>
      <c r="AI82" s="653"/>
      <c r="AJ82" s="653"/>
      <c r="AK82" s="478"/>
      <c r="AL82" s="478"/>
    </row>
    <row r="83" spans="1:38" s="4" customFormat="1" ht="14.65" hidden="1" customHeight="1">
      <c r="A83" s="485"/>
      <c r="B83" s="22"/>
      <c r="C83" s="22"/>
      <c r="D83" s="22"/>
      <c r="E83" s="447">
        <v>15</v>
      </c>
      <c r="F83" s="266" cm="1">
        <f t="array" aca="1" ref="F83" ca="1">OFFSET(E83,-1,1)</f>
        <v>0</v>
      </c>
      <c r="G83" s="22"/>
      <c r="H83" s="22"/>
      <c r="I83" s="22"/>
      <c r="J83" s="22"/>
      <c r="K83" s="22"/>
      <c r="L83" s="22"/>
      <c r="M83" s="22"/>
      <c r="N83" s="22"/>
      <c r="O83" s="22"/>
      <c r="P83" s="22"/>
      <c r="Q83" s="22"/>
      <c r="R83" s="22"/>
      <c r="S83" s="22"/>
      <c r="T83" s="351" t="b" cm="1">
        <f t="array" aca="1" ref="T83" ca="1">T82</f>
        <v>0</v>
      </c>
      <c r="U83" s="22"/>
      <c r="V83" s="22"/>
      <c r="W83" s="22"/>
      <c r="X83" s="1046"/>
      <c r="Y83" s="22"/>
      <c r="Z83" s="1047"/>
      <c r="AA83" s="22"/>
      <c r="AB83" s="514" t="s">
        <v>2050</v>
      </c>
      <c r="AC83" s="401" t="s">
        <v>2051</v>
      </c>
      <c r="AD83" s="400" t="s">
        <v>859</v>
      </c>
      <c r="AE83" s="888"/>
      <c r="AF83" s="314"/>
      <c r="AG83" s="314"/>
      <c r="AH83" s="694" t="s">
        <v>2409</v>
      </c>
      <c r="AI83" s="653"/>
      <c r="AJ83" s="653"/>
      <c r="AK83" s="478"/>
      <c r="AL83" s="478"/>
    </row>
    <row r="84" spans="1:38" s="4" customFormat="1" ht="14.65" hidden="1" customHeight="1">
      <c r="A84" s="485"/>
      <c r="B84" s="22"/>
      <c r="C84" s="22"/>
      <c r="D84" s="22"/>
      <c r="E84" s="447">
        <v>15</v>
      </c>
      <c r="F84" s="266" cm="1">
        <f t="array" aca="1" ref="F84" ca="1">OFFSET(E84,-1,1)</f>
        <v>0</v>
      </c>
      <c r="G84" s="22"/>
      <c r="H84" s="22"/>
      <c r="I84" s="22"/>
      <c r="J84" s="22"/>
      <c r="K84" s="22"/>
      <c r="L84" s="22"/>
      <c r="M84" s="22"/>
      <c r="N84" s="22"/>
      <c r="O84" s="22"/>
      <c r="P84" s="22"/>
      <c r="Q84" s="22"/>
      <c r="R84" s="22"/>
      <c r="S84" s="22"/>
      <c r="T84" s="351" t="b" cm="1">
        <f t="array" aca="1" ref="T84" ca="1">T83</f>
        <v>0</v>
      </c>
      <c r="U84" s="22"/>
      <c r="V84" s="22"/>
      <c r="W84" s="22"/>
      <c r="X84" s="1046"/>
      <c r="Y84" s="22"/>
      <c r="Z84" s="1047"/>
      <c r="AA84" s="22"/>
      <c r="AB84" s="514" t="s">
        <v>2053</v>
      </c>
      <c r="AC84" s="401" t="s">
        <v>2054</v>
      </c>
      <c r="AD84" s="400" t="s">
        <v>859</v>
      </c>
      <c r="AE84" s="888"/>
      <c r="AF84" s="314"/>
      <c r="AG84" s="314"/>
      <c r="AH84" s="694" t="s">
        <v>2410</v>
      </c>
      <c r="AI84" s="653"/>
      <c r="AJ84" s="653"/>
      <c r="AK84" s="478"/>
      <c r="AL84" s="478"/>
    </row>
    <row r="85" spans="1:38" s="4" customFormat="1" ht="26.25" hidden="1" customHeight="1">
      <c r="A85" s="485"/>
      <c r="B85" s="22"/>
      <c r="C85" s="22"/>
      <c r="D85" s="22"/>
      <c r="E85" s="447">
        <v>27</v>
      </c>
      <c r="F85" s="266" cm="1">
        <f t="array" aca="1" ref="F85" ca="1">OFFSET(E85,-1,1)</f>
        <v>0</v>
      </c>
      <c r="G85" s="22"/>
      <c r="H85" s="22"/>
      <c r="I85" s="22"/>
      <c r="J85" s="22"/>
      <c r="K85" s="22"/>
      <c r="L85" s="22"/>
      <c r="M85" s="22"/>
      <c r="N85" s="22"/>
      <c r="O85" s="22"/>
      <c r="P85" s="22"/>
      <c r="Q85" s="22"/>
      <c r="R85" s="22"/>
      <c r="S85" s="22"/>
      <c r="T85" s="351" t="b" cm="1">
        <f t="array" aca="1" ref="T85" ca="1">T84</f>
        <v>0</v>
      </c>
      <c r="U85" s="22"/>
      <c r="V85" s="22"/>
      <c r="W85" s="22"/>
      <c r="X85" s="1046"/>
      <c r="Y85" s="22"/>
      <c r="Z85" s="1047"/>
      <c r="AA85" s="22"/>
      <c r="AB85" s="514" t="s">
        <v>2056</v>
      </c>
      <c r="AC85" s="401" t="s">
        <v>2057</v>
      </c>
      <c r="AD85" s="400" t="s">
        <v>859</v>
      </c>
      <c r="AE85" s="888"/>
      <c r="AF85" s="314"/>
      <c r="AG85" s="314"/>
      <c r="AH85" s="694" t="s">
        <v>2411</v>
      </c>
      <c r="AI85" s="653"/>
      <c r="AJ85" s="653"/>
      <c r="AK85" s="478"/>
      <c r="AL85" s="478"/>
    </row>
    <row r="86" spans="1:38" s="4" customFormat="1" ht="14.65" hidden="1" customHeight="1">
      <c r="A86" s="485"/>
      <c r="B86" s="22"/>
      <c r="C86" s="22"/>
      <c r="D86" s="22"/>
      <c r="E86" s="447">
        <v>15</v>
      </c>
      <c r="F86" s="266" cm="1">
        <f t="array" aca="1" ref="F86" ca="1">OFFSET(E86,-1,1)</f>
        <v>0</v>
      </c>
      <c r="G86" s="22"/>
      <c r="H86" s="22"/>
      <c r="I86" s="22"/>
      <c r="J86" s="22"/>
      <c r="K86" s="22"/>
      <c r="L86" s="22"/>
      <c r="M86" s="22"/>
      <c r="N86" s="22"/>
      <c r="O86" s="22"/>
      <c r="P86" s="22"/>
      <c r="Q86" s="22"/>
      <c r="R86" s="22"/>
      <c r="S86" s="22"/>
      <c r="T86" s="351" t="b" cm="1">
        <f t="array" aca="1" ref="T86" ca="1">T85</f>
        <v>0</v>
      </c>
      <c r="U86" s="22"/>
      <c r="V86" s="22"/>
      <c r="W86" s="22"/>
      <c r="X86" s="1046"/>
      <c r="Y86" s="22"/>
      <c r="Z86" s="1047"/>
      <c r="AA86" s="22"/>
      <c r="AB86" s="514" t="s">
        <v>2060</v>
      </c>
      <c r="AC86" s="401" t="s">
        <v>2061</v>
      </c>
      <c r="AD86" s="400" t="s">
        <v>859</v>
      </c>
      <c r="AE86" s="888"/>
      <c r="AF86" s="314"/>
      <c r="AG86" s="314"/>
      <c r="AH86" s="694" t="s">
        <v>2412</v>
      </c>
      <c r="AI86" s="653"/>
      <c r="AJ86" s="653"/>
      <c r="AK86" s="478"/>
      <c r="AL86" s="478"/>
    </row>
    <row r="87" spans="1:38" s="4" customFormat="1" ht="14.65" hidden="1" customHeight="1">
      <c r="A87" s="485"/>
      <c r="B87" s="22"/>
      <c r="C87" s="22"/>
      <c r="D87" s="22"/>
      <c r="E87" s="447">
        <v>15</v>
      </c>
      <c r="F87" s="266" cm="1">
        <f t="array" aca="1" ref="F87" ca="1">OFFSET(E87,-1,1)</f>
        <v>0</v>
      </c>
      <c r="G87" s="22"/>
      <c r="H87" s="22"/>
      <c r="I87" s="22"/>
      <c r="J87" s="22"/>
      <c r="K87" s="22"/>
      <c r="L87" s="22"/>
      <c r="M87" s="22"/>
      <c r="N87" s="22"/>
      <c r="O87" s="22"/>
      <c r="P87" s="22"/>
      <c r="Q87" s="22"/>
      <c r="R87" s="22"/>
      <c r="S87" s="22"/>
      <c r="T87" s="351" t="b" cm="1">
        <f t="array" aca="1" ref="T87" ca="1">T86</f>
        <v>0</v>
      </c>
      <c r="U87" s="22"/>
      <c r="V87" s="22"/>
      <c r="W87" s="22"/>
      <c r="X87" s="1046"/>
      <c r="Y87" s="22"/>
      <c r="Z87" s="1047"/>
      <c r="AA87" s="22"/>
      <c r="AB87" s="514" t="s">
        <v>2064</v>
      </c>
      <c r="AC87" s="401" t="s">
        <v>2065</v>
      </c>
      <c r="AD87" s="400" t="s">
        <v>859</v>
      </c>
      <c r="AE87" s="888"/>
      <c r="AF87" s="314"/>
      <c r="AG87" s="314"/>
      <c r="AH87" s="694" t="s">
        <v>2413</v>
      </c>
      <c r="AI87" s="653"/>
      <c r="AJ87" s="653"/>
      <c r="AK87" s="478"/>
      <c r="AL87" s="478"/>
    </row>
    <row r="88" spans="1:38" s="4" customFormat="1" ht="14.65" hidden="1" customHeight="1">
      <c r="A88" s="485"/>
      <c r="B88" s="22"/>
      <c r="C88" s="22"/>
      <c r="D88" s="22"/>
      <c r="E88" s="447">
        <v>15</v>
      </c>
      <c r="F88" s="266" cm="1">
        <f t="array" aca="1" ref="F88" ca="1">OFFSET(E88,-1,1)</f>
        <v>0</v>
      </c>
      <c r="G88" s="22"/>
      <c r="H88" s="22"/>
      <c r="I88" s="22"/>
      <c r="J88" s="22"/>
      <c r="K88" s="22"/>
      <c r="L88" s="22"/>
      <c r="M88" s="22"/>
      <c r="N88" s="22"/>
      <c r="O88" s="22"/>
      <c r="P88" s="22"/>
      <c r="Q88" s="22"/>
      <c r="R88" s="22"/>
      <c r="S88" s="22"/>
      <c r="T88" s="351" t="b" cm="1">
        <f t="array" aca="1" ref="T88" ca="1">T87</f>
        <v>0</v>
      </c>
      <c r="U88" s="22"/>
      <c r="V88" s="22"/>
      <c r="W88" s="22"/>
      <c r="X88" s="1046"/>
      <c r="Y88" s="22"/>
      <c r="Z88" s="1047"/>
      <c r="AA88" s="22"/>
      <c r="AB88" s="514" t="s">
        <v>2067</v>
      </c>
      <c r="AC88" s="401" t="s">
        <v>2068</v>
      </c>
      <c r="AD88" s="400" t="s">
        <v>859</v>
      </c>
      <c r="AE88" s="888"/>
      <c r="AF88" s="314"/>
      <c r="AG88" s="314"/>
      <c r="AH88" s="694" t="s">
        <v>2414</v>
      </c>
      <c r="AI88" s="653"/>
      <c r="AJ88" s="653"/>
      <c r="AK88" s="478"/>
      <c r="AL88" s="478"/>
    </row>
    <row r="89" spans="1:38" s="4" customFormat="1" ht="14.65" hidden="1" customHeight="1">
      <c r="A89" s="485"/>
      <c r="B89" s="22"/>
      <c r="C89" s="22"/>
      <c r="D89" s="22"/>
      <c r="E89" s="447">
        <v>15</v>
      </c>
      <c r="F89" s="266" cm="1">
        <f t="array" aca="1" ref="F89" ca="1">OFFSET(E89,-1,1)</f>
        <v>0</v>
      </c>
      <c r="G89" s="22"/>
      <c r="H89" s="22"/>
      <c r="I89" s="22"/>
      <c r="J89" s="22"/>
      <c r="K89" s="22"/>
      <c r="L89" s="22"/>
      <c r="M89" s="22"/>
      <c r="N89" s="22"/>
      <c r="O89" s="22"/>
      <c r="P89" s="22"/>
      <c r="Q89" s="22"/>
      <c r="R89" s="22"/>
      <c r="S89" s="22"/>
      <c r="T89" s="351" t="b" cm="1">
        <f t="array" aca="1" ref="T89" ca="1">T88</f>
        <v>0</v>
      </c>
      <c r="U89" s="22"/>
      <c r="V89" s="22"/>
      <c r="W89" s="22"/>
      <c r="X89" s="1046"/>
      <c r="Y89" s="22"/>
      <c r="Z89" s="1047"/>
      <c r="AA89" s="22"/>
      <c r="AB89" s="514" t="s">
        <v>2070</v>
      </c>
      <c r="AC89" s="401" t="s">
        <v>2071</v>
      </c>
      <c r="AD89" s="400" t="s">
        <v>859</v>
      </c>
      <c r="AE89" s="888"/>
      <c r="AF89" s="314"/>
      <c r="AG89" s="314"/>
      <c r="AH89" s="694" t="s">
        <v>2415</v>
      </c>
      <c r="AI89" s="653"/>
      <c r="AJ89" s="653"/>
      <c r="AK89" s="478"/>
      <c r="AL89" s="478"/>
    </row>
    <row r="90" spans="1:38" s="4" customFormat="1" ht="14.65" hidden="1" customHeight="1">
      <c r="A90" s="485"/>
      <c r="B90" s="22"/>
      <c r="C90" s="22"/>
      <c r="D90" s="22"/>
      <c r="E90" s="447">
        <v>15</v>
      </c>
      <c r="F90" s="266" cm="1">
        <f t="array" aca="1" ref="F90" ca="1">OFFSET(E90,-1,1)</f>
        <v>0</v>
      </c>
      <c r="G90" s="22"/>
      <c r="H90" s="22"/>
      <c r="I90" s="22"/>
      <c r="J90" s="22"/>
      <c r="K90" s="22"/>
      <c r="L90" s="22"/>
      <c r="M90" s="22"/>
      <c r="N90" s="22"/>
      <c r="O90" s="22"/>
      <c r="P90" s="22"/>
      <c r="Q90" s="22"/>
      <c r="R90" s="22"/>
      <c r="S90" s="22"/>
      <c r="T90" s="351" t="b" cm="1">
        <f t="array" aca="1" ref="T90" ca="1">T89</f>
        <v>0</v>
      </c>
      <c r="U90" s="22"/>
      <c r="V90" s="22"/>
      <c r="W90" s="22"/>
      <c r="X90" s="1046"/>
      <c r="Y90" s="22"/>
      <c r="Z90" s="1047"/>
      <c r="AA90" s="22"/>
      <c r="AB90" s="514" t="s">
        <v>2072</v>
      </c>
      <c r="AC90" s="401" t="s">
        <v>2073</v>
      </c>
      <c r="AD90" s="400" t="s">
        <v>859</v>
      </c>
      <c r="AE90" s="888"/>
      <c r="AF90" s="314"/>
      <c r="AG90" s="314"/>
      <c r="AH90" s="694" t="s">
        <v>2416</v>
      </c>
      <c r="AI90" s="653"/>
      <c r="AJ90" s="653"/>
      <c r="AK90" s="478"/>
      <c r="AL90" s="478"/>
    </row>
    <row r="91" spans="1:38" s="4" customFormat="1" ht="14.65" hidden="1" customHeight="1">
      <c r="A91" s="485"/>
      <c r="B91" s="22"/>
      <c r="C91" s="22"/>
      <c r="D91" s="22"/>
      <c r="E91" s="447">
        <v>15</v>
      </c>
      <c r="F91" s="266" cm="1">
        <f t="array" aca="1" ref="F91" ca="1">OFFSET(E91,-1,1)</f>
        <v>0</v>
      </c>
      <c r="G91" s="22"/>
      <c r="H91" s="22"/>
      <c r="I91" s="22"/>
      <c r="J91" s="22"/>
      <c r="K91" s="22"/>
      <c r="L91" s="22"/>
      <c r="M91" s="22"/>
      <c r="N91" s="22"/>
      <c r="O91" s="22"/>
      <c r="P91" s="22"/>
      <c r="Q91" s="22"/>
      <c r="R91" s="22"/>
      <c r="S91" s="22"/>
      <c r="T91" s="351" t="b" cm="1">
        <f t="array" aca="1" ref="T91" ca="1">T90</f>
        <v>0</v>
      </c>
      <c r="U91" s="22"/>
      <c r="V91" s="22"/>
      <c r="W91" s="22"/>
      <c r="X91" s="1046"/>
      <c r="Y91" s="22"/>
      <c r="Z91" s="1047"/>
      <c r="AA91" s="22"/>
      <c r="AB91" s="514" t="s">
        <v>592</v>
      </c>
      <c r="AC91" s="399" t="s">
        <v>2074</v>
      </c>
      <c r="AD91" s="400" t="s">
        <v>859</v>
      </c>
      <c r="AE91" s="888"/>
      <c r="AF91" s="314"/>
      <c r="AG91" s="314"/>
      <c r="AH91" s="694" t="s">
        <v>2417</v>
      </c>
      <c r="AI91" s="653"/>
      <c r="AJ91" s="653"/>
      <c r="AK91" s="478"/>
      <c r="AL91" s="478"/>
    </row>
    <row r="92" spans="1:38" ht="14.65" hidden="1" customHeight="1">
      <c r="E92" s="447">
        <v>15</v>
      </c>
      <c r="F92" s="3" cm="1">
        <f t="array" aca="1" ref="F92" ca="1">OFFSET(E92,-1,1)</f>
        <v>0</v>
      </c>
      <c r="H92" s="22" t="s">
        <v>528</v>
      </c>
      <c r="T92" s="351" t="b" cm="1">
        <f t="array" aca="1" ref="T92" ca="1">T78</f>
        <v>0</v>
      </c>
      <c r="X92" s="1046"/>
      <c r="Z92" s="1047"/>
      <c r="AB92" s="514" t="s">
        <v>596</v>
      </c>
      <c r="AC92" s="399" t="s">
        <v>2418</v>
      </c>
      <c r="AD92" s="400" t="s">
        <v>859</v>
      </c>
      <c r="AE92" s="404">
        <f>SUM(AE93:AE101)</f>
        <v>0</v>
      </c>
      <c r="AH92" s="700" t="s">
        <v>1294</v>
      </c>
    </row>
    <row r="93" spans="1:38" ht="14.65" hidden="1" customHeight="1">
      <c r="E93" s="447">
        <v>15</v>
      </c>
      <c r="F93" s="3" cm="1">
        <f t="array" aca="1" ref="F93" ca="1">OFFSET(E93,-1,1)</f>
        <v>0</v>
      </c>
      <c r="H93" s="22" t="s">
        <v>1813</v>
      </c>
      <c r="T93" s="351" t="b" cm="1">
        <f t="array" aca="1" ref="T93" ca="1">T92</f>
        <v>0</v>
      </c>
      <c r="X93" s="1046"/>
      <c r="Z93" s="1047"/>
      <c r="AB93" s="514" t="s">
        <v>544</v>
      </c>
      <c r="AC93" s="401" t="s">
        <v>1309</v>
      </c>
      <c r="AD93" s="400" t="s">
        <v>859</v>
      </c>
      <c r="AE93" s="888"/>
      <c r="AH93" s="694" t="s">
        <v>2077</v>
      </c>
    </row>
    <row r="94" spans="1:38" ht="14.65" hidden="1" customHeight="1">
      <c r="E94" s="447">
        <v>15</v>
      </c>
      <c r="F94" s="3" cm="1">
        <f t="array" aca="1" ref="F94" ca="1">OFFSET(E94,-1,1)</f>
        <v>0</v>
      </c>
      <c r="H94" s="22" t="s">
        <v>1816</v>
      </c>
      <c r="T94" s="351" t="b" cm="1">
        <f t="array" aca="1" ref="T94" ca="1">T93</f>
        <v>0</v>
      </c>
      <c r="X94" s="1046"/>
      <c r="Z94" s="1047"/>
      <c r="AB94" s="514" t="s">
        <v>1534</v>
      </c>
      <c r="AC94" s="401" t="s">
        <v>2419</v>
      </c>
      <c r="AD94" s="400" t="s">
        <v>859</v>
      </c>
      <c r="AE94" s="888"/>
      <c r="AH94" s="694" t="s">
        <v>2080</v>
      </c>
    </row>
    <row r="95" spans="1:38" ht="14.65" hidden="1" customHeight="1">
      <c r="E95" s="447">
        <v>15</v>
      </c>
      <c r="F95" s="3" cm="1">
        <f t="array" aca="1" ref="F95" ca="1">OFFSET(E95,-1,1)</f>
        <v>0</v>
      </c>
      <c r="H95" s="22" t="s">
        <v>2420</v>
      </c>
      <c r="T95" s="351" t="b" cm="1">
        <f t="array" aca="1" ref="T95" ca="1">T94</f>
        <v>0</v>
      </c>
      <c r="X95" s="1046"/>
      <c r="Z95" s="1047"/>
      <c r="AB95" s="514" t="s">
        <v>1539</v>
      </c>
      <c r="AC95" s="401" t="s">
        <v>2421</v>
      </c>
      <c r="AD95" s="400" t="s">
        <v>859</v>
      </c>
      <c r="AE95" s="888"/>
      <c r="AH95" s="694" t="s">
        <v>2083</v>
      </c>
    </row>
    <row r="96" spans="1:38" ht="14.65" hidden="1" customHeight="1">
      <c r="E96" s="447">
        <v>15</v>
      </c>
      <c r="F96" s="3" cm="1">
        <f t="array" aca="1" ref="F96" ca="1">OFFSET(E96,-1,1)</f>
        <v>0</v>
      </c>
      <c r="H96" s="22" t="s">
        <v>2422</v>
      </c>
      <c r="T96" s="351" t="b" cm="1">
        <f t="array" aca="1" ref="T96" ca="1">T95</f>
        <v>0</v>
      </c>
      <c r="X96" s="1046"/>
      <c r="Z96" s="1047"/>
      <c r="AB96" s="514" t="s">
        <v>2085</v>
      </c>
      <c r="AC96" s="401" t="s">
        <v>1302</v>
      </c>
      <c r="AD96" s="400" t="s">
        <v>859</v>
      </c>
      <c r="AE96" s="888"/>
      <c r="AH96" s="694" t="s">
        <v>2087</v>
      </c>
    </row>
    <row r="97" spans="1:38" ht="14.65" hidden="1" customHeight="1">
      <c r="E97" s="447">
        <v>15</v>
      </c>
      <c r="F97" s="3" cm="1">
        <f t="array" aca="1" ref="F97" ca="1">OFFSET(E97,-1,1)</f>
        <v>0</v>
      </c>
      <c r="H97" s="22" t="s">
        <v>2423</v>
      </c>
      <c r="T97" s="351" t="b" cm="1">
        <f t="array" aca="1" ref="T97" ca="1">T96</f>
        <v>0</v>
      </c>
      <c r="X97" s="1046"/>
      <c r="Z97" s="1047"/>
      <c r="AB97" s="514" t="s">
        <v>2089</v>
      </c>
      <c r="AC97" s="401" t="s">
        <v>1304</v>
      </c>
      <c r="AD97" s="400" t="s">
        <v>859</v>
      </c>
      <c r="AE97" s="888"/>
      <c r="AH97" s="694" t="s">
        <v>2091</v>
      </c>
    </row>
    <row r="98" spans="1:38" ht="14.65" hidden="1" customHeight="1">
      <c r="E98" s="447">
        <v>15</v>
      </c>
      <c r="F98" s="3" cm="1">
        <f t="array" aca="1" ref="F98" ca="1">OFFSET(E98,-1,1)</f>
        <v>0</v>
      </c>
      <c r="H98" s="22" t="s">
        <v>2424</v>
      </c>
      <c r="T98" s="351" t="b" cm="1">
        <f t="array" aca="1" ref="T98" ca="1">T97</f>
        <v>0</v>
      </c>
      <c r="X98" s="1046"/>
      <c r="Z98" s="1047"/>
      <c r="AB98" s="514" t="s">
        <v>2093</v>
      </c>
      <c r="AC98" s="401" t="s">
        <v>1295</v>
      </c>
      <c r="AD98" s="400" t="s">
        <v>859</v>
      </c>
      <c r="AE98" s="888"/>
      <c r="AH98" s="694" t="s">
        <v>2095</v>
      </c>
    </row>
    <row r="99" spans="1:38" s="4" customFormat="1" ht="14.65" hidden="1" customHeight="1">
      <c r="A99" s="485"/>
      <c r="B99" s="22"/>
      <c r="C99" s="22"/>
      <c r="D99" s="22"/>
      <c r="E99" s="447">
        <v>15</v>
      </c>
      <c r="F99" s="266" cm="1">
        <f t="array" aca="1" ref="F99" ca="1">OFFSET(E99,-1,1)</f>
        <v>0</v>
      </c>
      <c r="G99" s="22"/>
      <c r="H99" s="22"/>
      <c r="I99" s="22"/>
      <c r="J99" s="22"/>
      <c r="K99" s="22"/>
      <c r="L99" s="22"/>
      <c r="M99" s="22"/>
      <c r="N99" s="22"/>
      <c r="O99" s="22"/>
      <c r="P99" s="22"/>
      <c r="Q99" s="22"/>
      <c r="R99" s="22"/>
      <c r="S99" s="22"/>
      <c r="T99" s="351" t="b" cm="1">
        <f t="array" aca="1" ref="T99" ca="1">T98</f>
        <v>0</v>
      </c>
      <c r="U99" s="22"/>
      <c r="V99" s="22"/>
      <c r="W99" s="22"/>
      <c r="X99" s="1046"/>
      <c r="Y99" s="22"/>
      <c r="Z99" s="1047"/>
      <c r="AA99" s="22"/>
      <c r="AB99" s="514" t="s">
        <v>2097</v>
      </c>
      <c r="AC99" s="401" t="s">
        <v>2425</v>
      </c>
      <c r="AD99" s="400" t="s">
        <v>859</v>
      </c>
      <c r="AE99" s="888"/>
      <c r="AF99" s="314"/>
      <c r="AG99" s="314"/>
      <c r="AH99" s="694" t="s">
        <v>1312</v>
      </c>
      <c r="AI99" s="653"/>
      <c r="AJ99" s="653"/>
      <c r="AK99" s="478"/>
      <c r="AL99" s="478"/>
    </row>
    <row r="100" spans="1:38" s="4" customFormat="1" ht="14.65" hidden="1" customHeight="1">
      <c r="A100" s="485"/>
      <c r="B100" s="22"/>
      <c r="C100" s="22"/>
      <c r="D100" s="22"/>
      <c r="E100" s="447">
        <v>15</v>
      </c>
      <c r="F100" s="266" cm="1">
        <f t="array" aca="1" ref="F100" ca="1">OFFSET(E100,-1,1)</f>
        <v>0</v>
      </c>
      <c r="G100" s="22"/>
      <c r="H100" s="22"/>
      <c r="I100" s="22"/>
      <c r="J100" s="22"/>
      <c r="K100" s="22"/>
      <c r="L100" s="22"/>
      <c r="M100" s="22"/>
      <c r="N100" s="22"/>
      <c r="O100" s="22"/>
      <c r="P100" s="22"/>
      <c r="Q100" s="22"/>
      <c r="R100" s="22"/>
      <c r="S100" s="22"/>
      <c r="T100" s="351" t="b" cm="1">
        <f t="array" aca="1" ref="T100" ca="1">T99</f>
        <v>0</v>
      </c>
      <c r="U100" s="22"/>
      <c r="V100" s="22"/>
      <c r="W100" s="22"/>
      <c r="X100" s="1046"/>
      <c r="Y100" s="22"/>
      <c r="Z100" s="1047"/>
      <c r="AA100" s="22"/>
      <c r="AB100" s="514" t="s">
        <v>2101</v>
      </c>
      <c r="AC100" s="401" t="s">
        <v>1313</v>
      </c>
      <c r="AD100" s="400" t="s">
        <v>859</v>
      </c>
      <c r="AE100" s="888"/>
      <c r="AF100" s="314"/>
      <c r="AG100" s="314"/>
      <c r="AH100" s="694" t="s">
        <v>2426</v>
      </c>
      <c r="AI100" s="653"/>
      <c r="AJ100" s="653"/>
      <c r="AK100" s="478"/>
      <c r="AL100" s="478"/>
    </row>
    <row r="101" spans="1:38" ht="14.65" hidden="1" customHeight="1">
      <c r="E101" s="447">
        <v>15</v>
      </c>
      <c r="F101" s="3" cm="1">
        <f t="array" aca="1" ref="F101" ca="1">OFFSET(E101,-1,1)</f>
        <v>0</v>
      </c>
      <c r="H101" s="22" t="s">
        <v>2427</v>
      </c>
      <c r="T101" s="351" t="b" cm="1">
        <f t="array" aca="1" ref="T101" ca="1">T98</f>
        <v>0</v>
      </c>
      <c r="X101" s="1046"/>
      <c r="Z101" s="1047"/>
      <c r="AB101" s="514" t="s">
        <v>2103</v>
      </c>
      <c r="AC101" s="401" t="s">
        <v>1315</v>
      </c>
      <c r="AD101" s="400" t="s">
        <v>859</v>
      </c>
      <c r="AE101" s="888"/>
      <c r="AH101" s="694" t="s">
        <v>2109</v>
      </c>
    </row>
    <row r="102" spans="1:38" ht="14.65" hidden="1" customHeight="1">
      <c r="E102" s="447">
        <v>15</v>
      </c>
      <c r="F102" s="3" cm="1">
        <f t="array" aca="1" ref="F102" ca="1">OFFSET(E102,-1,1)</f>
        <v>0</v>
      </c>
      <c r="H102" s="22" t="s">
        <v>956</v>
      </c>
      <c r="T102" s="351" t="b" cm="1">
        <f t="array" aca="1" ref="T102" ca="1">T101</f>
        <v>0</v>
      </c>
      <c r="X102" s="1046"/>
      <c r="Z102" s="1047"/>
      <c r="AB102" s="514" t="s">
        <v>959</v>
      </c>
      <c r="AC102" s="401" t="s">
        <v>1055</v>
      </c>
      <c r="AD102" s="400" t="s">
        <v>859</v>
      </c>
      <c r="AE102" s="888"/>
      <c r="AH102" s="694" t="s">
        <v>1228</v>
      </c>
    </row>
    <row r="103" spans="1:38" ht="14.65" hidden="1" customHeight="1">
      <c r="E103" s="447">
        <v>15</v>
      </c>
      <c r="F103" s="3" cm="1">
        <f t="array" aca="1" ref="F103" ca="1">OFFSET(E103,-1,1)</f>
        <v>0</v>
      </c>
      <c r="H103" s="22" t="s">
        <v>2112</v>
      </c>
      <c r="T103" s="351" t="b" cm="1">
        <f t="array" aca="1" ref="T103" ca="1">T102</f>
        <v>0</v>
      </c>
      <c r="X103" s="1046"/>
      <c r="Z103" s="1047"/>
      <c r="AB103" s="514" t="s">
        <v>962</v>
      </c>
      <c r="AC103" s="399" t="s">
        <v>1506</v>
      </c>
      <c r="AD103" s="400" t="s">
        <v>859</v>
      </c>
      <c r="AE103" s="888"/>
      <c r="AH103" s="701" t="s">
        <v>1857</v>
      </c>
    </row>
    <row r="104" spans="1:38" ht="14.65" hidden="1" customHeight="1">
      <c r="E104" s="447">
        <v>15</v>
      </c>
      <c r="F104" s="3" cm="1">
        <f t="array" aca="1" ref="F104" ca="1">OFFSET(E104,-1,1)</f>
        <v>0</v>
      </c>
      <c r="H104" s="22" t="s">
        <v>2120</v>
      </c>
      <c r="T104" s="351" t="b" cm="1">
        <f t="array" aca="1" ref="T104" ca="1">T103</f>
        <v>0</v>
      </c>
      <c r="X104" s="1046"/>
      <c r="Z104" s="1047"/>
      <c r="AB104" s="514" t="s">
        <v>1554</v>
      </c>
      <c r="AC104" s="399" t="s">
        <v>1516</v>
      </c>
      <c r="AD104" s="400" t="s">
        <v>859</v>
      </c>
      <c r="AE104" s="404">
        <f>AE105+AE106</f>
        <v>0</v>
      </c>
      <c r="AH104" s="694" t="s">
        <v>2125</v>
      </c>
    </row>
    <row r="105" spans="1:38" ht="14.65" hidden="1" customHeight="1">
      <c r="E105" s="447">
        <v>15</v>
      </c>
      <c r="F105" s="3" cm="1">
        <f t="array" aca="1" ref="F105" ca="1">OFFSET(E105,-1,1)</f>
        <v>0</v>
      </c>
      <c r="H105" s="22" t="s">
        <v>2428</v>
      </c>
      <c r="T105" s="351" t="b" cm="1">
        <f t="array" aca="1" ref="T105" ca="1">T104</f>
        <v>0</v>
      </c>
      <c r="X105" s="1046"/>
      <c r="Z105" s="1047"/>
      <c r="AB105" s="514" t="s">
        <v>2116</v>
      </c>
      <c r="AC105" s="401" t="s">
        <v>2429</v>
      </c>
      <c r="AD105" s="400" t="s">
        <v>859</v>
      </c>
      <c r="AE105" s="888"/>
      <c r="AH105" s="694" t="s">
        <v>1282</v>
      </c>
    </row>
    <row r="106" spans="1:38" ht="21.95" hidden="1" customHeight="1">
      <c r="E106" s="447">
        <v>22.5</v>
      </c>
      <c r="F106" s="3" cm="1">
        <f t="array" aca="1" ref="F106" ca="1">OFFSET(E106,-1,1)</f>
        <v>0</v>
      </c>
      <c r="H106" s="22" t="s">
        <v>2430</v>
      </c>
      <c r="T106" s="351" t="b" cm="1">
        <f t="array" aca="1" ref="T106" ca="1">T105</f>
        <v>0</v>
      </c>
      <c r="X106" s="1046"/>
      <c r="Z106" s="1047"/>
      <c r="AB106" s="514" t="s">
        <v>2431</v>
      </c>
      <c r="AC106" s="401" t="s">
        <v>2432</v>
      </c>
      <c r="AD106" s="400" t="s">
        <v>859</v>
      </c>
      <c r="AE106" s="888"/>
      <c r="AH106" s="694" t="s">
        <v>2132</v>
      </c>
    </row>
    <row r="107" spans="1:38" ht="76.7" hidden="1" customHeight="1">
      <c r="E107" s="447">
        <v>78.75</v>
      </c>
      <c r="F107" s="3" cm="1">
        <f t="array" aca="1" ref="F107" ca="1">OFFSET(E107,-1,1)</f>
        <v>0</v>
      </c>
      <c r="H107" s="22" t="s">
        <v>2124</v>
      </c>
      <c r="T107" s="351" t="b" cm="1">
        <f t="array" aca="1" ref="T107" ca="1">T106</f>
        <v>0</v>
      </c>
      <c r="X107" s="1046"/>
      <c r="Z107" s="1047"/>
      <c r="AB107" s="514" t="s">
        <v>1559</v>
      </c>
      <c r="AC107" s="407" t="s">
        <v>1490</v>
      </c>
      <c r="AD107" s="400" t="s">
        <v>859</v>
      </c>
      <c r="AE107" s="888"/>
      <c r="AH107" s="694" t="s">
        <v>2110</v>
      </c>
    </row>
    <row r="108" spans="1:38" s="4" customFormat="1" ht="14.65" hidden="1" customHeight="1">
      <c r="A108" s="485"/>
      <c r="B108" s="22"/>
      <c r="C108" s="22"/>
      <c r="D108" s="22"/>
      <c r="E108" s="447">
        <v>15</v>
      </c>
      <c r="F108" s="266" cm="1">
        <f t="array" aca="1" ref="F108" ca="1">OFFSET(E108,-1,1)</f>
        <v>0</v>
      </c>
      <c r="G108" s="22"/>
      <c r="H108" s="22"/>
      <c r="I108" s="22"/>
      <c r="J108" s="22"/>
      <c r="K108" s="22"/>
      <c r="L108" s="22"/>
      <c r="M108" s="22"/>
      <c r="N108" s="22"/>
      <c r="O108" s="22"/>
      <c r="P108" s="22"/>
      <c r="Q108" s="22"/>
      <c r="R108" s="22"/>
      <c r="S108" s="22"/>
      <c r="T108" s="351" t="b" cm="1">
        <f t="array" aca="1" ref="T108" ca="1">T107</f>
        <v>0</v>
      </c>
      <c r="U108" s="22"/>
      <c r="V108" s="22"/>
      <c r="W108" s="22"/>
      <c r="X108" s="1046"/>
      <c r="Y108" s="22"/>
      <c r="Z108" s="1047"/>
      <c r="AA108" s="22"/>
      <c r="AB108" s="514" t="s">
        <v>2121</v>
      </c>
      <c r="AC108" s="407" t="s">
        <v>1035</v>
      </c>
      <c r="AD108" s="400" t="s">
        <v>859</v>
      </c>
      <c r="AE108" s="888"/>
      <c r="AF108" s="314"/>
      <c r="AG108" s="314"/>
      <c r="AH108" s="694" t="s">
        <v>1037</v>
      </c>
      <c r="AI108" s="653"/>
      <c r="AJ108" s="653"/>
      <c r="AK108" s="478"/>
      <c r="AL108" s="478"/>
    </row>
    <row r="109" spans="1:38" s="4" customFormat="1" ht="14.65" hidden="1" customHeight="1">
      <c r="A109" s="485"/>
      <c r="B109" s="22"/>
      <c r="C109" s="22"/>
      <c r="D109" s="22"/>
      <c r="E109" s="447">
        <v>15</v>
      </c>
      <c r="F109" s="266" cm="1">
        <f t="array" aca="1" ref="F109" ca="1">OFFSET(E109,-1,1)</f>
        <v>0</v>
      </c>
      <c r="G109" s="22"/>
      <c r="H109" s="22"/>
      <c r="I109" s="22"/>
      <c r="J109" s="22"/>
      <c r="K109" s="22"/>
      <c r="L109" s="22"/>
      <c r="M109" s="22"/>
      <c r="N109" s="22"/>
      <c r="O109" s="22"/>
      <c r="P109" s="22"/>
      <c r="Q109" s="22"/>
      <c r="R109" s="22"/>
      <c r="S109" s="22"/>
      <c r="T109" s="351" t="b" cm="1">
        <f t="array" aca="1" ref="T109" ca="1">T108</f>
        <v>0</v>
      </c>
      <c r="U109" s="22"/>
      <c r="V109" s="22"/>
      <c r="W109" s="22"/>
      <c r="X109" s="1046"/>
      <c r="Y109" s="22"/>
      <c r="Z109" s="1047"/>
      <c r="AA109" s="22"/>
      <c r="AB109" s="514" t="s">
        <v>1578</v>
      </c>
      <c r="AC109" s="407" t="s">
        <v>1501</v>
      </c>
      <c r="AD109" s="400" t="s">
        <v>859</v>
      </c>
      <c r="AE109" s="888"/>
      <c r="AF109" s="314"/>
      <c r="AG109" s="314"/>
      <c r="AH109" s="694" t="s">
        <v>2433</v>
      </c>
      <c r="AI109" s="653"/>
      <c r="AJ109" s="653"/>
      <c r="AK109" s="478"/>
      <c r="AL109" s="478"/>
    </row>
    <row r="110" spans="1:38" ht="14.65" hidden="1" customHeight="1">
      <c r="E110" s="447">
        <v>15</v>
      </c>
      <c r="F110" s="3" cm="1">
        <f t="array" aca="1" ref="F110" ca="1">OFFSET(E110,-1,1)</f>
        <v>0</v>
      </c>
      <c r="H110" s="22" t="s">
        <v>2434</v>
      </c>
      <c r="T110" s="351" t="b" cm="1">
        <f t="array" aca="1" ref="T110" ca="1">T107</f>
        <v>0</v>
      </c>
      <c r="X110" s="1046"/>
      <c r="Z110" s="1047"/>
      <c r="AB110" s="514" t="s">
        <v>1582</v>
      </c>
      <c r="AC110" s="399" t="s">
        <v>2435</v>
      </c>
      <c r="AD110" s="400" t="s">
        <v>859</v>
      </c>
      <c r="AE110" s="888"/>
      <c r="AH110" s="653" t="s">
        <v>2436</v>
      </c>
    </row>
    <row r="111" spans="1:38" s="4" customFormat="1" ht="32.1" hidden="1" customHeight="1">
      <c r="A111" s="485"/>
      <c r="B111" s="22"/>
      <c r="C111" s="22"/>
      <c r="D111" s="22"/>
      <c r="E111" s="447">
        <v>33</v>
      </c>
      <c r="F111" s="266" cm="1">
        <f t="array" aca="1" ref="F111" ca="1">OFFSET(E111,-1,1)</f>
        <v>0</v>
      </c>
      <c r="G111" s="22"/>
      <c r="H111" s="22"/>
      <c r="I111" s="22"/>
      <c r="J111" s="22"/>
      <c r="K111" s="22"/>
      <c r="L111" s="22"/>
      <c r="M111" s="22"/>
      <c r="N111" s="22"/>
      <c r="O111" s="22"/>
      <c r="P111" s="22"/>
      <c r="Q111" s="22"/>
      <c r="R111" s="22"/>
      <c r="S111" s="22"/>
      <c r="T111" s="351" t="b" cm="1">
        <f t="array" aca="1" ref="T111" ca="1">T110</f>
        <v>0</v>
      </c>
      <c r="U111" s="22"/>
      <c r="V111" s="22"/>
      <c r="W111" s="22"/>
      <c r="X111" s="1046"/>
      <c r="Y111" s="22"/>
      <c r="Z111" s="1047"/>
      <c r="AA111" s="22"/>
      <c r="AB111" s="514" t="s">
        <v>1585</v>
      </c>
      <c r="AC111" s="399" t="s">
        <v>2134</v>
      </c>
      <c r="AD111" s="400" t="s">
        <v>859</v>
      </c>
      <c r="AE111" s="888"/>
      <c r="AF111" s="314"/>
      <c r="AG111" s="314"/>
      <c r="AH111" s="653" t="s">
        <v>2437</v>
      </c>
      <c r="AI111" s="653"/>
      <c r="AJ111" s="653"/>
      <c r="AK111" s="478"/>
      <c r="AL111" s="478"/>
    </row>
    <row r="112" spans="1:38" ht="14.65" hidden="1" customHeight="1">
      <c r="E112" s="447">
        <v>15</v>
      </c>
      <c r="F112" s="3" cm="1">
        <f t="array" aca="1" ref="F112" ca="1">OFFSET(E112,-1,1)</f>
        <v>0</v>
      </c>
      <c r="H112" s="22" t="s">
        <v>2438</v>
      </c>
      <c r="T112" s="351" t="b" cm="1">
        <f t="array" aca="1" ref="T112" ca="1">T110</f>
        <v>0</v>
      </c>
      <c r="X112" s="1046"/>
      <c r="Z112" s="1047"/>
      <c r="AB112" s="514" t="s">
        <v>2439</v>
      </c>
      <c r="AC112" s="399" t="s">
        <v>2440</v>
      </c>
      <c r="AD112" s="400" t="s">
        <v>859</v>
      </c>
      <c r="AE112" s="404">
        <f>SUM(AE113:AE114)</f>
        <v>0</v>
      </c>
      <c r="AH112" s="653" t="s">
        <v>2441</v>
      </c>
    </row>
    <row r="113" spans="5:38" ht="14.65" hidden="1" customHeight="1">
      <c r="E113" s="447">
        <v>15</v>
      </c>
      <c r="F113" s="3" cm="1">
        <f t="array" aca="1" ref="F113" ca="1">OFFSET(E113,-1,1)</f>
        <v>0</v>
      </c>
      <c r="H113" s="22" t="s">
        <v>2438</v>
      </c>
      <c r="I113" s="408" cm="1">
        <f t="array" ref="I113">AC113</f>
        <v>0</v>
      </c>
      <c r="T113" s="351" t="b">
        <f ca="1">AND(F113&gt;0,Y113&gt;0)</f>
        <v>0</v>
      </c>
      <c r="W113" s="17" t="s">
        <v>171</v>
      </c>
      <c r="X113" s="1046"/>
      <c r="Y113" s="22">
        <v>0</v>
      </c>
      <c r="Z113" s="1047"/>
      <c r="AA113" s="480" t="s">
        <v>172</v>
      </c>
      <c r="AB113" s="514" t="str">
        <f>"2.12."&amp;Y113</f>
        <v>2.12.0</v>
      </c>
      <c r="AC113" s="922"/>
      <c r="AD113" s="400" t="s">
        <v>859</v>
      </c>
      <c r="AE113" s="888"/>
      <c r="AH113" s="653" t="s">
        <v>2441</v>
      </c>
      <c r="AI113" s="653" t="s">
        <v>2442</v>
      </c>
      <c r="AJ113" s="659" cm="1">
        <f t="array" ref="AJ113">AC113</f>
        <v>0</v>
      </c>
      <c r="AL113" s="478" t="b">
        <v>1</v>
      </c>
    </row>
    <row r="114" spans="5:38" ht="14.65" hidden="1" customHeight="1">
      <c r="E114" s="447">
        <v>15</v>
      </c>
      <c r="F114" s="3" cm="1">
        <f t="array" aca="1" ref="F114" ca="1">OFFSET(E114,-1,1)</f>
        <v>0</v>
      </c>
      <c r="I114" s="72" t="str">
        <f>"!== 'не определено' &amp;&amp; row.l2_13 !== null"</f>
        <v>!== 'не определено' &amp;&amp; row.l2_13 !== null</v>
      </c>
      <c r="T114" s="351" t="b">
        <f ca="1">F114&gt;0</f>
        <v>0</v>
      </c>
      <c r="W114" s="504" t="s">
        <v>918</v>
      </c>
      <c r="X114" s="1046"/>
      <c r="Z114" s="1047"/>
      <c r="AB114" s="782"/>
      <c r="AC114" s="783" t="s">
        <v>175</v>
      </c>
      <c r="AD114" s="784"/>
      <c r="AE114" s="794"/>
      <c r="AK114" s="478" t="s">
        <v>2442</v>
      </c>
    </row>
    <row r="115" spans="5:38" ht="14.65" hidden="1" customHeight="1">
      <c r="E115" s="447">
        <v>15</v>
      </c>
      <c r="F115" s="3" cm="1">
        <f t="array" aca="1" ref="F115" ca="1">OFFSET(E115,-1,1)</f>
        <v>0</v>
      </c>
      <c r="G115" s="22" t="s">
        <v>49</v>
      </c>
      <c r="H115" s="22" t="s">
        <v>323</v>
      </c>
      <c r="T115" s="351" t="b" cm="1">
        <f t="array" aca="1" ref="T115" ca="1">T114</f>
        <v>0</v>
      </c>
      <c r="X115" s="1046"/>
      <c r="Z115" s="1047"/>
      <c r="AB115" s="513" t="s">
        <v>319</v>
      </c>
      <c r="AC115" s="397" t="s">
        <v>2137</v>
      </c>
      <c r="AD115" s="398" t="s">
        <v>859</v>
      </c>
      <c r="AE115" s="923"/>
      <c r="AH115" s="653" t="s">
        <v>1751</v>
      </c>
    </row>
    <row r="116" spans="5:38" ht="14.25" customHeight="1">
      <c r="E116" s="447">
        <v>15</v>
      </c>
      <c r="F116" s="266" t="str" cm="1">
        <f t="array" ref="F116">X116</f>
        <v>1</v>
      </c>
      <c r="G116" s="22" t="s">
        <v>852</v>
      </c>
      <c r="T116" s="351" t="b">
        <f>X116&gt;0</f>
        <v>1</v>
      </c>
      <c r="V116" s="22" t="str" cm="1">
        <f t="array" ref="V116">'ДПР (концессии)'!$AB$81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116" s="1046" t="s">
        <v>277</v>
      </c>
      <c r="Z116" s="1047"/>
      <c r="AB116" s="135" t="str" cm="1">
        <f t="array" ref="AB116">'ДПР (концессии)'!$AB$81</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116" s="94"/>
      <c r="AD116" s="88"/>
      <c r="AE116" s="781">
        <f>AE117+AE167+AE204</f>
        <v>0</v>
      </c>
    </row>
    <row r="117" spans="5:38" ht="14.25" customHeight="1">
      <c r="E117" s="447">
        <v>15</v>
      </c>
      <c r="F117" s="3" t="str" cm="1">
        <f t="array" aca="1" ref="F117" ca="1">OFFSET(E117,-1,1)</f>
        <v>1</v>
      </c>
      <c r="H117" s="22" t="s">
        <v>321</v>
      </c>
      <c r="T117" s="351" t="b" cm="1">
        <f t="array" ref="T117">T116</f>
        <v>1</v>
      </c>
      <c r="X117" s="1046"/>
      <c r="Z117" s="1047"/>
      <c r="AB117" s="513" t="s">
        <v>277</v>
      </c>
      <c r="AC117" s="397" t="s">
        <v>1943</v>
      </c>
      <c r="AD117" s="398" t="s">
        <v>859</v>
      </c>
      <c r="AE117" s="404">
        <f>AE118+AE136+AE144+AE164</f>
        <v>0</v>
      </c>
      <c r="AH117" s="653" t="s">
        <v>577</v>
      </c>
    </row>
    <row r="118" spans="5:38" ht="14.25" customHeight="1">
      <c r="E118" s="447">
        <v>15</v>
      </c>
      <c r="F118" s="3" t="str" cm="1">
        <f t="array" aca="1" ref="F118" ca="1">OFFSET(E118,-1,1)</f>
        <v>1</v>
      </c>
      <c r="H118" s="22" t="s">
        <v>507</v>
      </c>
      <c r="T118" s="351" t="b" cm="1">
        <f t="array" ref="T118">T117</f>
        <v>1</v>
      </c>
      <c r="X118" s="1046"/>
      <c r="Z118" s="1047"/>
      <c r="AB118" s="514" t="s">
        <v>936</v>
      </c>
      <c r="AC118" s="399" t="s">
        <v>1739</v>
      </c>
      <c r="AD118" s="400" t="s">
        <v>859</v>
      </c>
      <c r="AE118" s="404">
        <f>AE119+AE120+AE121+AE126+AE127+AE128</f>
        <v>0</v>
      </c>
      <c r="AH118" s="653" t="s">
        <v>1137</v>
      </c>
    </row>
    <row r="119" spans="5:38" ht="14.25" customHeight="1">
      <c r="E119" s="447">
        <v>15</v>
      </c>
      <c r="F119" s="3" t="str" cm="1">
        <f t="array" aca="1" ref="F119" ca="1">OFFSET(E119,-1,1)</f>
        <v>1</v>
      </c>
      <c r="H119" s="22" t="s">
        <v>1040</v>
      </c>
      <c r="T119" s="351" t="b" cm="1">
        <f t="array" ref="T119">T118</f>
        <v>1</v>
      </c>
      <c r="X119" s="1046"/>
      <c r="Z119" s="1047"/>
      <c r="AB119" s="514" t="s">
        <v>1041</v>
      </c>
      <c r="AC119" s="401" t="s">
        <v>2309</v>
      </c>
      <c r="AD119" s="400" t="s">
        <v>859</v>
      </c>
      <c r="AE119" s="142"/>
      <c r="AH119" s="653" t="s">
        <v>1274</v>
      </c>
    </row>
    <row r="120" spans="5:38" ht="21.75" customHeight="1">
      <c r="E120" s="447">
        <v>22.5</v>
      </c>
      <c r="F120" s="3" t="str" cm="1">
        <f t="array" aca="1" ref="F120" ca="1">OFFSET(E120,-1,1)</f>
        <v>1</v>
      </c>
      <c r="H120" s="22" t="s">
        <v>1044</v>
      </c>
      <c r="T120" s="351" t="b" cm="1">
        <f t="array" ref="T120">T119</f>
        <v>1</v>
      </c>
      <c r="X120" s="1046"/>
      <c r="Z120" s="1047"/>
      <c r="AB120" s="514" t="s">
        <v>1045</v>
      </c>
      <c r="AC120" s="401" t="s">
        <v>1951</v>
      </c>
      <c r="AD120" s="400" t="s">
        <v>859</v>
      </c>
      <c r="AE120" s="142"/>
      <c r="AH120" s="653" t="s">
        <v>1772</v>
      </c>
    </row>
    <row r="121" spans="5:38" ht="32.25" customHeight="1">
      <c r="E121" s="447">
        <v>33.75</v>
      </c>
      <c r="F121" s="3" t="str" cm="1">
        <f t="array" aca="1" ref="F121" ca="1">OFFSET(E121,-1,1)</f>
        <v>1</v>
      </c>
      <c r="H121" s="22" t="s">
        <v>1353</v>
      </c>
      <c r="T121" s="351" t="b" cm="1">
        <f t="array" ref="T121">T120</f>
        <v>1</v>
      </c>
      <c r="X121" s="1046"/>
      <c r="Z121" s="1047"/>
      <c r="AB121" s="514" t="s">
        <v>1354</v>
      </c>
      <c r="AC121" s="401" t="s">
        <v>2310</v>
      </c>
      <c r="AD121" s="400" t="s">
        <v>859</v>
      </c>
      <c r="AE121" s="404">
        <f>AE122+AE125</f>
        <v>0</v>
      </c>
      <c r="AH121" s="653" t="s">
        <v>1774</v>
      </c>
    </row>
    <row r="122" spans="5:38" ht="21.75" customHeight="1">
      <c r="E122" s="447">
        <v>22.5</v>
      </c>
      <c r="F122" s="3" t="str" cm="1">
        <f t="array" aca="1" ref="F122" ca="1">OFFSET(E122,-1,1)</f>
        <v>1</v>
      </c>
      <c r="H122" s="22" t="s">
        <v>2311</v>
      </c>
      <c r="T122" s="351" t="b" cm="1">
        <f t="array" ref="T122">T121</f>
        <v>1</v>
      </c>
      <c r="X122" s="1046"/>
      <c r="Z122" s="1047"/>
      <c r="AB122" s="514" t="s">
        <v>2312</v>
      </c>
      <c r="AC122" s="402" t="s">
        <v>2313</v>
      </c>
      <c r="AD122" s="400" t="s">
        <v>859</v>
      </c>
      <c r="AE122" s="142"/>
      <c r="AH122" s="653" t="s">
        <v>1776</v>
      </c>
    </row>
    <row r="123" spans="5:38" ht="21.75" customHeight="1">
      <c r="E123" s="447">
        <v>22.5</v>
      </c>
      <c r="F123" s="3" t="str" cm="1">
        <f t="array" aca="1" ref="F123" ca="1">OFFSET(E123,-1,1)</f>
        <v>1</v>
      </c>
      <c r="H123" s="22" t="s">
        <v>2314</v>
      </c>
      <c r="T123" s="351" t="b" cm="1">
        <f t="array" ref="T123">T122</f>
        <v>1</v>
      </c>
      <c r="X123" s="1046"/>
      <c r="Z123" s="1047"/>
      <c r="AB123" s="514" t="s">
        <v>2315</v>
      </c>
      <c r="AC123" s="403" t="s">
        <v>2316</v>
      </c>
      <c r="AD123" s="400" t="s">
        <v>2317</v>
      </c>
      <c r="AE123" s="142"/>
      <c r="AH123" s="653" t="s">
        <v>2318</v>
      </c>
    </row>
    <row r="124" spans="5:38" ht="21.75" customHeight="1">
      <c r="E124" s="447">
        <v>22.5</v>
      </c>
      <c r="F124" s="3" t="str" cm="1">
        <f t="array" aca="1" ref="F124" ca="1">OFFSET(E124,-1,1)</f>
        <v>1</v>
      </c>
      <c r="H124" s="22" t="s">
        <v>2319</v>
      </c>
      <c r="T124" s="351" t="b" cm="1">
        <f t="array" ref="T124">T123</f>
        <v>1</v>
      </c>
      <c r="X124" s="1046"/>
      <c r="Z124" s="1047"/>
      <c r="AB124" s="514" t="s">
        <v>2320</v>
      </c>
      <c r="AC124" s="403" t="s">
        <v>2321</v>
      </c>
      <c r="AD124" s="400" t="s">
        <v>2322</v>
      </c>
      <c r="AE124" s="142"/>
      <c r="AH124" s="653" t="s">
        <v>2323</v>
      </c>
    </row>
    <row r="125" spans="5:38" ht="21.75" customHeight="1">
      <c r="E125" s="447">
        <v>22.5</v>
      </c>
      <c r="F125" s="3" t="str" cm="1">
        <f t="array" aca="1" ref="F125" ca="1">OFFSET(E125,-1,1)</f>
        <v>1</v>
      </c>
      <c r="H125" s="22" t="s">
        <v>2324</v>
      </c>
      <c r="T125" s="351" t="b" cm="1">
        <f t="array" ref="T125">T124</f>
        <v>1</v>
      </c>
      <c r="X125" s="1046"/>
      <c r="Z125" s="1047"/>
      <c r="AB125" s="514" t="s">
        <v>2325</v>
      </c>
      <c r="AC125" s="402" t="s">
        <v>2326</v>
      </c>
      <c r="AD125" s="400" t="s">
        <v>859</v>
      </c>
      <c r="AE125" s="142"/>
      <c r="AH125" s="653" t="s">
        <v>1778</v>
      </c>
    </row>
    <row r="126" spans="5:38" ht="14.25" customHeight="1">
      <c r="E126" s="447">
        <v>15</v>
      </c>
      <c r="F126" s="3" t="str" cm="1">
        <f t="array" aca="1" ref="F126" ca="1">OFFSET(E126,-1,1)</f>
        <v>1</v>
      </c>
      <c r="H126" s="22" t="s">
        <v>1357</v>
      </c>
      <c r="T126" s="351" t="b" cm="1">
        <f t="array" ref="T126">T125</f>
        <v>1</v>
      </c>
      <c r="X126" s="1046"/>
      <c r="Z126" s="1047"/>
      <c r="AB126" s="514" t="s">
        <v>1358</v>
      </c>
      <c r="AC126" s="401" t="s">
        <v>2327</v>
      </c>
      <c r="AD126" s="400" t="s">
        <v>859</v>
      </c>
      <c r="AE126" s="142"/>
      <c r="AH126" s="653" t="s">
        <v>2132</v>
      </c>
    </row>
    <row r="127" spans="5:38" ht="14.25" customHeight="1">
      <c r="E127" s="447">
        <v>15</v>
      </c>
      <c r="F127" s="3" t="str" cm="1">
        <f t="array" aca="1" ref="F127" ca="1">OFFSET(E127,-1,1)</f>
        <v>1</v>
      </c>
      <c r="H127" s="22" t="s">
        <v>2328</v>
      </c>
      <c r="T127" s="351" t="b" cm="1">
        <f t="array" ref="T127">T126</f>
        <v>1</v>
      </c>
      <c r="X127" s="1046"/>
      <c r="Z127" s="1047"/>
      <c r="AB127" s="514" t="s">
        <v>1361</v>
      </c>
      <c r="AC127" s="401" t="s">
        <v>1957</v>
      </c>
      <c r="AD127" s="400" t="s">
        <v>859</v>
      </c>
      <c r="AE127" s="142"/>
      <c r="AH127" s="653" t="s">
        <v>1783</v>
      </c>
    </row>
    <row r="128" spans="5:38" ht="14.25" customHeight="1">
      <c r="E128" s="447">
        <v>15</v>
      </c>
      <c r="F128" s="3" t="str" cm="1">
        <f t="array" aca="1" ref="F128" ca="1">OFFSET(E128,-1,1)</f>
        <v>1</v>
      </c>
      <c r="H128" s="22" t="s">
        <v>2329</v>
      </c>
      <c r="T128" s="351" t="b" cm="1">
        <f t="array" ref="T128">T127</f>
        <v>1</v>
      </c>
      <c r="X128" s="1046"/>
      <c r="Z128" s="1047"/>
      <c r="AB128" s="514" t="s">
        <v>2330</v>
      </c>
      <c r="AC128" s="401" t="s">
        <v>2331</v>
      </c>
      <c r="AD128" s="400" t="s">
        <v>859</v>
      </c>
      <c r="AE128" s="404">
        <f>SUM(AE129:AE135)</f>
        <v>0</v>
      </c>
      <c r="AH128" s="653" t="s">
        <v>1787</v>
      </c>
    </row>
    <row r="129" spans="5:34" ht="14.25" customHeight="1">
      <c r="E129" s="447">
        <v>15</v>
      </c>
      <c r="F129" s="3" t="str" cm="1">
        <f t="array" aca="1" ref="F129" ca="1">OFFSET(E129,-1,1)</f>
        <v>1</v>
      </c>
      <c r="H129" s="22" t="s">
        <v>2332</v>
      </c>
      <c r="T129" s="351" t="b" cm="1">
        <f t="array" ref="T129">T128</f>
        <v>1</v>
      </c>
      <c r="X129" s="1046"/>
      <c r="Z129" s="1047"/>
      <c r="AB129" s="514" t="s">
        <v>2333</v>
      </c>
      <c r="AC129" s="402" t="s">
        <v>1794</v>
      </c>
      <c r="AD129" s="400" t="s">
        <v>859</v>
      </c>
      <c r="AE129" s="142"/>
      <c r="AH129" s="653" t="s">
        <v>2334</v>
      </c>
    </row>
    <row r="130" spans="5:34" ht="21.75" customHeight="1">
      <c r="E130" s="447">
        <v>22.5</v>
      </c>
      <c r="F130" s="3" t="str" cm="1">
        <f t="array" aca="1" ref="F130" ca="1">OFFSET(E130,-1,1)</f>
        <v>1</v>
      </c>
      <c r="H130" s="22" t="s">
        <v>2335</v>
      </c>
      <c r="T130" s="351" t="b" cm="1">
        <f t="array" ref="T130">T129</f>
        <v>1</v>
      </c>
      <c r="X130" s="1046"/>
      <c r="Z130" s="1047"/>
      <c r="AB130" s="514" t="s">
        <v>2336</v>
      </c>
      <c r="AC130" s="402" t="s">
        <v>1965</v>
      </c>
      <c r="AD130" s="400" t="s">
        <v>859</v>
      </c>
      <c r="AE130" s="142"/>
      <c r="AH130" s="694" t="s">
        <v>1966</v>
      </c>
    </row>
    <row r="131" spans="5:34" ht="21.75" customHeight="1">
      <c r="E131" s="447">
        <v>22.5</v>
      </c>
      <c r="F131" s="3" t="str" cm="1">
        <f t="array" aca="1" ref="F131" ca="1">OFFSET(E131,-1,1)</f>
        <v>1</v>
      </c>
      <c r="H131" s="22" t="s">
        <v>2337</v>
      </c>
      <c r="T131" s="351" t="b" cm="1">
        <f t="array" ref="T131">T130</f>
        <v>1</v>
      </c>
      <c r="X131" s="1046"/>
      <c r="Z131" s="1047"/>
      <c r="AB131" s="514" t="s">
        <v>2338</v>
      </c>
      <c r="AC131" s="402" t="s">
        <v>1969</v>
      </c>
      <c r="AD131" s="400" t="s">
        <v>859</v>
      </c>
      <c r="AE131" s="142"/>
      <c r="AH131" s="694" t="s">
        <v>1970</v>
      </c>
    </row>
    <row r="132" spans="5:34" ht="21.75" customHeight="1">
      <c r="E132" s="447">
        <v>22.5</v>
      </c>
      <c r="F132" s="3" t="str" cm="1">
        <f t="array" aca="1" ref="F132" ca="1">OFFSET(E132,-1,1)</f>
        <v>1</v>
      </c>
      <c r="H132" s="22" t="s">
        <v>2339</v>
      </c>
      <c r="T132" s="351" t="b" cm="1">
        <f t="array" ref="T132">T131</f>
        <v>1</v>
      </c>
      <c r="X132" s="1046"/>
      <c r="Z132" s="1047"/>
      <c r="AB132" s="514" t="s">
        <v>2340</v>
      </c>
      <c r="AC132" s="402" t="s">
        <v>2341</v>
      </c>
      <c r="AD132" s="400" t="s">
        <v>859</v>
      </c>
      <c r="AE132" s="142"/>
      <c r="AH132" s="694" t="s">
        <v>1974</v>
      </c>
    </row>
    <row r="133" spans="5:34" ht="54.75" customHeight="1">
      <c r="E133" s="447">
        <v>56.25</v>
      </c>
      <c r="F133" s="3" t="str" cm="1">
        <f t="array" aca="1" ref="F133" ca="1">OFFSET(E133,-1,1)</f>
        <v>1</v>
      </c>
      <c r="H133" s="22" t="s">
        <v>2342</v>
      </c>
      <c r="T133" s="351" t="b" cm="1">
        <f t="array" ref="T133">T132</f>
        <v>1</v>
      </c>
      <c r="X133" s="1046"/>
      <c r="Z133" s="1047"/>
      <c r="AB133" s="514" t="s">
        <v>2343</v>
      </c>
      <c r="AC133" s="402" t="s">
        <v>1977</v>
      </c>
      <c r="AD133" s="400" t="s">
        <v>859</v>
      </c>
      <c r="AE133" s="142"/>
      <c r="AH133" s="694" t="s">
        <v>1799</v>
      </c>
    </row>
    <row r="134" spans="5:34" ht="14.25" customHeight="1">
      <c r="E134" s="447">
        <v>15</v>
      </c>
      <c r="F134" s="3" t="str" cm="1">
        <f t="array" aca="1" ref="F134" ca="1">OFFSET(E134,-1,1)</f>
        <v>1</v>
      </c>
      <c r="H134" s="22" t="s">
        <v>2344</v>
      </c>
      <c r="T134" s="351" t="b" cm="1">
        <f t="array" ref="T134">T133</f>
        <v>1</v>
      </c>
      <c r="X134" s="1046"/>
      <c r="Z134" s="1047"/>
      <c r="AB134" s="514" t="s">
        <v>2345</v>
      </c>
      <c r="AC134" s="402" t="s">
        <v>1802</v>
      </c>
      <c r="AD134" s="400" t="s">
        <v>859</v>
      </c>
      <c r="AE134" s="142"/>
      <c r="AH134" s="694" t="s">
        <v>1803</v>
      </c>
    </row>
    <row r="135" spans="5:34" ht="14.25" customHeight="1">
      <c r="E135" s="447">
        <v>15</v>
      </c>
      <c r="F135" s="3" t="str" cm="1">
        <f t="array" aca="1" ref="F135" ca="1">OFFSET(E135,-1,1)</f>
        <v>1</v>
      </c>
      <c r="H135" s="22" t="s">
        <v>2346</v>
      </c>
      <c r="T135" s="351" t="b" cm="1">
        <f t="array" ref="T135">T134</f>
        <v>1</v>
      </c>
      <c r="X135" s="1046"/>
      <c r="Z135" s="1047"/>
      <c r="AB135" s="514" t="s">
        <v>2347</v>
      </c>
      <c r="AC135" s="402" t="s">
        <v>1247</v>
      </c>
      <c r="AD135" s="400" t="s">
        <v>859</v>
      </c>
      <c r="AE135" s="142"/>
      <c r="AH135" s="694" t="s">
        <v>1787</v>
      </c>
    </row>
    <row r="136" spans="5:34" ht="14.25" customHeight="1">
      <c r="E136" s="447">
        <v>15</v>
      </c>
      <c r="F136" s="3" t="str" cm="1">
        <f t="array" aca="1" ref="F136" ca="1">OFFSET(E136,-1,1)</f>
        <v>1</v>
      </c>
      <c r="H136" s="22" t="s">
        <v>511</v>
      </c>
      <c r="T136" s="351" t="b" cm="1">
        <f t="array" ref="T136">T135</f>
        <v>1</v>
      </c>
      <c r="X136" s="1046"/>
      <c r="Z136" s="1047"/>
      <c r="AB136" s="514" t="s">
        <v>939</v>
      </c>
      <c r="AC136" s="399" t="s">
        <v>2348</v>
      </c>
      <c r="AD136" s="400" t="s">
        <v>859</v>
      </c>
      <c r="AE136" s="404">
        <f>AE137+AE138+AE139</f>
        <v>0</v>
      </c>
      <c r="AH136" s="693" t="s">
        <v>1808</v>
      </c>
    </row>
    <row r="137" spans="5:34" ht="14.25" customHeight="1">
      <c r="E137" s="447">
        <v>15</v>
      </c>
      <c r="F137" s="3" t="str" cm="1">
        <f t="array" aca="1" ref="F137" ca="1">OFFSET(E137,-1,1)</f>
        <v>1</v>
      </c>
      <c r="H137" s="22" t="s">
        <v>1378</v>
      </c>
      <c r="T137" s="351" t="b" cm="1">
        <f t="array" ref="T137">T136</f>
        <v>1</v>
      </c>
      <c r="X137" s="1046"/>
      <c r="Z137" s="1047"/>
      <c r="AB137" s="514" t="s">
        <v>1379</v>
      </c>
      <c r="AC137" s="401" t="s">
        <v>2349</v>
      </c>
      <c r="AD137" s="400" t="s">
        <v>859</v>
      </c>
      <c r="AE137" s="142"/>
      <c r="AH137" s="692" t="s">
        <v>1810</v>
      </c>
    </row>
    <row r="138" spans="5:34" ht="14.25" customHeight="1">
      <c r="E138" s="447">
        <v>15</v>
      </c>
      <c r="F138" s="3" t="str" cm="1">
        <f t="array" aca="1" ref="F138" ca="1">OFFSET(E138,-1,1)</f>
        <v>1</v>
      </c>
      <c r="H138" s="22" t="s">
        <v>1381</v>
      </c>
      <c r="T138" s="351" t="b" cm="1">
        <f t="array" ref="T138">T137</f>
        <v>1</v>
      </c>
      <c r="X138" s="1046"/>
      <c r="Z138" s="1047"/>
      <c r="AB138" s="514" t="s">
        <v>1382</v>
      </c>
      <c r="AC138" s="401" t="s">
        <v>2350</v>
      </c>
      <c r="AD138" s="400" t="s">
        <v>859</v>
      </c>
      <c r="AE138" s="142"/>
      <c r="AH138" s="694" t="s">
        <v>1985</v>
      </c>
    </row>
    <row r="139" spans="5:34" ht="21.75" customHeight="1">
      <c r="E139" s="447">
        <v>22.5</v>
      </c>
      <c r="F139" s="3" t="str" cm="1">
        <f t="array" aca="1" ref="F139" ca="1">OFFSET(E139,-1,1)</f>
        <v>1</v>
      </c>
      <c r="H139" s="22" t="s">
        <v>1385</v>
      </c>
      <c r="T139" s="351" t="b" cm="1">
        <f t="array" ref="T139">T138</f>
        <v>1</v>
      </c>
      <c r="X139" s="1046"/>
      <c r="Z139" s="1047"/>
      <c r="AB139" s="514" t="s">
        <v>1386</v>
      </c>
      <c r="AC139" s="401" t="s">
        <v>2351</v>
      </c>
      <c r="AD139" s="400" t="s">
        <v>859</v>
      </c>
      <c r="AE139" s="404">
        <f>AE140+AE143</f>
        <v>0</v>
      </c>
      <c r="AH139" s="692" t="s">
        <v>1812</v>
      </c>
    </row>
    <row r="140" spans="5:34" ht="14.25" customHeight="1">
      <c r="E140" s="447">
        <v>15</v>
      </c>
      <c r="F140" s="3" t="str" cm="1">
        <f t="array" aca="1" ref="F140" ca="1">OFFSET(E140,-1,1)</f>
        <v>1</v>
      </c>
      <c r="H140" s="22" t="s">
        <v>1529</v>
      </c>
      <c r="T140" s="351" t="b" cm="1">
        <f t="array" ref="T140">T139</f>
        <v>1</v>
      </c>
      <c r="X140" s="1046"/>
      <c r="Z140" s="1047"/>
      <c r="AB140" s="514" t="s">
        <v>1954</v>
      </c>
      <c r="AC140" s="402" t="s">
        <v>1814</v>
      </c>
      <c r="AD140" s="400" t="s">
        <v>859</v>
      </c>
      <c r="AE140" s="142"/>
      <c r="AH140" s="692" t="s">
        <v>1815</v>
      </c>
    </row>
    <row r="141" spans="5:34" ht="14.25" customHeight="1">
      <c r="E141" s="447">
        <v>15</v>
      </c>
      <c r="F141" s="3" t="str" cm="1">
        <f t="array" aca="1" ref="F141" ca="1">OFFSET(E141,-1,1)</f>
        <v>1</v>
      </c>
      <c r="H141" s="22" t="s">
        <v>2352</v>
      </c>
      <c r="T141" s="351" t="b" cm="1">
        <f t="array" ref="T141">T140</f>
        <v>1</v>
      </c>
      <c r="X141" s="1046"/>
      <c r="Z141" s="1047"/>
      <c r="AB141" s="514" t="s">
        <v>2353</v>
      </c>
      <c r="AC141" s="403" t="s">
        <v>2354</v>
      </c>
      <c r="AD141" s="400" t="s">
        <v>2317</v>
      </c>
      <c r="AE141" s="142"/>
      <c r="AH141" s="653" t="s">
        <v>2355</v>
      </c>
    </row>
    <row r="142" spans="5:34" ht="14.25" customHeight="1">
      <c r="E142" s="447">
        <v>15</v>
      </c>
      <c r="F142" s="3" t="str" cm="1">
        <f t="array" aca="1" ref="F142" ca="1">OFFSET(E142,-1,1)</f>
        <v>1</v>
      </c>
      <c r="H142" s="22" t="s">
        <v>2356</v>
      </c>
      <c r="T142" s="351" t="b" cm="1">
        <f t="array" ref="T142">T141</f>
        <v>1</v>
      </c>
      <c r="X142" s="1046"/>
      <c r="Z142" s="1047"/>
      <c r="AB142" s="514" t="s">
        <v>2357</v>
      </c>
      <c r="AC142" s="403" t="s">
        <v>2358</v>
      </c>
      <c r="AD142" s="400" t="s">
        <v>2322</v>
      </c>
      <c r="AE142" s="142"/>
      <c r="AH142" s="653" t="s">
        <v>2359</v>
      </c>
    </row>
    <row r="143" spans="5:34" ht="21.75" customHeight="1">
      <c r="E143" s="447">
        <v>22.5</v>
      </c>
      <c r="F143" s="3" t="str" cm="1">
        <f t="array" aca="1" ref="F143" ca="1">OFFSET(E143,-1,1)</f>
        <v>1</v>
      </c>
      <c r="H143" s="22" t="s">
        <v>1533</v>
      </c>
      <c r="T143" s="351" t="b" cm="1">
        <f t="array" ref="T143">T142</f>
        <v>1</v>
      </c>
      <c r="X143" s="1046"/>
      <c r="Z143" s="1047"/>
      <c r="AB143" s="514" t="s">
        <v>1955</v>
      </c>
      <c r="AC143" s="402" t="s">
        <v>1991</v>
      </c>
      <c r="AD143" s="400" t="s">
        <v>859</v>
      </c>
      <c r="AE143" s="142"/>
      <c r="AH143" s="692" t="s">
        <v>1818</v>
      </c>
    </row>
    <row r="144" spans="5:34" ht="14.25" customHeight="1">
      <c r="E144" s="447">
        <v>15</v>
      </c>
      <c r="F144" s="3" t="str" cm="1">
        <f t="array" aca="1" ref="F144" ca="1">OFFSET(E144,-1,1)</f>
        <v>1</v>
      </c>
      <c r="H144" s="22" t="s">
        <v>514</v>
      </c>
      <c r="T144" s="351" t="b" cm="1">
        <f t="array" ref="T144">T143</f>
        <v>1</v>
      </c>
      <c r="X144" s="1046"/>
      <c r="Z144" s="1047"/>
      <c r="AB144" s="514" t="s">
        <v>942</v>
      </c>
      <c r="AC144" s="399" t="s">
        <v>1992</v>
      </c>
      <c r="AD144" s="400" t="s">
        <v>859</v>
      </c>
      <c r="AE144" s="404">
        <f>AE145+AE151+AE156+AE157+AE158+AE159+AE160</f>
        <v>0</v>
      </c>
      <c r="AH144" s="693" t="s">
        <v>1820</v>
      </c>
    </row>
    <row r="145" spans="5:34" ht="21.75" customHeight="1">
      <c r="E145" s="447">
        <v>22.5</v>
      </c>
      <c r="F145" s="3" t="str" cm="1">
        <f t="array" aca="1" ref="F145" ca="1">OFFSET(E145,-1,1)</f>
        <v>1</v>
      </c>
      <c r="H145" s="22" t="s">
        <v>1391</v>
      </c>
      <c r="T145" s="351" t="b" cm="1">
        <f t="array" ref="T145">T144</f>
        <v>1</v>
      </c>
      <c r="X145" s="1046"/>
      <c r="Z145" s="1047"/>
      <c r="AB145" s="514" t="s">
        <v>1392</v>
      </c>
      <c r="AC145" s="401" t="s">
        <v>1821</v>
      </c>
      <c r="AD145" s="400" t="s">
        <v>859</v>
      </c>
      <c r="AE145" s="404">
        <f>SUM(AE146:AE150)</f>
        <v>0</v>
      </c>
      <c r="AH145" s="692" t="s">
        <v>1200</v>
      </c>
    </row>
    <row r="146" spans="5:34" ht="14.25" customHeight="1">
      <c r="E146" s="447">
        <v>15</v>
      </c>
      <c r="F146" s="3" t="str" cm="1">
        <f t="array" aca="1" ref="F146" ca="1">OFFSET(E146,-1,1)</f>
        <v>1</v>
      </c>
      <c r="H146" s="22" t="s">
        <v>2360</v>
      </c>
      <c r="T146" s="351" t="b" cm="1">
        <f t="array" ref="T146">T145</f>
        <v>1</v>
      </c>
      <c r="X146" s="1046"/>
      <c r="Z146" s="1047"/>
      <c r="AB146" s="514" t="s">
        <v>2361</v>
      </c>
      <c r="AC146" s="402" t="s">
        <v>1202</v>
      </c>
      <c r="AD146" s="400" t="s">
        <v>859</v>
      </c>
      <c r="AE146" s="142"/>
      <c r="AH146" s="694" t="s">
        <v>1203</v>
      </c>
    </row>
    <row r="147" spans="5:34" ht="14.25" customHeight="1">
      <c r="E147" s="447">
        <v>15</v>
      </c>
      <c r="F147" s="3" t="str" cm="1">
        <f t="array" aca="1" ref="F147" ca="1">OFFSET(E147,-1,1)</f>
        <v>1</v>
      </c>
      <c r="H147" s="22" t="s">
        <v>2362</v>
      </c>
      <c r="T147" s="351" t="b" cm="1">
        <f t="array" ref="T147">T146</f>
        <v>1</v>
      </c>
      <c r="X147" s="1046"/>
      <c r="Z147" s="1047"/>
      <c r="AB147" s="514" t="s">
        <v>2363</v>
      </c>
      <c r="AC147" s="402" t="s">
        <v>1205</v>
      </c>
      <c r="AD147" s="400" t="s">
        <v>859</v>
      </c>
      <c r="AE147" s="142"/>
      <c r="AH147" s="694" t="s">
        <v>1206</v>
      </c>
    </row>
    <row r="148" spans="5:34" ht="14.25" customHeight="1">
      <c r="E148" s="447">
        <v>15</v>
      </c>
      <c r="F148" s="3" t="str" cm="1">
        <f t="array" aca="1" ref="F148" ca="1">OFFSET(E148,-1,1)</f>
        <v>1</v>
      </c>
      <c r="H148" s="22" t="s">
        <v>2364</v>
      </c>
      <c r="T148" s="351" t="b" cm="1">
        <f t="array" ref="T148">T147</f>
        <v>1</v>
      </c>
      <c r="X148" s="1046"/>
      <c r="Z148" s="1047"/>
      <c r="AB148" s="514" t="s">
        <v>2365</v>
      </c>
      <c r="AC148" s="402" t="s">
        <v>1208</v>
      </c>
      <c r="AD148" s="400" t="s">
        <v>859</v>
      </c>
      <c r="AE148" s="142"/>
      <c r="AH148" s="694" t="s">
        <v>1209</v>
      </c>
    </row>
    <row r="149" spans="5:34" ht="14.25" customHeight="1">
      <c r="E149" s="447">
        <v>15</v>
      </c>
      <c r="F149" s="3" t="str" cm="1">
        <f t="array" aca="1" ref="F149" ca="1">OFFSET(E149,-1,1)</f>
        <v>1</v>
      </c>
      <c r="H149" s="22" t="s">
        <v>2366</v>
      </c>
      <c r="T149" s="351" t="b" cm="1">
        <f t="array" ref="T149">T148</f>
        <v>1</v>
      </c>
      <c r="X149" s="1046"/>
      <c r="Z149" s="1047"/>
      <c r="AB149" s="514" t="s">
        <v>2367</v>
      </c>
      <c r="AC149" s="402" t="s">
        <v>1211</v>
      </c>
      <c r="AD149" s="400" t="s">
        <v>859</v>
      </c>
      <c r="AE149" s="142"/>
      <c r="AH149" s="694" t="s">
        <v>1212</v>
      </c>
    </row>
    <row r="150" spans="5:34" ht="14.25" customHeight="1">
      <c r="E150" s="447">
        <v>15</v>
      </c>
      <c r="F150" s="3" t="str" cm="1">
        <f t="array" aca="1" ref="F150" ca="1">OFFSET(E150,-1,1)</f>
        <v>1</v>
      </c>
      <c r="H150" s="22" t="s">
        <v>2368</v>
      </c>
      <c r="T150" s="351" t="b" cm="1">
        <f t="array" ref="T150">T149</f>
        <v>1</v>
      </c>
      <c r="X150" s="1046"/>
      <c r="Z150" s="1047"/>
      <c r="AB150" s="514" t="s">
        <v>2369</v>
      </c>
      <c r="AC150" s="402" t="s">
        <v>1219</v>
      </c>
      <c r="AD150" s="400" t="s">
        <v>859</v>
      </c>
      <c r="AE150" s="142"/>
      <c r="AH150" s="694" t="s">
        <v>1220</v>
      </c>
    </row>
    <row r="151" spans="5:34" ht="32.25" customHeight="1">
      <c r="E151" s="447">
        <v>33.75</v>
      </c>
      <c r="F151" s="3" t="str" cm="1">
        <f t="array" aca="1" ref="F151" ca="1">OFFSET(E151,-1,1)</f>
        <v>1</v>
      </c>
      <c r="H151" s="22" t="s">
        <v>1395</v>
      </c>
      <c r="T151" s="351" t="b" cm="1">
        <f t="array" ref="T151">T150</f>
        <v>1</v>
      </c>
      <c r="X151" s="1046"/>
      <c r="Z151" s="1047"/>
      <c r="AB151" s="514" t="s">
        <v>1396</v>
      </c>
      <c r="AC151" s="401" t="s">
        <v>2370</v>
      </c>
      <c r="AD151" s="400" t="s">
        <v>859</v>
      </c>
      <c r="AE151" s="404">
        <f>AE152+AE155</f>
        <v>0</v>
      </c>
      <c r="AH151" s="692" t="s">
        <v>1823</v>
      </c>
    </row>
    <row r="152" spans="5:34" ht="21.75" customHeight="1">
      <c r="E152" s="447">
        <v>22.5</v>
      </c>
      <c r="F152" s="3" t="str" cm="1">
        <f t="array" aca="1" ref="F152" ca="1">OFFSET(E152,-1,1)</f>
        <v>1</v>
      </c>
      <c r="H152" s="22" t="s">
        <v>2371</v>
      </c>
      <c r="T152" s="351" t="b" cm="1">
        <f t="array" ref="T152">T151</f>
        <v>1</v>
      </c>
      <c r="X152" s="1046"/>
      <c r="Z152" s="1047"/>
      <c r="AB152" s="514" t="s">
        <v>2372</v>
      </c>
      <c r="AC152" s="402" t="s">
        <v>1824</v>
      </c>
      <c r="AD152" s="400" t="s">
        <v>859</v>
      </c>
      <c r="AE152" s="142"/>
      <c r="AH152" s="692" t="s">
        <v>1197</v>
      </c>
    </row>
    <row r="153" spans="5:34" ht="14.25" customHeight="1">
      <c r="E153" s="447">
        <v>15</v>
      </c>
      <c r="F153" s="3" t="str" cm="1">
        <f t="array" aca="1" ref="F153" ca="1">OFFSET(E153,-1,1)</f>
        <v>1</v>
      </c>
      <c r="H153" s="22" t="s">
        <v>2373</v>
      </c>
      <c r="T153" s="351" t="b" cm="1">
        <f t="array" ref="T153">T152</f>
        <v>1</v>
      </c>
      <c r="X153" s="1046"/>
      <c r="Z153" s="1047"/>
      <c r="AB153" s="514" t="s">
        <v>2374</v>
      </c>
      <c r="AC153" s="403" t="s">
        <v>2375</v>
      </c>
      <c r="AD153" s="400" t="s">
        <v>2317</v>
      </c>
      <c r="AE153" s="142"/>
      <c r="AH153" s="653" t="s">
        <v>2376</v>
      </c>
    </row>
    <row r="154" spans="5:34" ht="21.75" customHeight="1">
      <c r="E154" s="447">
        <v>22.5</v>
      </c>
      <c r="F154" s="3" t="str" cm="1">
        <f t="array" aca="1" ref="F154" ca="1">OFFSET(E154,-1,1)</f>
        <v>1</v>
      </c>
      <c r="H154" s="22" t="s">
        <v>2377</v>
      </c>
      <c r="T154" s="351" t="b" cm="1">
        <f t="array" ref="T154">T153</f>
        <v>1</v>
      </c>
      <c r="X154" s="1046"/>
      <c r="Z154" s="1047"/>
      <c r="AB154" s="514" t="s">
        <v>2378</v>
      </c>
      <c r="AC154" s="403" t="s">
        <v>2379</v>
      </c>
      <c r="AD154" s="400" t="s">
        <v>2322</v>
      </c>
      <c r="AE154" s="142"/>
      <c r="AH154" s="653" t="s">
        <v>2380</v>
      </c>
    </row>
    <row r="155" spans="5:34" ht="21.75" customHeight="1">
      <c r="E155" s="447">
        <v>22.5</v>
      </c>
      <c r="F155" s="3" t="str" cm="1">
        <f t="array" aca="1" ref="F155" ca="1">OFFSET(E155,-1,1)</f>
        <v>1</v>
      </c>
      <c r="H155" s="22" t="s">
        <v>2381</v>
      </c>
      <c r="T155" s="351" t="b" cm="1">
        <f t="array" ref="T155">T154</f>
        <v>1</v>
      </c>
      <c r="X155" s="1046"/>
      <c r="Z155" s="1047"/>
      <c r="AB155" s="514" t="s">
        <v>2382</v>
      </c>
      <c r="AC155" s="402" t="s">
        <v>2015</v>
      </c>
      <c r="AD155" s="400" t="s">
        <v>859</v>
      </c>
      <c r="AE155" s="142"/>
      <c r="AH155" s="692" t="s">
        <v>1826</v>
      </c>
    </row>
    <row r="156" spans="5:34" ht="21.75" customHeight="1">
      <c r="E156" s="447">
        <v>22.5</v>
      </c>
      <c r="F156" s="3" t="str" cm="1">
        <f t="array" aca="1" ref="F156" ca="1">OFFSET(E156,-1,1)</f>
        <v>1</v>
      </c>
      <c r="H156" s="22" t="s">
        <v>1399</v>
      </c>
      <c r="T156" s="351" t="b" cm="1">
        <f t="array" ref="T156">T155</f>
        <v>1</v>
      </c>
      <c r="X156" s="1046"/>
      <c r="Z156" s="1047"/>
      <c r="AB156" s="514" t="s">
        <v>1400</v>
      </c>
      <c r="AC156" s="401" t="s">
        <v>2383</v>
      </c>
      <c r="AD156" s="400" t="s">
        <v>859</v>
      </c>
      <c r="AE156" s="142"/>
      <c r="AH156" s="692" t="s">
        <v>1228</v>
      </c>
    </row>
    <row r="157" spans="5:34" ht="14.25" customHeight="1">
      <c r="E157" s="447">
        <v>15</v>
      </c>
      <c r="F157" s="3" t="str" cm="1">
        <f t="array" aca="1" ref="F157" ca="1">OFFSET(E157,-1,1)</f>
        <v>1</v>
      </c>
      <c r="H157" s="22" t="s">
        <v>2384</v>
      </c>
      <c r="T157" s="351" t="b" cm="1">
        <f t="array" ref="T157">T156</f>
        <v>1</v>
      </c>
      <c r="X157" s="1046"/>
      <c r="Z157" s="1047"/>
      <c r="AB157" s="514" t="s">
        <v>2385</v>
      </c>
      <c r="AC157" s="401" t="s">
        <v>1230</v>
      </c>
      <c r="AD157" s="400" t="s">
        <v>859</v>
      </c>
      <c r="AE157" s="142"/>
      <c r="AH157" s="692" t="s">
        <v>1231</v>
      </c>
    </row>
    <row r="158" spans="5:34" ht="14.25" customHeight="1">
      <c r="E158" s="447">
        <v>15</v>
      </c>
      <c r="F158" s="3" t="str" cm="1">
        <f t="array" aca="1" ref="F158" ca="1">OFFSET(E158,-1,1)</f>
        <v>1</v>
      </c>
      <c r="H158" s="22" t="s">
        <v>2386</v>
      </c>
      <c r="T158" s="351" t="b" cm="1">
        <f t="array" ref="T158">T157</f>
        <v>1</v>
      </c>
      <c r="X158" s="1046"/>
      <c r="Z158" s="1047"/>
      <c r="AB158" s="514" t="s">
        <v>2387</v>
      </c>
      <c r="AC158" s="401" t="s">
        <v>1233</v>
      </c>
      <c r="AD158" s="400" t="s">
        <v>859</v>
      </c>
      <c r="AE158" s="142"/>
      <c r="AH158" s="692" t="s">
        <v>1234</v>
      </c>
    </row>
    <row r="159" spans="5:34" ht="21.75" customHeight="1">
      <c r="E159" s="447">
        <v>22.5</v>
      </c>
      <c r="F159" s="3" t="str" cm="1">
        <f t="array" aca="1" ref="F159" ca="1">OFFSET(E159,-1,1)</f>
        <v>1</v>
      </c>
      <c r="H159" s="22" t="s">
        <v>2388</v>
      </c>
      <c r="T159" s="351" t="b" cm="1">
        <f t="array" ref="T159">T158</f>
        <v>1</v>
      </c>
      <c r="X159" s="1046"/>
      <c r="Z159" s="1047"/>
      <c r="AB159" s="514" t="s">
        <v>2389</v>
      </c>
      <c r="AC159" s="401" t="s">
        <v>2390</v>
      </c>
      <c r="AD159" s="400" t="s">
        <v>859</v>
      </c>
      <c r="AE159" s="142"/>
      <c r="AH159" s="692" t="s">
        <v>1828</v>
      </c>
    </row>
    <row r="160" spans="5:34" ht="14.25" customHeight="1">
      <c r="E160" s="447">
        <v>15</v>
      </c>
      <c r="F160" s="3" t="str" cm="1">
        <f t="array" aca="1" ref="F160" ca="1">OFFSET(E160,-1,1)</f>
        <v>1</v>
      </c>
      <c r="H160" s="22" t="s">
        <v>2391</v>
      </c>
      <c r="T160" s="351" t="b" cm="1">
        <f t="array" ref="T160">T159</f>
        <v>1</v>
      </c>
      <c r="X160" s="1046"/>
      <c r="Z160" s="1047"/>
      <c r="AB160" s="514" t="s">
        <v>2392</v>
      </c>
      <c r="AC160" s="401" t="s">
        <v>2393</v>
      </c>
      <c r="AD160" s="400" t="s">
        <v>859</v>
      </c>
      <c r="AE160" s="404">
        <f>AE161+AE162+AE163</f>
        <v>0</v>
      </c>
      <c r="AH160" s="692" t="s">
        <v>1830</v>
      </c>
    </row>
    <row r="161" spans="1:38" ht="14.25" customHeight="1">
      <c r="E161" s="447">
        <v>15</v>
      </c>
      <c r="F161" s="3" t="str" cm="1">
        <f t="array" aca="1" ref="F161" ca="1">OFFSET(E161,-1,1)</f>
        <v>1</v>
      </c>
      <c r="H161" s="22" t="s">
        <v>2394</v>
      </c>
      <c r="T161" s="351" t="b" cm="1">
        <f t="array" ref="T161">T160</f>
        <v>1</v>
      </c>
      <c r="X161" s="1046"/>
      <c r="Z161" s="1047"/>
      <c r="AB161" s="514" t="s">
        <v>2395</v>
      </c>
      <c r="AC161" s="402" t="s">
        <v>2396</v>
      </c>
      <c r="AD161" s="400" t="s">
        <v>859</v>
      </c>
      <c r="AE161" s="142"/>
      <c r="AH161" s="692" t="s">
        <v>1834</v>
      </c>
    </row>
    <row r="162" spans="1:38" ht="14.25" customHeight="1">
      <c r="E162" s="447">
        <v>15</v>
      </c>
      <c r="F162" s="3" t="str" cm="1">
        <f t="array" aca="1" ref="F162" ca="1">OFFSET(E162,-1,1)</f>
        <v>1</v>
      </c>
      <c r="H162" s="22" t="s">
        <v>2397</v>
      </c>
      <c r="T162" s="351" t="b" cm="1">
        <f t="array" ref="T162">T161</f>
        <v>1</v>
      </c>
      <c r="X162" s="1046"/>
      <c r="Z162" s="1047"/>
      <c r="AB162" s="514" t="s">
        <v>2398</v>
      </c>
      <c r="AC162" s="402" t="s">
        <v>2399</v>
      </c>
      <c r="AD162" s="400" t="s">
        <v>859</v>
      </c>
      <c r="AE162" s="142"/>
      <c r="AH162" s="692" t="s">
        <v>1837</v>
      </c>
    </row>
    <row r="163" spans="1:38" ht="14.25" customHeight="1">
      <c r="E163" s="447">
        <v>15</v>
      </c>
      <c r="F163" s="3" t="str" cm="1">
        <f t="array" aca="1" ref="F163" ca="1">OFFSET(E163,-1,1)</f>
        <v>1</v>
      </c>
      <c r="H163" s="22" t="s">
        <v>2400</v>
      </c>
      <c r="T163" s="351" t="b" cm="1">
        <f t="array" ref="T163">T162</f>
        <v>1</v>
      </c>
      <c r="X163" s="1046"/>
      <c r="Z163" s="1047"/>
      <c r="AB163" s="514" t="s">
        <v>2401</v>
      </c>
      <c r="AC163" s="402" t="s">
        <v>1247</v>
      </c>
      <c r="AD163" s="400" t="s">
        <v>859</v>
      </c>
      <c r="AE163" s="142"/>
      <c r="AH163" s="692" t="s">
        <v>1840</v>
      </c>
    </row>
    <row r="164" spans="1:38" ht="14.25" customHeight="1">
      <c r="E164" s="447">
        <v>15</v>
      </c>
      <c r="F164" s="3" t="str" cm="1">
        <f t="array" aca="1" ref="F164" ca="1">OFFSET(E164,-1,1)</f>
        <v>1</v>
      </c>
      <c r="H164" s="22" t="s">
        <v>518</v>
      </c>
      <c r="T164" s="351" t="b" cm="1">
        <f t="array" ref="T164">T163</f>
        <v>1</v>
      </c>
      <c r="X164" s="1046"/>
      <c r="Z164" s="1047"/>
      <c r="AB164" s="514" t="s">
        <v>945</v>
      </c>
      <c r="AC164" s="399" t="s">
        <v>2402</v>
      </c>
      <c r="AD164" s="400" t="s">
        <v>859</v>
      </c>
      <c r="AE164" s="404">
        <f>SUM(AE165:AE166)</f>
        <v>0</v>
      </c>
      <c r="AH164" s="694" t="s">
        <v>2403</v>
      </c>
    </row>
    <row r="165" spans="1:38" ht="14.25" hidden="1" customHeight="1">
      <c r="E165" s="447">
        <v>15</v>
      </c>
      <c r="F165" s="3" t="str" cm="1">
        <f t="array" aca="1" ref="F165" ca="1">OFFSET(E165,-1,1)</f>
        <v>1</v>
      </c>
      <c r="H165" s="22" t="s">
        <v>518</v>
      </c>
      <c r="I165" s="408" cm="1">
        <f t="array" ref="I165">AC165</f>
        <v>0</v>
      </c>
      <c r="T165" s="351" t="b">
        <f ca="1">AND(F165&gt;0,Y165&gt;0)</f>
        <v>0</v>
      </c>
      <c r="W165" s="17" t="s">
        <v>171</v>
      </c>
      <c r="X165" s="1046"/>
      <c r="Y165" s="22">
        <v>0</v>
      </c>
      <c r="Z165" s="1047"/>
      <c r="AA165" s="480" t="s">
        <v>172</v>
      </c>
      <c r="AB165" s="514" t="str">
        <f>"1.4."&amp;Y165</f>
        <v>1.4.0</v>
      </c>
      <c r="AC165" s="922"/>
      <c r="AD165" s="400" t="s">
        <v>859</v>
      </c>
      <c r="AE165" s="888"/>
      <c r="AH165" s="694" t="s">
        <v>2403</v>
      </c>
      <c r="AI165" s="653" t="s">
        <v>2404</v>
      </c>
      <c r="AJ165" s="653" cm="1">
        <f t="array" ref="AJ165">AC165</f>
        <v>0</v>
      </c>
      <c r="AL165" s="478" t="b">
        <v>1</v>
      </c>
    </row>
    <row r="166" spans="1:38" ht="14.25" customHeight="1">
      <c r="E166" s="447">
        <v>15</v>
      </c>
      <c r="F166" s="3" t="str" cm="1">
        <f t="array" aca="1" ref="F166" ca="1">OFFSET(E166,-1,1)</f>
        <v>1</v>
      </c>
      <c r="I166" s="72" t="str">
        <f>"!== 'не определено' &amp;&amp; row.l1_4 !== null"</f>
        <v>!== 'не определено' &amp;&amp; row.l1_4 !== null</v>
      </c>
      <c r="T166" s="351" t="b">
        <f ca="1">F166&gt;0</f>
        <v>1</v>
      </c>
      <c r="W166" s="504" t="s">
        <v>388</v>
      </c>
      <c r="X166" s="1046"/>
      <c r="Z166" s="1047"/>
      <c r="AB166" s="782"/>
      <c r="AC166" s="783" t="s">
        <v>175</v>
      </c>
      <c r="AD166" s="784"/>
      <c r="AE166" s="794"/>
      <c r="AK166" s="478" t="s">
        <v>2404</v>
      </c>
    </row>
    <row r="167" spans="1:38" ht="14.25" customHeight="1">
      <c r="E167" s="447">
        <v>15</v>
      </c>
      <c r="F167" s="3" t="str" cm="1">
        <f t="array" aca="1" ref="F167" ca="1">OFFSET(E167,-1,1)</f>
        <v>1</v>
      </c>
      <c r="H167" s="22" t="s">
        <v>322</v>
      </c>
      <c r="T167" s="351" t="b" cm="1">
        <f t="array" aca="1" ref="T167" ca="1">T166</f>
        <v>1</v>
      </c>
      <c r="X167" s="1046"/>
      <c r="Z167" s="1047"/>
      <c r="AB167" s="513" t="s">
        <v>435</v>
      </c>
      <c r="AC167" s="397" t="s">
        <v>2040</v>
      </c>
      <c r="AD167" s="398" t="s">
        <v>859</v>
      </c>
      <c r="AE167" s="404">
        <f>AE168+AE180+AE181+AE191+AE192+AE193+AE196+AE197+AE198+AE199+AE200+AE201</f>
        <v>0</v>
      </c>
      <c r="AH167" s="653" t="s">
        <v>2405</v>
      </c>
    </row>
    <row r="168" spans="1:38" s="4" customFormat="1" ht="26.25" customHeight="1">
      <c r="A168" s="485"/>
      <c r="B168" s="22"/>
      <c r="C168" s="22"/>
      <c r="D168" s="22"/>
      <c r="E168" s="447">
        <v>27</v>
      </c>
      <c r="F168" s="266" t="str" cm="1">
        <f t="array" aca="1" ref="F168" ca="1">OFFSET(E168,-1,1)</f>
        <v>1</v>
      </c>
      <c r="G168" s="22"/>
      <c r="H168" s="22"/>
      <c r="I168" s="22"/>
      <c r="J168" s="22"/>
      <c r="K168" s="22"/>
      <c r="L168" s="22"/>
      <c r="M168" s="22"/>
      <c r="N168" s="22"/>
      <c r="O168" s="22"/>
      <c r="P168" s="22"/>
      <c r="Q168" s="22"/>
      <c r="R168" s="22"/>
      <c r="S168" s="22"/>
      <c r="T168" s="351" t="b" cm="1">
        <f t="array" aca="1" ref="T168" ca="1">T167</f>
        <v>1</v>
      </c>
      <c r="U168" s="22"/>
      <c r="V168" s="22"/>
      <c r="W168" s="22"/>
      <c r="X168" s="1046"/>
      <c r="Y168" s="22"/>
      <c r="Z168" s="1047"/>
      <c r="AA168" s="22"/>
      <c r="AB168" s="514" t="s">
        <v>588</v>
      </c>
      <c r="AC168" s="785" t="s">
        <v>2042</v>
      </c>
      <c r="AD168" s="398" t="s">
        <v>859</v>
      </c>
      <c r="AE168" s="404">
        <f>SUM(AE169:AE179)</f>
        <v>0</v>
      </c>
      <c r="AF168" s="314"/>
      <c r="AG168" s="314"/>
      <c r="AH168" s="694" t="s">
        <v>1248</v>
      </c>
      <c r="AI168" s="653"/>
      <c r="AJ168" s="653"/>
      <c r="AK168" s="478"/>
      <c r="AL168" s="478"/>
    </row>
    <row r="169" spans="1:38" s="4" customFormat="1" ht="14.25" customHeight="1">
      <c r="A169" s="485"/>
      <c r="B169" s="22"/>
      <c r="C169" s="22"/>
      <c r="D169" s="22"/>
      <c r="E169" s="447">
        <v>15</v>
      </c>
      <c r="F169" s="266" t="str" cm="1">
        <f t="array" aca="1" ref="F169" ca="1">OFFSET(E169,-1,1)</f>
        <v>1</v>
      </c>
      <c r="G169" s="22"/>
      <c r="H169" s="22"/>
      <c r="I169" s="22"/>
      <c r="J169" s="22"/>
      <c r="K169" s="22"/>
      <c r="L169" s="22"/>
      <c r="M169" s="22"/>
      <c r="N169" s="22"/>
      <c r="O169" s="22"/>
      <c r="P169" s="22"/>
      <c r="Q169" s="22"/>
      <c r="R169" s="22"/>
      <c r="S169" s="22"/>
      <c r="T169" s="351" t="b" cm="1">
        <f t="array" aca="1" ref="T169" ca="1">T168</f>
        <v>1</v>
      </c>
      <c r="U169" s="22"/>
      <c r="V169" s="22"/>
      <c r="W169" s="22"/>
      <c r="X169" s="1046"/>
      <c r="Y169" s="22"/>
      <c r="Z169" s="1047"/>
      <c r="AA169" s="22"/>
      <c r="AB169" s="514" t="s">
        <v>533</v>
      </c>
      <c r="AC169" s="401" t="s">
        <v>2044</v>
      </c>
      <c r="AD169" s="400" t="s">
        <v>859</v>
      </c>
      <c r="AE169" s="142"/>
      <c r="AF169" s="314"/>
      <c r="AG169" s="314"/>
      <c r="AH169" s="694" t="s">
        <v>2406</v>
      </c>
      <c r="AI169" s="653"/>
      <c r="AJ169" s="653"/>
      <c r="AK169" s="478"/>
      <c r="AL169" s="478"/>
    </row>
    <row r="170" spans="1:38" s="4" customFormat="1" ht="14.25" customHeight="1">
      <c r="A170" s="485"/>
      <c r="B170" s="22"/>
      <c r="C170" s="22"/>
      <c r="D170" s="22"/>
      <c r="E170" s="447">
        <v>15</v>
      </c>
      <c r="F170" s="266" t="str" cm="1">
        <f t="array" aca="1" ref="F170" ca="1">OFFSET(E170,-1,1)</f>
        <v>1</v>
      </c>
      <c r="G170" s="22"/>
      <c r="H170" s="22"/>
      <c r="I170" s="22"/>
      <c r="J170" s="22"/>
      <c r="K170" s="22"/>
      <c r="L170" s="22"/>
      <c r="M170" s="22"/>
      <c r="N170" s="22"/>
      <c r="O170" s="22"/>
      <c r="P170" s="22"/>
      <c r="Q170" s="22"/>
      <c r="R170" s="22"/>
      <c r="S170" s="22"/>
      <c r="T170" s="351" t="b" cm="1">
        <f t="array" aca="1" ref="T170" ca="1">T169</f>
        <v>1</v>
      </c>
      <c r="U170" s="22"/>
      <c r="V170" s="22"/>
      <c r="W170" s="22"/>
      <c r="X170" s="1046"/>
      <c r="Y170" s="22"/>
      <c r="Z170" s="1047"/>
      <c r="AA170" s="22"/>
      <c r="AB170" s="514" t="s">
        <v>2045</v>
      </c>
      <c r="AC170" s="401" t="s">
        <v>2046</v>
      </c>
      <c r="AD170" s="400" t="s">
        <v>859</v>
      </c>
      <c r="AE170" s="142"/>
      <c r="AF170" s="314"/>
      <c r="AG170" s="314"/>
      <c r="AH170" s="694" t="s">
        <v>2407</v>
      </c>
      <c r="AI170" s="653"/>
      <c r="AJ170" s="653"/>
      <c r="AK170" s="478"/>
      <c r="AL170" s="478"/>
    </row>
    <row r="171" spans="1:38" s="4" customFormat="1" ht="14.25" customHeight="1">
      <c r="A171" s="485"/>
      <c r="B171" s="22"/>
      <c r="C171" s="22"/>
      <c r="D171" s="22"/>
      <c r="E171" s="447">
        <v>15</v>
      </c>
      <c r="F171" s="266" t="str" cm="1">
        <f t="array" aca="1" ref="F171" ca="1">OFFSET(E171,-1,1)</f>
        <v>1</v>
      </c>
      <c r="G171" s="22"/>
      <c r="H171" s="22"/>
      <c r="I171" s="22"/>
      <c r="J171" s="22"/>
      <c r="K171" s="22"/>
      <c r="L171" s="22"/>
      <c r="M171" s="22"/>
      <c r="N171" s="22"/>
      <c r="O171" s="22"/>
      <c r="P171" s="22"/>
      <c r="Q171" s="22"/>
      <c r="R171" s="22"/>
      <c r="S171" s="22"/>
      <c r="T171" s="351" t="b" cm="1">
        <f t="array" aca="1" ref="T171" ca="1">T170</f>
        <v>1</v>
      </c>
      <c r="U171" s="22"/>
      <c r="V171" s="22"/>
      <c r="W171" s="22"/>
      <c r="X171" s="1046"/>
      <c r="Y171" s="22"/>
      <c r="Z171" s="1047"/>
      <c r="AA171" s="22"/>
      <c r="AB171" s="514" t="s">
        <v>2047</v>
      </c>
      <c r="AC171" s="401" t="s">
        <v>2048</v>
      </c>
      <c r="AD171" s="400" t="s">
        <v>859</v>
      </c>
      <c r="AE171" s="142"/>
      <c r="AF171" s="314"/>
      <c r="AG171" s="314"/>
      <c r="AH171" s="694" t="s">
        <v>2408</v>
      </c>
      <c r="AI171" s="653"/>
      <c r="AJ171" s="653"/>
      <c r="AK171" s="478"/>
      <c r="AL171" s="478"/>
    </row>
    <row r="172" spans="1:38" s="4" customFormat="1" ht="14.25" customHeight="1">
      <c r="A172" s="485"/>
      <c r="B172" s="22"/>
      <c r="C172" s="22"/>
      <c r="D172" s="22"/>
      <c r="E172" s="447">
        <v>15</v>
      </c>
      <c r="F172" s="266" t="str" cm="1">
        <f t="array" aca="1" ref="F172" ca="1">OFFSET(E172,-1,1)</f>
        <v>1</v>
      </c>
      <c r="G172" s="22"/>
      <c r="H172" s="22"/>
      <c r="I172" s="22"/>
      <c r="J172" s="22"/>
      <c r="K172" s="22"/>
      <c r="L172" s="22"/>
      <c r="M172" s="22"/>
      <c r="N172" s="22"/>
      <c r="O172" s="22"/>
      <c r="P172" s="22"/>
      <c r="Q172" s="22"/>
      <c r="R172" s="22"/>
      <c r="S172" s="22"/>
      <c r="T172" s="351" t="b" cm="1">
        <f t="array" aca="1" ref="T172" ca="1">T171</f>
        <v>1</v>
      </c>
      <c r="U172" s="22"/>
      <c r="V172" s="22"/>
      <c r="W172" s="22"/>
      <c r="X172" s="1046"/>
      <c r="Y172" s="22"/>
      <c r="Z172" s="1047"/>
      <c r="AA172" s="22"/>
      <c r="AB172" s="514" t="s">
        <v>2050</v>
      </c>
      <c r="AC172" s="401" t="s">
        <v>2051</v>
      </c>
      <c r="AD172" s="400" t="s">
        <v>859</v>
      </c>
      <c r="AE172" s="142"/>
      <c r="AF172" s="314"/>
      <c r="AG172" s="314"/>
      <c r="AH172" s="694" t="s">
        <v>2409</v>
      </c>
      <c r="AI172" s="653"/>
      <c r="AJ172" s="653"/>
      <c r="AK172" s="478"/>
      <c r="AL172" s="478"/>
    </row>
    <row r="173" spans="1:38" s="4" customFormat="1" ht="14.25" customHeight="1">
      <c r="A173" s="485"/>
      <c r="B173" s="22"/>
      <c r="C173" s="22"/>
      <c r="D173" s="22"/>
      <c r="E173" s="447">
        <v>15</v>
      </c>
      <c r="F173" s="266" t="str" cm="1">
        <f t="array" aca="1" ref="F173" ca="1">OFFSET(E173,-1,1)</f>
        <v>1</v>
      </c>
      <c r="G173" s="22"/>
      <c r="H173" s="22"/>
      <c r="I173" s="22"/>
      <c r="J173" s="22"/>
      <c r="K173" s="22"/>
      <c r="L173" s="22"/>
      <c r="M173" s="22"/>
      <c r="N173" s="22"/>
      <c r="O173" s="22"/>
      <c r="P173" s="22"/>
      <c r="Q173" s="22"/>
      <c r="R173" s="22"/>
      <c r="S173" s="22"/>
      <c r="T173" s="351" t="b" cm="1">
        <f t="array" aca="1" ref="T173" ca="1">T172</f>
        <v>1</v>
      </c>
      <c r="U173" s="22"/>
      <c r="V173" s="22"/>
      <c r="W173" s="22"/>
      <c r="X173" s="1046"/>
      <c r="Y173" s="22"/>
      <c r="Z173" s="1047"/>
      <c r="AA173" s="22"/>
      <c r="AB173" s="514" t="s">
        <v>2053</v>
      </c>
      <c r="AC173" s="401" t="s">
        <v>2054</v>
      </c>
      <c r="AD173" s="400" t="s">
        <v>859</v>
      </c>
      <c r="AE173" s="142"/>
      <c r="AF173" s="314"/>
      <c r="AG173" s="314"/>
      <c r="AH173" s="694" t="s">
        <v>2410</v>
      </c>
      <c r="AI173" s="653"/>
      <c r="AJ173" s="653"/>
      <c r="AK173" s="478"/>
      <c r="AL173" s="478"/>
    </row>
    <row r="174" spans="1:38" s="4" customFormat="1" ht="26.25" customHeight="1">
      <c r="A174" s="485"/>
      <c r="B174" s="22"/>
      <c r="C174" s="22"/>
      <c r="D174" s="22"/>
      <c r="E174" s="447">
        <v>27</v>
      </c>
      <c r="F174" s="266" t="str" cm="1">
        <f t="array" aca="1" ref="F174" ca="1">OFFSET(E174,-1,1)</f>
        <v>1</v>
      </c>
      <c r="G174" s="22"/>
      <c r="H174" s="22"/>
      <c r="I174" s="22"/>
      <c r="J174" s="22"/>
      <c r="K174" s="22"/>
      <c r="L174" s="22"/>
      <c r="M174" s="22"/>
      <c r="N174" s="22"/>
      <c r="O174" s="22"/>
      <c r="P174" s="22"/>
      <c r="Q174" s="22"/>
      <c r="R174" s="22"/>
      <c r="S174" s="22"/>
      <c r="T174" s="351" t="b" cm="1">
        <f t="array" aca="1" ref="T174" ca="1">T173</f>
        <v>1</v>
      </c>
      <c r="U174" s="22"/>
      <c r="V174" s="22"/>
      <c r="W174" s="22"/>
      <c r="X174" s="1046"/>
      <c r="Y174" s="22"/>
      <c r="Z174" s="1047"/>
      <c r="AA174" s="22"/>
      <c r="AB174" s="514" t="s">
        <v>2056</v>
      </c>
      <c r="AC174" s="401" t="s">
        <v>2057</v>
      </c>
      <c r="AD174" s="400" t="s">
        <v>859</v>
      </c>
      <c r="AE174" s="142"/>
      <c r="AF174" s="314"/>
      <c r="AG174" s="314"/>
      <c r="AH174" s="694" t="s">
        <v>2411</v>
      </c>
      <c r="AI174" s="653"/>
      <c r="AJ174" s="653"/>
      <c r="AK174" s="478"/>
      <c r="AL174" s="478"/>
    </row>
    <row r="175" spans="1:38" s="4" customFormat="1" ht="14.25" customHeight="1">
      <c r="A175" s="485"/>
      <c r="B175" s="22"/>
      <c r="C175" s="22"/>
      <c r="D175" s="22"/>
      <c r="E175" s="447">
        <v>15</v>
      </c>
      <c r="F175" s="266" t="str" cm="1">
        <f t="array" aca="1" ref="F175" ca="1">OFFSET(E175,-1,1)</f>
        <v>1</v>
      </c>
      <c r="G175" s="22"/>
      <c r="H175" s="22"/>
      <c r="I175" s="22"/>
      <c r="J175" s="22"/>
      <c r="K175" s="22"/>
      <c r="L175" s="22"/>
      <c r="M175" s="22"/>
      <c r="N175" s="22"/>
      <c r="O175" s="22"/>
      <c r="P175" s="22"/>
      <c r="Q175" s="22"/>
      <c r="R175" s="22"/>
      <c r="S175" s="22"/>
      <c r="T175" s="351" t="b" cm="1">
        <f t="array" aca="1" ref="T175" ca="1">T174</f>
        <v>1</v>
      </c>
      <c r="U175" s="22"/>
      <c r="V175" s="22"/>
      <c r="W175" s="22"/>
      <c r="X175" s="1046"/>
      <c r="Y175" s="22"/>
      <c r="Z175" s="1047"/>
      <c r="AA175" s="22"/>
      <c r="AB175" s="514" t="s">
        <v>2060</v>
      </c>
      <c r="AC175" s="401" t="s">
        <v>2061</v>
      </c>
      <c r="AD175" s="400" t="s">
        <v>859</v>
      </c>
      <c r="AE175" s="142"/>
      <c r="AF175" s="314"/>
      <c r="AG175" s="314"/>
      <c r="AH175" s="694" t="s">
        <v>2412</v>
      </c>
      <c r="AI175" s="653"/>
      <c r="AJ175" s="653"/>
      <c r="AK175" s="478"/>
      <c r="AL175" s="478"/>
    </row>
    <row r="176" spans="1:38" s="4" customFormat="1" ht="14.25" customHeight="1">
      <c r="A176" s="485"/>
      <c r="B176" s="22"/>
      <c r="C176" s="22"/>
      <c r="D176" s="22"/>
      <c r="E176" s="447">
        <v>15</v>
      </c>
      <c r="F176" s="266" t="str" cm="1">
        <f t="array" aca="1" ref="F176" ca="1">OFFSET(E176,-1,1)</f>
        <v>1</v>
      </c>
      <c r="G176" s="22"/>
      <c r="H176" s="22"/>
      <c r="I176" s="22"/>
      <c r="J176" s="22"/>
      <c r="K176" s="22"/>
      <c r="L176" s="22"/>
      <c r="M176" s="22"/>
      <c r="N176" s="22"/>
      <c r="O176" s="22"/>
      <c r="P176" s="22"/>
      <c r="Q176" s="22"/>
      <c r="R176" s="22"/>
      <c r="S176" s="22"/>
      <c r="T176" s="351" t="b" cm="1">
        <f t="array" aca="1" ref="T176" ca="1">T175</f>
        <v>1</v>
      </c>
      <c r="U176" s="22"/>
      <c r="V176" s="22"/>
      <c r="W176" s="22"/>
      <c r="X176" s="1046"/>
      <c r="Y176" s="22"/>
      <c r="Z176" s="1047"/>
      <c r="AA176" s="22"/>
      <c r="AB176" s="514" t="s">
        <v>2064</v>
      </c>
      <c r="AC176" s="401" t="s">
        <v>2065</v>
      </c>
      <c r="AD176" s="400" t="s">
        <v>859</v>
      </c>
      <c r="AE176" s="142"/>
      <c r="AF176" s="314"/>
      <c r="AG176" s="314"/>
      <c r="AH176" s="694" t="s">
        <v>2413</v>
      </c>
      <c r="AI176" s="653"/>
      <c r="AJ176" s="653"/>
      <c r="AK176" s="478"/>
      <c r="AL176" s="478"/>
    </row>
    <row r="177" spans="1:38" s="4" customFormat="1" ht="14.25" customHeight="1">
      <c r="A177" s="485"/>
      <c r="B177" s="22"/>
      <c r="C177" s="22"/>
      <c r="D177" s="22"/>
      <c r="E177" s="447">
        <v>15</v>
      </c>
      <c r="F177" s="266" t="str" cm="1">
        <f t="array" aca="1" ref="F177" ca="1">OFFSET(E177,-1,1)</f>
        <v>1</v>
      </c>
      <c r="G177" s="22"/>
      <c r="H177" s="22"/>
      <c r="I177" s="22"/>
      <c r="J177" s="22"/>
      <c r="K177" s="22"/>
      <c r="L177" s="22"/>
      <c r="M177" s="22"/>
      <c r="N177" s="22"/>
      <c r="O177" s="22"/>
      <c r="P177" s="22"/>
      <c r="Q177" s="22"/>
      <c r="R177" s="22"/>
      <c r="S177" s="22"/>
      <c r="T177" s="351" t="b" cm="1">
        <f t="array" aca="1" ref="T177" ca="1">T176</f>
        <v>1</v>
      </c>
      <c r="U177" s="22"/>
      <c r="V177" s="22"/>
      <c r="W177" s="22"/>
      <c r="X177" s="1046"/>
      <c r="Y177" s="22"/>
      <c r="Z177" s="1047"/>
      <c r="AA177" s="22"/>
      <c r="AB177" s="514" t="s">
        <v>2067</v>
      </c>
      <c r="AC177" s="401" t="s">
        <v>2068</v>
      </c>
      <c r="AD177" s="400" t="s">
        <v>859</v>
      </c>
      <c r="AE177" s="142"/>
      <c r="AF177" s="314"/>
      <c r="AG177" s="314"/>
      <c r="AH177" s="694" t="s">
        <v>2414</v>
      </c>
      <c r="AI177" s="653"/>
      <c r="AJ177" s="653"/>
      <c r="AK177" s="478"/>
      <c r="AL177" s="478"/>
    </row>
    <row r="178" spans="1:38" s="4" customFormat="1" ht="14.25" customHeight="1">
      <c r="A178" s="485"/>
      <c r="B178" s="22"/>
      <c r="C178" s="22"/>
      <c r="D178" s="22"/>
      <c r="E178" s="447">
        <v>15</v>
      </c>
      <c r="F178" s="266" t="str" cm="1">
        <f t="array" aca="1" ref="F178" ca="1">OFFSET(E178,-1,1)</f>
        <v>1</v>
      </c>
      <c r="G178" s="22"/>
      <c r="H178" s="22"/>
      <c r="I178" s="22"/>
      <c r="J178" s="22"/>
      <c r="K178" s="22"/>
      <c r="L178" s="22"/>
      <c r="M178" s="22"/>
      <c r="N178" s="22"/>
      <c r="O178" s="22"/>
      <c r="P178" s="22"/>
      <c r="Q178" s="22"/>
      <c r="R178" s="22"/>
      <c r="S178" s="22"/>
      <c r="T178" s="351" t="b" cm="1">
        <f t="array" aca="1" ref="T178" ca="1">T177</f>
        <v>1</v>
      </c>
      <c r="U178" s="22"/>
      <c r="V178" s="22"/>
      <c r="W178" s="22"/>
      <c r="X178" s="1046"/>
      <c r="Y178" s="22"/>
      <c r="Z178" s="1047"/>
      <c r="AA178" s="22"/>
      <c r="AB178" s="514" t="s">
        <v>2070</v>
      </c>
      <c r="AC178" s="401" t="s">
        <v>2071</v>
      </c>
      <c r="AD178" s="400" t="s">
        <v>859</v>
      </c>
      <c r="AE178" s="142"/>
      <c r="AF178" s="314"/>
      <c r="AG178" s="314"/>
      <c r="AH178" s="694" t="s">
        <v>2415</v>
      </c>
      <c r="AI178" s="653"/>
      <c r="AJ178" s="653"/>
      <c r="AK178" s="478"/>
      <c r="AL178" s="478"/>
    </row>
    <row r="179" spans="1:38" s="4" customFormat="1" ht="14.25" customHeight="1">
      <c r="A179" s="485"/>
      <c r="B179" s="22"/>
      <c r="C179" s="22"/>
      <c r="D179" s="22"/>
      <c r="E179" s="447">
        <v>15</v>
      </c>
      <c r="F179" s="266" t="str" cm="1">
        <f t="array" aca="1" ref="F179" ca="1">OFFSET(E179,-1,1)</f>
        <v>1</v>
      </c>
      <c r="G179" s="22"/>
      <c r="H179" s="22"/>
      <c r="I179" s="22"/>
      <c r="J179" s="22"/>
      <c r="K179" s="22"/>
      <c r="L179" s="22"/>
      <c r="M179" s="22"/>
      <c r="N179" s="22"/>
      <c r="O179" s="22"/>
      <c r="P179" s="22"/>
      <c r="Q179" s="22"/>
      <c r="R179" s="22"/>
      <c r="S179" s="22"/>
      <c r="T179" s="351" t="b" cm="1">
        <f t="array" aca="1" ref="T179" ca="1">T178</f>
        <v>1</v>
      </c>
      <c r="U179" s="22"/>
      <c r="V179" s="22"/>
      <c r="W179" s="22"/>
      <c r="X179" s="1046"/>
      <c r="Y179" s="22"/>
      <c r="Z179" s="1047"/>
      <c r="AA179" s="22"/>
      <c r="AB179" s="514" t="s">
        <v>2072</v>
      </c>
      <c r="AC179" s="401" t="s">
        <v>2073</v>
      </c>
      <c r="AD179" s="400" t="s">
        <v>859</v>
      </c>
      <c r="AE179" s="142"/>
      <c r="AF179" s="314"/>
      <c r="AG179" s="314"/>
      <c r="AH179" s="694" t="s">
        <v>2416</v>
      </c>
      <c r="AI179" s="653"/>
      <c r="AJ179" s="653"/>
      <c r="AK179" s="478"/>
      <c r="AL179" s="478"/>
    </row>
    <row r="180" spans="1:38" s="4" customFormat="1" ht="14.25" customHeight="1">
      <c r="A180" s="485"/>
      <c r="B180" s="22"/>
      <c r="C180" s="22"/>
      <c r="D180" s="22"/>
      <c r="E180" s="447">
        <v>15</v>
      </c>
      <c r="F180" s="266" t="str" cm="1">
        <f t="array" aca="1" ref="F180" ca="1">OFFSET(E180,-1,1)</f>
        <v>1</v>
      </c>
      <c r="G180" s="22"/>
      <c r="H180" s="22"/>
      <c r="I180" s="22"/>
      <c r="J180" s="22"/>
      <c r="K180" s="22"/>
      <c r="L180" s="22"/>
      <c r="M180" s="22"/>
      <c r="N180" s="22"/>
      <c r="O180" s="22"/>
      <c r="P180" s="22"/>
      <c r="Q180" s="22"/>
      <c r="R180" s="22"/>
      <c r="S180" s="22"/>
      <c r="T180" s="351" t="b" cm="1">
        <f t="array" aca="1" ref="T180" ca="1">T179</f>
        <v>1</v>
      </c>
      <c r="U180" s="22"/>
      <c r="V180" s="22"/>
      <c r="W180" s="22"/>
      <c r="X180" s="1046"/>
      <c r="Y180" s="22"/>
      <c r="Z180" s="1047"/>
      <c r="AA180" s="22"/>
      <c r="AB180" s="514" t="s">
        <v>592</v>
      </c>
      <c r="AC180" s="399" t="s">
        <v>2074</v>
      </c>
      <c r="AD180" s="400" t="s">
        <v>859</v>
      </c>
      <c r="AE180" s="142"/>
      <c r="AF180" s="314"/>
      <c r="AG180" s="314"/>
      <c r="AH180" s="694" t="s">
        <v>2417</v>
      </c>
      <c r="AI180" s="653"/>
      <c r="AJ180" s="653"/>
      <c r="AK180" s="478"/>
      <c r="AL180" s="478"/>
    </row>
    <row r="181" spans="1:38" ht="14.25" customHeight="1">
      <c r="E181" s="447">
        <v>15</v>
      </c>
      <c r="F181" s="3" t="str" cm="1">
        <f t="array" aca="1" ref="F181" ca="1">OFFSET(E181,-1,1)</f>
        <v>1</v>
      </c>
      <c r="H181" s="22" t="s">
        <v>528</v>
      </c>
      <c r="T181" s="351" t="b" cm="1">
        <f t="array" aca="1" ref="T181" ca="1">T167</f>
        <v>1</v>
      </c>
      <c r="X181" s="1046"/>
      <c r="Z181" s="1047"/>
      <c r="AB181" s="514" t="s">
        <v>596</v>
      </c>
      <c r="AC181" s="399" t="s">
        <v>2418</v>
      </c>
      <c r="AD181" s="400" t="s">
        <v>859</v>
      </c>
      <c r="AE181" s="404">
        <f>SUM(AE182:AE190)</f>
        <v>0</v>
      </c>
      <c r="AH181" s="700" t="s">
        <v>1294</v>
      </c>
    </row>
    <row r="182" spans="1:38" ht="14.25" customHeight="1">
      <c r="E182" s="447">
        <v>15</v>
      </c>
      <c r="F182" s="3" t="str" cm="1">
        <f t="array" aca="1" ref="F182" ca="1">OFFSET(E182,-1,1)</f>
        <v>1</v>
      </c>
      <c r="H182" s="22" t="s">
        <v>1813</v>
      </c>
      <c r="T182" s="351" t="b" cm="1">
        <f t="array" aca="1" ref="T182" ca="1">T181</f>
        <v>1</v>
      </c>
      <c r="X182" s="1046"/>
      <c r="Z182" s="1047"/>
      <c r="AB182" s="514" t="s">
        <v>544</v>
      </c>
      <c r="AC182" s="401" t="s">
        <v>1309</v>
      </c>
      <c r="AD182" s="400" t="s">
        <v>859</v>
      </c>
      <c r="AE182" s="142"/>
      <c r="AH182" s="694" t="s">
        <v>2077</v>
      </c>
    </row>
    <row r="183" spans="1:38" ht="14.25" customHeight="1">
      <c r="E183" s="447">
        <v>15</v>
      </c>
      <c r="F183" s="3" t="str" cm="1">
        <f t="array" aca="1" ref="F183" ca="1">OFFSET(E183,-1,1)</f>
        <v>1</v>
      </c>
      <c r="H183" s="22" t="s">
        <v>1816</v>
      </c>
      <c r="T183" s="351" t="b" cm="1">
        <f t="array" aca="1" ref="T183" ca="1">T182</f>
        <v>1</v>
      </c>
      <c r="X183" s="1046"/>
      <c r="Z183" s="1047"/>
      <c r="AB183" s="514" t="s">
        <v>1534</v>
      </c>
      <c r="AC183" s="401" t="s">
        <v>2419</v>
      </c>
      <c r="AD183" s="400" t="s">
        <v>859</v>
      </c>
      <c r="AE183" s="142"/>
      <c r="AH183" s="694" t="s">
        <v>2080</v>
      </c>
    </row>
    <row r="184" spans="1:38" ht="14.25" customHeight="1">
      <c r="E184" s="447">
        <v>15</v>
      </c>
      <c r="F184" s="3" t="str" cm="1">
        <f t="array" aca="1" ref="F184" ca="1">OFFSET(E184,-1,1)</f>
        <v>1</v>
      </c>
      <c r="H184" s="22" t="s">
        <v>2420</v>
      </c>
      <c r="T184" s="351" t="b" cm="1">
        <f t="array" aca="1" ref="T184" ca="1">T183</f>
        <v>1</v>
      </c>
      <c r="X184" s="1046"/>
      <c r="Z184" s="1047"/>
      <c r="AB184" s="514" t="s">
        <v>1539</v>
      </c>
      <c r="AC184" s="401" t="s">
        <v>2421</v>
      </c>
      <c r="AD184" s="400" t="s">
        <v>859</v>
      </c>
      <c r="AE184" s="142"/>
      <c r="AH184" s="694" t="s">
        <v>2083</v>
      </c>
    </row>
    <row r="185" spans="1:38" ht="14.25" customHeight="1">
      <c r="E185" s="447">
        <v>15</v>
      </c>
      <c r="F185" s="3" t="str" cm="1">
        <f t="array" aca="1" ref="F185" ca="1">OFFSET(E185,-1,1)</f>
        <v>1</v>
      </c>
      <c r="H185" s="22" t="s">
        <v>2422</v>
      </c>
      <c r="T185" s="351" t="b" cm="1">
        <f t="array" aca="1" ref="T185" ca="1">T184</f>
        <v>1</v>
      </c>
      <c r="X185" s="1046"/>
      <c r="Z185" s="1047"/>
      <c r="AB185" s="514" t="s">
        <v>2085</v>
      </c>
      <c r="AC185" s="401" t="s">
        <v>1302</v>
      </c>
      <c r="AD185" s="400" t="s">
        <v>859</v>
      </c>
      <c r="AE185" s="142"/>
      <c r="AH185" s="694" t="s">
        <v>2087</v>
      </c>
    </row>
    <row r="186" spans="1:38" ht="14.25" customHeight="1">
      <c r="E186" s="447">
        <v>15</v>
      </c>
      <c r="F186" s="3" t="str" cm="1">
        <f t="array" aca="1" ref="F186" ca="1">OFFSET(E186,-1,1)</f>
        <v>1</v>
      </c>
      <c r="H186" s="22" t="s">
        <v>2423</v>
      </c>
      <c r="T186" s="351" t="b" cm="1">
        <f t="array" aca="1" ref="T186" ca="1">T185</f>
        <v>1</v>
      </c>
      <c r="X186" s="1046"/>
      <c r="Z186" s="1047"/>
      <c r="AB186" s="514" t="s">
        <v>2089</v>
      </c>
      <c r="AC186" s="401" t="s">
        <v>1304</v>
      </c>
      <c r="AD186" s="400" t="s">
        <v>859</v>
      </c>
      <c r="AE186" s="142"/>
      <c r="AH186" s="694" t="s">
        <v>2091</v>
      </c>
    </row>
    <row r="187" spans="1:38" ht="14.25" customHeight="1">
      <c r="E187" s="447">
        <v>15</v>
      </c>
      <c r="F187" s="3" t="str" cm="1">
        <f t="array" aca="1" ref="F187" ca="1">OFFSET(E187,-1,1)</f>
        <v>1</v>
      </c>
      <c r="H187" s="22" t="s">
        <v>2424</v>
      </c>
      <c r="T187" s="351" t="b" cm="1">
        <f t="array" aca="1" ref="T187" ca="1">T186</f>
        <v>1</v>
      </c>
      <c r="X187" s="1046"/>
      <c r="Z187" s="1047"/>
      <c r="AB187" s="514" t="s">
        <v>2093</v>
      </c>
      <c r="AC187" s="401" t="s">
        <v>1295</v>
      </c>
      <c r="AD187" s="400" t="s">
        <v>859</v>
      </c>
      <c r="AE187" s="142"/>
      <c r="AH187" s="694" t="s">
        <v>2095</v>
      </c>
    </row>
    <row r="188" spans="1:38" s="4" customFormat="1" ht="14.25" customHeight="1">
      <c r="A188" s="485"/>
      <c r="B188" s="22"/>
      <c r="C188" s="22"/>
      <c r="D188" s="22"/>
      <c r="E188" s="447">
        <v>15</v>
      </c>
      <c r="F188" s="266" t="str" cm="1">
        <f t="array" aca="1" ref="F188" ca="1">OFFSET(E188,-1,1)</f>
        <v>1</v>
      </c>
      <c r="G188" s="22"/>
      <c r="H188" s="22"/>
      <c r="I188" s="22"/>
      <c r="J188" s="22"/>
      <c r="K188" s="22"/>
      <c r="L188" s="22"/>
      <c r="M188" s="22"/>
      <c r="N188" s="22"/>
      <c r="O188" s="22"/>
      <c r="P188" s="22"/>
      <c r="Q188" s="22"/>
      <c r="R188" s="22"/>
      <c r="S188" s="22"/>
      <c r="T188" s="351" t="b" cm="1">
        <f t="array" aca="1" ref="T188" ca="1">T187</f>
        <v>1</v>
      </c>
      <c r="U188" s="22"/>
      <c r="V188" s="22"/>
      <c r="W188" s="22"/>
      <c r="X188" s="1046"/>
      <c r="Y188" s="22"/>
      <c r="Z188" s="1047"/>
      <c r="AA188" s="22"/>
      <c r="AB188" s="514" t="s">
        <v>2097</v>
      </c>
      <c r="AC188" s="401" t="s">
        <v>2425</v>
      </c>
      <c r="AD188" s="400" t="s">
        <v>859</v>
      </c>
      <c r="AE188" s="142"/>
      <c r="AF188" s="314"/>
      <c r="AG188" s="314"/>
      <c r="AH188" s="694" t="s">
        <v>1312</v>
      </c>
      <c r="AI188" s="653"/>
      <c r="AJ188" s="653"/>
      <c r="AK188" s="478"/>
      <c r="AL188" s="478"/>
    </row>
    <row r="189" spans="1:38" s="4" customFormat="1" ht="14.25" customHeight="1">
      <c r="A189" s="485"/>
      <c r="B189" s="22"/>
      <c r="C189" s="22"/>
      <c r="D189" s="22"/>
      <c r="E189" s="447">
        <v>15</v>
      </c>
      <c r="F189" s="266" t="str" cm="1">
        <f t="array" aca="1" ref="F189" ca="1">OFFSET(E189,-1,1)</f>
        <v>1</v>
      </c>
      <c r="G189" s="22"/>
      <c r="H189" s="22"/>
      <c r="I189" s="22"/>
      <c r="J189" s="22"/>
      <c r="K189" s="22"/>
      <c r="L189" s="22"/>
      <c r="M189" s="22"/>
      <c r="N189" s="22"/>
      <c r="O189" s="22"/>
      <c r="P189" s="22"/>
      <c r="Q189" s="22"/>
      <c r="R189" s="22"/>
      <c r="S189" s="22"/>
      <c r="T189" s="351" t="b" cm="1">
        <f t="array" aca="1" ref="T189" ca="1">T188</f>
        <v>1</v>
      </c>
      <c r="U189" s="22"/>
      <c r="V189" s="22"/>
      <c r="W189" s="22"/>
      <c r="X189" s="1046"/>
      <c r="Y189" s="22"/>
      <c r="Z189" s="1047"/>
      <c r="AA189" s="22"/>
      <c r="AB189" s="514" t="s">
        <v>2101</v>
      </c>
      <c r="AC189" s="401" t="s">
        <v>1313</v>
      </c>
      <c r="AD189" s="400" t="s">
        <v>859</v>
      </c>
      <c r="AE189" s="142"/>
      <c r="AF189" s="314"/>
      <c r="AG189" s="314"/>
      <c r="AH189" s="694" t="s">
        <v>2426</v>
      </c>
      <c r="AI189" s="653"/>
      <c r="AJ189" s="653"/>
      <c r="AK189" s="478"/>
      <c r="AL189" s="478"/>
    </row>
    <row r="190" spans="1:38" ht="14.25" customHeight="1">
      <c r="E190" s="447">
        <v>15</v>
      </c>
      <c r="F190" s="3" t="str" cm="1">
        <f t="array" aca="1" ref="F190" ca="1">OFFSET(E190,-1,1)</f>
        <v>1</v>
      </c>
      <c r="H190" s="22" t="s">
        <v>2427</v>
      </c>
      <c r="T190" s="351" t="b" cm="1">
        <f t="array" aca="1" ref="T190" ca="1">T187</f>
        <v>1</v>
      </c>
      <c r="X190" s="1046"/>
      <c r="Z190" s="1047"/>
      <c r="AB190" s="514" t="s">
        <v>2103</v>
      </c>
      <c r="AC190" s="401" t="s">
        <v>1315</v>
      </c>
      <c r="AD190" s="400" t="s">
        <v>859</v>
      </c>
      <c r="AE190" s="142"/>
      <c r="AH190" s="694" t="s">
        <v>2109</v>
      </c>
    </row>
    <row r="191" spans="1:38" ht="14.25" customHeight="1">
      <c r="E191" s="447">
        <v>15</v>
      </c>
      <c r="F191" s="3" t="str" cm="1">
        <f t="array" aca="1" ref="F191" ca="1">OFFSET(E191,-1,1)</f>
        <v>1</v>
      </c>
      <c r="H191" s="22" t="s">
        <v>956</v>
      </c>
      <c r="T191" s="351" t="b" cm="1">
        <f t="array" aca="1" ref="T191" ca="1">T190</f>
        <v>1</v>
      </c>
      <c r="X191" s="1046"/>
      <c r="Z191" s="1047"/>
      <c r="AB191" s="514" t="s">
        <v>959</v>
      </c>
      <c r="AC191" s="401" t="s">
        <v>1055</v>
      </c>
      <c r="AD191" s="400" t="s">
        <v>859</v>
      </c>
      <c r="AE191" s="142"/>
      <c r="AH191" s="694" t="s">
        <v>1228</v>
      </c>
    </row>
    <row r="192" spans="1:38" ht="14.25" customHeight="1">
      <c r="E192" s="447">
        <v>15</v>
      </c>
      <c r="F192" s="3" t="str" cm="1">
        <f t="array" aca="1" ref="F192" ca="1">OFFSET(E192,-1,1)</f>
        <v>1</v>
      </c>
      <c r="H192" s="22" t="s">
        <v>2112</v>
      </c>
      <c r="T192" s="351" t="b" cm="1">
        <f t="array" aca="1" ref="T192" ca="1">T191</f>
        <v>1</v>
      </c>
      <c r="X192" s="1046"/>
      <c r="Z192" s="1047"/>
      <c r="AB192" s="514" t="s">
        <v>962</v>
      </c>
      <c r="AC192" s="399" t="s">
        <v>1506</v>
      </c>
      <c r="AD192" s="400" t="s">
        <v>859</v>
      </c>
      <c r="AE192" s="142"/>
      <c r="AH192" s="701" t="s">
        <v>1857</v>
      </c>
    </row>
    <row r="193" spans="1:42" ht="14.25" customHeight="1">
      <c r="E193" s="447">
        <v>15</v>
      </c>
      <c r="F193" s="3" t="str" cm="1">
        <f t="array" aca="1" ref="F193" ca="1">OFFSET(E193,-1,1)</f>
        <v>1</v>
      </c>
      <c r="H193" s="22" t="s">
        <v>2120</v>
      </c>
      <c r="T193" s="351" t="b" cm="1">
        <f t="array" aca="1" ref="T193" ca="1">T192</f>
        <v>1</v>
      </c>
      <c r="X193" s="1046"/>
      <c r="Z193" s="1047"/>
      <c r="AB193" s="514" t="s">
        <v>1554</v>
      </c>
      <c r="AC193" s="399" t="s">
        <v>1516</v>
      </c>
      <c r="AD193" s="400" t="s">
        <v>859</v>
      </c>
      <c r="AE193" s="404">
        <f>AE194+AE195</f>
        <v>0</v>
      </c>
      <c r="AH193" s="694" t="s">
        <v>2125</v>
      </c>
    </row>
    <row r="194" spans="1:42" ht="14.25" customHeight="1">
      <c r="E194" s="447">
        <v>15</v>
      </c>
      <c r="F194" s="3" t="str" cm="1">
        <f t="array" aca="1" ref="F194" ca="1">OFFSET(E194,-1,1)</f>
        <v>1</v>
      </c>
      <c r="H194" s="22" t="s">
        <v>2428</v>
      </c>
      <c r="T194" s="351" t="b" cm="1">
        <f t="array" aca="1" ref="T194" ca="1">T193</f>
        <v>1</v>
      </c>
      <c r="X194" s="1046"/>
      <c r="Z194" s="1047"/>
      <c r="AB194" s="514" t="s">
        <v>2116</v>
      </c>
      <c r="AC194" s="401" t="s">
        <v>2429</v>
      </c>
      <c r="AD194" s="400" t="s">
        <v>859</v>
      </c>
      <c r="AE194" s="142"/>
      <c r="AH194" s="694" t="s">
        <v>1282</v>
      </c>
    </row>
    <row r="195" spans="1:42" ht="21.75" customHeight="1">
      <c r="E195" s="447">
        <v>22.5</v>
      </c>
      <c r="F195" s="3" t="str" cm="1">
        <f t="array" aca="1" ref="F195" ca="1">OFFSET(E195,-1,1)</f>
        <v>1</v>
      </c>
      <c r="H195" s="22" t="s">
        <v>2430</v>
      </c>
      <c r="T195" s="351" t="b" cm="1">
        <f t="array" aca="1" ref="T195" ca="1">T194</f>
        <v>1</v>
      </c>
      <c r="X195" s="1046"/>
      <c r="Z195" s="1047"/>
      <c r="AB195" s="514" t="s">
        <v>2431</v>
      </c>
      <c r="AC195" s="401" t="s">
        <v>2432</v>
      </c>
      <c r="AD195" s="400" t="s">
        <v>859</v>
      </c>
      <c r="AE195" s="142"/>
      <c r="AH195" s="694" t="s">
        <v>2132</v>
      </c>
    </row>
    <row r="196" spans="1:42" ht="76.5" customHeight="1">
      <c r="E196" s="447">
        <v>78.75</v>
      </c>
      <c r="F196" s="3" t="str" cm="1">
        <f t="array" aca="1" ref="F196" ca="1">OFFSET(E196,-1,1)</f>
        <v>1</v>
      </c>
      <c r="H196" s="22" t="s">
        <v>2124</v>
      </c>
      <c r="T196" s="351" t="b" cm="1">
        <f t="array" aca="1" ref="T196" ca="1">T195</f>
        <v>1</v>
      </c>
      <c r="X196" s="1046"/>
      <c r="Z196" s="1047"/>
      <c r="AB196" s="514" t="s">
        <v>1559</v>
      </c>
      <c r="AC196" s="407" t="s">
        <v>1490</v>
      </c>
      <c r="AD196" s="400" t="s">
        <v>859</v>
      </c>
      <c r="AE196" s="142"/>
      <c r="AH196" s="694" t="s">
        <v>2110</v>
      </c>
    </row>
    <row r="197" spans="1:42" s="4" customFormat="1" ht="14.25" customHeight="1">
      <c r="A197" s="485"/>
      <c r="B197" s="22"/>
      <c r="C197" s="22"/>
      <c r="D197" s="22"/>
      <c r="E197" s="447">
        <v>15</v>
      </c>
      <c r="F197" s="266" t="str" cm="1">
        <f t="array" aca="1" ref="F197" ca="1">OFFSET(E197,-1,1)</f>
        <v>1</v>
      </c>
      <c r="G197" s="22"/>
      <c r="H197" s="22"/>
      <c r="I197" s="22"/>
      <c r="J197" s="22"/>
      <c r="K197" s="22"/>
      <c r="L197" s="22"/>
      <c r="M197" s="22"/>
      <c r="N197" s="22"/>
      <c r="O197" s="22"/>
      <c r="P197" s="22"/>
      <c r="Q197" s="22"/>
      <c r="R197" s="22"/>
      <c r="S197" s="22"/>
      <c r="T197" s="351" t="b" cm="1">
        <f t="array" aca="1" ref="T197" ca="1">T196</f>
        <v>1</v>
      </c>
      <c r="U197" s="22"/>
      <c r="V197" s="22"/>
      <c r="W197" s="22"/>
      <c r="X197" s="1046"/>
      <c r="Y197" s="22"/>
      <c r="Z197" s="1047"/>
      <c r="AA197" s="22"/>
      <c r="AB197" s="514" t="s">
        <v>2121</v>
      </c>
      <c r="AC197" s="407" t="s">
        <v>1035</v>
      </c>
      <c r="AD197" s="400" t="s">
        <v>859</v>
      </c>
      <c r="AE197" s="142"/>
      <c r="AF197" s="314"/>
      <c r="AG197" s="314"/>
      <c r="AH197" s="694" t="s">
        <v>1037</v>
      </c>
      <c r="AI197" s="653"/>
      <c r="AJ197" s="653"/>
      <c r="AK197" s="478"/>
      <c r="AL197" s="478"/>
    </row>
    <row r="198" spans="1:42" s="4" customFormat="1" ht="14.25" customHeight="1">
      <c r="A198" s="485"/>
      <c r="B198" s="22"/>
      <c r="C198" s="22"/>
      <c r="D198" s="22"/>
      <c r="E198" s="447">
        <v>15</v>
      </c>
      <c r="F198" s="266" t="str" cm="1">
        <f t="array" aca="1" ref="F198" ca="1">OFFSET(E198,-1,1)</f>
        <v>1</v>
      </c>
      <c r="G198" s="22"/>
      <c r="H198" s="22"/>
      <c r="I198" s="22"/>
      <c r="J198" s="22"/>
      <c r="K198" s="22"/>
      <c r="L198" s="22"/>
      <c r="M198" s="22"/>
      <c r="N198" s="22"/>
      <c r="O198" s="22"/>
      <c r="P198" s="22"/>
      <c r="Q198" s="22"/>
      <c r="R198" s="22"/>
      <c r="S198" s="22"/>
      <c r="T198" s="351" t="b" cm="1">
        <f t="array" aca="1" ref="T198" ca="1">T197</f>
        <v>1</v>
      </c>
      <c r="U198" s="22"/>
      <c r="V198" s="22"/>
      <c r="W198" s="22"/>
      <c r="X198" s="1046"/>
      <c r="Y198" s="22"/>
      <c r="Z198" s="1047"/>
      <c r="AA198" s="22"/>
      <c r="AB198" s="514" t="s">
        <v>1578</v>
      </c>
      <c r="AC198" s="407" t="s">
        <v>1501</v>
      </c>
      <c r="AD198" s="400" t="s">
        <v>859</v>
      </c>
      <c r="AE198" s="142"/>
      <c r="AF198" s="314"/>
      <c r="AG198" s="314"/>
      <c r="AH198" s="694" t="s">
        <v>2433</v>
      </c>
      <c r="AI198" s="653"/>
      <c r="AJ198" s="653"/>
      <c r="AK198" s="478"/>
      <c r="AL198" s="478"/>
    </row>
    <row r="199" spans="1:42" ht="14.25" customHeight="1">
      <c r="E199" s="447">
        <v>15</v>
      </c>
      <c r="F199" s="3" t="str" cm="1">
        <f t="array" aca="1" ref="F199" ca="1">OFFSET(E199,-1,1)</f>
        <v>1</v>
      </c>
      <c r="H199" s="22" t="s">
        <v>2434</v>
      </c>
      <c r="T199" s="351" t="b" cm="1">
        <f t="array" aca="1" ref="T199" ca="1">T196</f>
        <v>1</v>
      </c>
      <c r="X199" s="1046"/>
      <c r="Z199" s="1047"/>
      <c r="AB199" s="514" t="s">
        <v>1582</v>
      </c>
      <c r="AC199" s="399" t="s">
        <v>2435</v>
      </c>
      <c r="AD199" s="400" t="s">
        <v>859</v>
      </c>
      <c r="AE199" s="142"/>
      <c r="AH199" s="653" t="s">
        <v>2436</v>
      </c>
    </row>
    <row r="200" spans="1:42" s="4" customFormat="1" ht="31.5" customHeight="1">
      <c r="A200" s="485"/>
      <c r="B200" s="22"/>
      <c r="C200" s="22"/>
      <c r="D200" s="22"/>
      <c r="E200" s="447">
        <v>33</v>
      </c>
      <c r="F200" s="266" t="str" cm="1">
        <f t="array" aca="1" ref="F200" ca="1">OFFSET(E200,-1,1)</f>
        <v>1</v>
      </c>
      <c r="G200" s="22"/>
      <c r="H200" s="22"/>
      <c r="I200" s="22"/>
      <c r="J200" s="22"/>
      <c r="K200" s="22"/>
      <c r="L200" s="22"/>
      <c r="M200" s="22"/>
      <c r="N200" s="22"/>
      <c r="O200" s="22"/>
      <c r="P200" s="22"/>
      <c r="Q200" s="22"/>
      <c r="R200" s="22"/>
      <c r="S200" s="22"/>
      <c r="T200" s="351" t="b" cm="1">
        <f t="array" aca="1" ref="T200" ca="1">T199</f>
        <v>1</v>
      </c>
      <c r="U200" s="22"/>
      <c r="V200" s="22"/>
      <c r="W200" s="22"/>
      <c r="X200" s="1046"/>
      <c r="Y200" s="22"/>
      <c r="Z200" s="1047"/>
      <c r="AA200" s="22"/>
      <c r="AB200" s="514" t="s">
        <v>1585</v>
      </c>
      <c r="AC200" s="399" t="s">
        <v>2134</v>
      </c>
      <c r="AD200" s="400" t="s">
        <v>859</v>
      </c>
      <c r="AE200" s="142"/>
      <c r="AF200" s="314"/>
      <c r="AG200" s="314"/>
      <c r="AH200" s="653" t="s">
        <v>2437</v>
      </c>
      <c r="AI200" s="653"/>
      <c r="AJ200" s="653"/>
      <c r="AK200" s="478"/>
      <c r="AL200" s="478"/>
    </row>
    <row r="201" spans="1:42" ht="14.25" customHeight="1">
      <c r="E201" s="447">
        <v>15</v>
      </c>
      <c r="F201" s="3" t="str" cm="1">
        <f t="array" aca="1" ref="F201" ca="1">OFFSET(E201,-1,1)</f>
        <v>1</v>
      </c>
      <c r="H201" s="22" t="s">
        <v>2438</v>
      </c>
      <c r="T201" s="351" t="b" cm="1">
        <f t="array" aca="1" ref="T201" ca="1">T199</f>
        <v>1</v>
      </c>
      <c r="X201" s="1046"/>
      <c r="Z201" s="1047"/>
      <c r="AB201" s="514" t="s">
        <v>2439</v>
      </c>
      <c r="AC201" s="399" t="s">
        <v>2440</v>
      </c>
      <c r="AD201" s="400" t="s">
        <v>859</v>
      </c>
      <c r="AE201" s="404">
        <f>SUM(AE202:AE203)</f>
        <v>0</v>
      </c>
      <c r="AH201" s="653" t="s">
        <v>2441</v>
      </c>
    </row>
    <row r="202" spans="1:42" ht="14.25" hidden="1" customHeight="1">
      <c r="E202" s="447">
        <v>15</v>
      </c>
      <c r="F202" s="3" t="str" cm="1">
        <f t="array" aca="1" ref="F202" ca="1">OFFSET(E202,-1,1)</f>
        <v>1</v>
      </c>
      <c r="H202" s="22" t="s">
        <v>2438</v>
      </c>
      <c r="I202" s="408" cm="1">
        <f t="array" ref="I202">AC202</f>
        <v>0</v>
      </c>
      <c r="T202" s="351" t="b">
        <f ca="1">AND(F202&gt;0,Y202&gt;0)</f>
        <v>0</v>
      </c>
      <c r="W202" s="17" t="s">
        <v>171</v>
      </c>
      <c r="X202" s="1046"/>
      <c r="Y202" s="22">
        <v>0</v>
      </c>
      <c r="Z202" s="1047"/>
      <c r="AA202" s="480" t="s">
        <v>172</v>
      </c>
      <c r="AB202" s="514" t="str">
        <f>"2.12."&amp;Y202</f>
        <v>2.12.0</v>
      </c>
      <c r="AC202" s="922"/>
      <c r="AD202" s="400" t="s">
        <v>859</v>
      </c>
      <c r="AE202" s="888"/>
      <c r="AH202" s="653" t="s">
        <v>2441</v>
      </c>
      <c r="AI202" s="653" t="s">
        <v>2442</v>
      </c>
      <c r="AJ202" s="659" cm="1">
        <f t="array" ref="AJ202">AC202</f>
        <v>0</v>
      </c>
      <c r="AL202" s="478" t="b">
        <v>1</v>
      </c>
    </row>
    <row r="203" spans="1:42" ht="14.25" customHeight="1">
      <c r="E203" s="447">
        <v>15</v>
      </c>
      <c r="F203" s="3" t="str" cm="1">
        <f t="array" aca="1" ref="F203" ca="1">OFFSET(E203,-1,1)</f>
        <v>1</v>
      </c>
      <c r="I203" s="72" t="str">
        <f>"!== 'не определено' &amp;&amp; row.l2_13 !== null"</f>
        <v>!== 'не определено' &amp;&amp; row.l2_13 !== null</v>
      </c>
      <c r="T203" s="351" t="b">
        <f ca="1">F203&gt;0</f>
        <v>1</v>
      </c>
      <c r="W203" s="504" t="s">
        <v>918</v>
      </c>
      <c r="X203" s="1046"/>
      <c r="Z203" s="1047"/>
      <c r="AB203" s="782"/>
      <c r="AC203" s="783" t="s">
        <v>175</v>
      </c>
      <c r="AD203" s="784"/>
      <c r="AE203" s="794"/>
      <c r="AK203" s="478" t="s">
        <v>2442</v>
      </c>
    </row>
    <row r="204" spans="1:42" ht="14.25" customHeight="1">
      <c r="E204" s="447">
        <v>15</v>
      </c>
      <c r="F204" s="3" t="str" cm="1">
        <f t="array" aca="1" ref="F204" ca="1">OFFSET(E204,-1,1)</f>
        <v>1</v>
      </c>
      <c r="G204" s="22" t="s">
        <v>49</v>
      </c>
      <c r="H204" s="22" t="s">
        <v>323</v>
      </c>
      <c r="T204" s="351" t="b" cm="1">
        <f t="array" aca="1" ref="T204" ca="1">T203</f>
        <v>1</v>
      </c>
      <c r="X204" s="1046"/>
      <c r="Z204" s="1047"/>
      <c r="AB204" s="513" t="s">
        <v>319</v>
      </c>
      <c r="AC204" s="397" t="s">
        <v>2137</v>
      </c>
      <c r="AD204" s="398" t="s">
        <v>859</v>
      </c>
      <c r="AE204" s="795"/>
      <c r="AH204" s="653" t="s">
        <v>1751</v>
      </c>
    </row>
    <row r="205" spans="1:42" ht="10.9" customHeight="1">
      <c r="E205" s="447">
        <v>11.25</v>
      </c>
      <c r="U205" s="22" t="s">
        <v>175</v>
      </c>
      <c r="V205" s="511" t="s">
        <v>2443</v>
      </c>
      <c r="AB205" s="786"/>
      <c r="AC205" s="787"/>
      <c r="AD205" s="14"/>
      <c r="AE205" s="796"/>
    </row>
    <row r="206" spans="1:42" s="17" customFormat="1" ht="14.65" customHeight="1">
      <c r="A206" s="370"/>
      <c r="E206" s="460">
        <v>15</v>
      </c>
      <c r="F206" s="59"/>
      <c r="G206" s="59"/>
      <c r="AB206" s="1028" t="s">
        <v>396</v>
      </c>
      <c r="AC206" s="1028"/>
      <c r="AD206" s="1028"/>
      <c r="AE206" s="1048"/>
      <c r="AF206" s="314"/>
      <c r="AG206" s="314"/>
      <c r="AH206" s="653"/>
      <c r="AI206" s="653"/>
      <c r="AJ206" s="653"/>
      <c r="AK206" s="478"/>
      <c r="AL206" s="478"/>
      <c r="AM206" s="4"/>
      <c r="AN206" s="4"/>
      <c r="AO206" s="4"/>
      <c r="AP206" s="4"/>
    </row>
    <row r="207" spans="1:42" s="17" customFormat="1" ht="14.65" customHeight="1">
      <c r="A207" s="370"/>
      <c r="E207" s="460">
        <v>15</v>
      </c>
      <c r="F207" s="59"/>
      <c r="G207" s="59"/>
      <c r="AB207" s="1049"/>
      <c r="AC207" s="1049"/>
      <c r="AD207" s="1049"/>
      <c r="AE207" s="1050"/>
      <c r="AF207" s="314"/>
      <c r="AG207" s="314"/>
      <c r="AH207" s="653"/>
      <c r="AI207" s="653"/>
      <c r="AJ207" s="653"/>
      <c r="AK207" s="478"/>
      <c r="AL207" s="478"/>
      <c r="AM207" s="4"/>
      <c r="AN207" s="4"/>
      <c r="AO207" s="4"/>
      <c r="AP207" s="4"/>
    </row>
    <row r="208" spans="1:42" s="17" customFormat="1" ht="14.65" hidden="1" customHeight="1">
      <c r="A208" s="370"/>
      <c r="E208" s="459">
        <v>15</v>
      </c>
      <c r="T208" s="351" t="b">
        <f>ROW(W208)&gt;ROW(W$208)</f>
        <v>0</v>
      </c>
      <c r="W208" s="17" t="s">
        <v>171</v>
      </c>
      <c r="AA208" s="480" t="s">
        <v>172</v>
      </c>
      <c r="AB208" s="1065"/>
      <c r="AC208" s="1066"/>
      <c r="AD208" s="1066"/>
      <c r="AE208" s="1068"/>
      <c r="AF208" s="314"/>
      <c r="AG208" s="314"/>
      <c r="AH208" s="653"/>
      <c r="AI208" s="653"/>
      <c r="AJ208" s="653"/>
      <c r="AK208" s="478"/>
      <c r="AL208" s="478"/>
      <c r="AM208" s="4"/>
      <c r="AN208" s="4"/>
      <c r="AO208" s="4"/>
      <c r="AP208" s="4"/>
    </row>
    <row r="209" spans="1:42" s="17" customFormat="1" ht="14.65" customHeight="1">
      <c r="A209" s="370"/>
      <c r="E209" s="459">
        <v>15</v>
      </c>
      <c r="W209" s="504" t="s">
        <v>407</v>
      </c>
      <c r="AB209" s="472"/>
      <c r="AC209" s="380" t="s">
        <v>408</v>
      </c>
      <c r="AD209" s="217"/>
      <c r="AE209" s="219"/>
      <c r="AF209" s="314"/>
      <c r="AG209" s="314"/>
      <c r="AH209" s="653"/>
      <c r="AI209" s="653"/>
      <c r="AJ209" s="653"/>
      <c r="AK209" s="478"/>
      <c r="AL209" s="478"/>
      <c r="AM209" s="4"/>
      <c r="AN209" s="4"/>
      <c r="AO209" s="4"/>
      <c r="AP209" s="4"/>
    </row>
    <row r="210" spans="1:42" ht="10.9" customHeight="1">
      <c r="E210" s="447">
        <v>11.25</v>
      </c>
      <c r="AC210" s="394"/>
    </row>
    <row r="211" spans="1:42" ht="11.25" hidden="1" customHeight="1">
      <c r="A211" s="314"/>
      <c r="B211" s="314"/>
      <c r="C211" s="314"/>
      <c r="D211" s="314"/>
      <c r="E211" s="478"/>
      <c r="F211" s="314"/>
      <c r="G211" s="314"/>
      <c r="H211" s="314"/>
      <c r="I211" s="314"/>
      <c r="J211" s="314"/>
      <c r="K211" s="314"/>
      <c r="L211" s="314"/>
      <c r="M211" s="314"/>
      <c r="N211" s="314"/>
      <c r="O211" s="314"/>
      <c r="P211" s="314"/>
      <c r="Q211" s="314"/>
      <c r="R211" s="314"/>
      <c r="S211" s="314"/>
      <c r="T211" s="314"/>
      <c r="U211" s="314"/>
      <c r="V211" s="314"/>
      <c r="W211" s="314"/>
      <c r="X211" s="314"/>
      <c r="Y211" s="314"/>
      <c r="Z211" s="314"/>
      <c r="AA211" s="314"/>
      <c r="AB211" s="314"/>
    </row>
    <row r="212" spans="1:42" ht="11.25" hidden="1" customHeight="1">
      <c r="A212" s="314"/>
      <c r="B212" s="314"/>
      <c r="C212" s="314"/>
      <c r="D212" s="314"/>
      <c r="E212" s="478"/>
      <c r="F212" s="314"/>
      <c r="G212" s="314"/>
      <c r="H212" s="314"/>
      <c r="I212" s="314"/>
      <c r="J212" s="314"/>
      <c r="K212" s="314"/>
      <c r="L212" s="314"/>
      <c r="M212" s="314"/>
      <c r="N212" s="314"/>
      <c r="O212" s="314"/>
      <c r="P212" s="314"/>
      <c r="Q212" s="314"/>
      <c r="R212" s="314"/>
      <c r="S212" s="314"/>
      <c r="T212" s="314"/>
      <c r="U212" s="314"/>
      <c r="V212" s="314"/>
      <c r="W212" s="314"/>
      <c r="X212" s="314"/>
      <c r="Y212" s="314"/>
      <c r="Z212" s="314"/>
      <c r="AA212" s="314"/>
      <c r="AB212" s="314"/>
    </row>
    <row r="213" spans="1:42" ht="11.25" hidden="1" customHeight="1">
      <c r="A213" s="314"/>
      <c r="B213" s="314"/>
      <c r="C213" s="314"/>
      <c r="D213" s="314"/>
      <c r="E213" s="478"/>
      <c r="F213" s="314"/>
      <c r="G213" s="314"/>
      <c r="H213" s="314"/>
      <c r="I213" s="314"/>
      <c r="J213" s="314"/>
      <c r="K213" s="314"/>
      <c r="L213" s="314"/>
      <c r="M213" s="314"/>
      <c r="N213" s="314"/>
      <c r="O213" s="314"/>
      <c r="P213" s="314"/>
      <c r="Q213" s="314"/>
      <c r="R213" s="314"/>
      <c r="S213" s="314"/>
      <c r="T213" s="314"/>
      <c r="U213" s="314"/>
      <c r="V213" s="314"/>
      <c r="W213" s="314"/>
      <c r="X213" s="314"/>
      <c r="Y213" s="314"/>
      <c r="Z213" s="314"/>
      <c r="AA213" s="314"/>
      <c r="AB213" s="314"/>
    </row>
    <row r="214" spans="1:42" ht="11.25" hidden="1" customHeight="1">
      <c r="A214" s="314"/>
      <c r="B214" s="314"/>
      <c r="C214" s="314"/>
      <c r="D214" s="314"/>
      <c r="E214" s="478"/>
      <c r="F214" s="314"/>
      <c r="G214" s="314"/>
      <c r="H214" s="314"/>
      <c r="I214" s="314"/>
      <c r="J214" s="314"/>
      <c r="K214" s="314"/>
      <c r="L214" s="314"/>
      <c r="M214" s="314"/>
      <c r="N214" s="314"/>
      <c r="O214" s="314"/>
      <c r="P214" s="314"/>
      <c r="Q214" s="314"/>
      <c r="R214" s="314"/>
      <c r="S214" s="314"/>
      <c r="T214" s="314"/>
      <c r="U214" s="314"/>
      <c r="V214" s="314"/>
      <c r="W214" s="314"/>
      <c r="X214" s="314"/>
      <c r="Y214" s="314"/>
      <c r="Z214" s="314"/>
      <c r="AA214" s="314"/>
      <c r="AB214" s="314"/>
    </row>
    <row r="215" spans="1:42" ht="11.25" hidden="1" customHeight="1">
      <c r="A215" s="314"/>
      <c r="B215" s="314"/>
      <c r="C215" s="314"/>
      <c r="D215" s="314"/>
      <c r="E215" s="478"/>
      <c r="F215" s="314"/>
      <c r="G215" s="314"/>
      <c r="H215" s="314"/>
      <c r="I215" s="314"/>
      <c r="J215" s="314"/>
      <c r="K215" s="314"/>
      <c r="L215" s="314"/>
      <c r="M215" s="314"/>
      <c r="N215" s="314"/>
      <c r="O215" s="314"/>
      <c r="P215" s="314"/>
      <c r="Q215" s="314"/>
      <c r="R215" s="314"/>
      <c r="S215" s="314"/>
      <c r="T215" s="314"/>
      <c r="U215" s="314"/>
      <c r="V215" s="314"/>
      <c r="W215" s="314"/>
      <c r="X215" s="314"/>
      <c r="Y215" s="314"/>
      <c r="Z215" s="314"/>
      <c r="AA215" s="314"/>
      <c r="AB215" s="314"/>
    </row>
    <row r="216" spans="1:42" ht="11.25" hidden="1" customHeight="1">
      <c r="A216" s="314"/>
      <c r="B216" s="314"/>
      <c r="C216" s="314"/>
      <c r="D216" s="314"/>
      <c r="E216" s="478"/>
      <c r="F216" s="314"/>
      <c r="G216" s="314"/>
      <c r="H216" s="314"/>
      <c r="I216" s="314"/>
      <c r="J216" s="314"/>
      <c r="K216" s="314"/>
      <c r="L216" s="314"/>
      <c r="M216" s="314"/>
      <c r="N216" s="314"/>
      <c r="O216" s="314"/>
      <c r="P216" s="314"/>
      <c r="Q216" s="314"/>
      <c r="R216" s="314"/>
      <c r="S216" s="314"/>
      <c r="T216" s="314"/>
      <c r="U216" s="314"/>
      <c r="V216" s="314"/>
      <c r="W216" s="314"/>
      <c r="X216" s="314"/>
      <c r="Y216" s="314"/>
      <c r="Z216" s="314"/>
      <c r="AA216" s="314"/>
      <c r="AB216" s="314"/>
    </row>
    <row r="217" spans="1:42" ht="11.25" hidden="1" customHeight="1">
      <c r="A217" s="314"/>
      <c r="B217" s="314"/>
      <c r="C217" s="314"/>
      <c r="D217" s="314"/>
      <c r="E217" s="478"/>
      <c r="F217" s="314"/>
      <c r="G217" s="314"/>
      <c r="H217" s="314"/>
      <c r="I217" s="314"/>
      <c r="J217" s="314"/>
      <c r="K217" s="314"/>
      <c r="L217" s="314"/>
      <c r="M217" s="314"/>
      <c r="N217" s="314"/>
      <c r="O217" s="314"/>
      <c r="P217" s="314"/>
      <c r="Q217" s="314"/>
      <c r="R217" s="314"/>
      <c r="S217" s="314"/>
      <c r="T217" s="314"/>
      <c r="U217" s="314"/>
      <c r="V217" s="314"/>
      <c r="W217" s="314"/>
      <c r="X217" s="314"/>
      <c r="Y217" s="314"/>
      <c r="Z217" s="314"/>
      <c r="AA217" s="314"/>
      <c r="AB217" s="314"/>
    </row>
    <row r="218" spans="1:42" ht="11.25" hidden="1" customHeight="1">
      <c r="A218" s="314"/>
      <c r="B218" s="314"/>
      <c r="C218" s="314"/>
      <c r="D218" s="314"/>
      <c r="E218" s="478"/>
      <c r="F218" s="314"/>
      <c r="G218" s="314"/>
      <c r="H218" s="314"/>
      <c r="I218" s="314"/>
      <c r="J218" s="314"/>
      <c r="K218" s="314"/>
      <c r="L218" s="314"/>
      <c r="M218" s="314"/>
      <c r="N218" s="314"/>
      <c r="O218" s="314"/>
      <c r="P218" s="314"/>
      <c r="Q218" s="314"/>
      <c r="R218" s="314"/>
      <c r="S218" s="314"/>
      <c r="T218" s="314"/>
      <c r="U218" s="314"/>
      <c r="V218" s="314"/>
      <c r="W218" s="314"/>
      <c r="X218" s="314"/>
      <c r="Y218" s="314"/>
      <c r="Z218" s="314"/>
      <c r="AA218" s="314"/>
      <c r="AB218" s="314"/>
    </row>
    <row r="219" spans="1:42" ht="11.25" hidden="1" customHeight="1">
      <c r="A219" s="314"/>
      <c r="B219" s="314"/>
      <c r="C219" s="314"/>
      <c r="D219" s="314"/>
      <c r="E219" s="478"/>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row>
    <row r="220" spans="1:42" ht="11.25" hidden="1" customHeight="1">
      <c r="A220" s="314"/>
      <c r="B220" s="314"/>
      <c r="C220" s="314"/>
      <c r="D220" s="314"/>
      <c r="E220" s="478"/>
      <c r="F220" s="314"/>
      <c r="G220" s="314"/>
      <c r="H220" s="314"/>
      <c r="I220" s="314"/>
      <c r="J220" s="314"/>
      <c r="K220" s="314"/>
      <c r="L220" s="314"/>
      <c r="M220" s="314"/>
      <c r="N220" s="314"/>
      <c r="O220" s="314"/>
      <c r="P220" s="314"/>
      <c r="Q220" s="314"/>
      <c r="R220" s="314"/>
      <c r="S220" s="314"/>
      <c r="T220" s="314"/>
      <c r="U220" s="314"/>
      <c r="V220" s="314"/>
      <c r="W220" s="314"/>
      <c r="X220" s="314"/>
      <c r="Y220" s="314"/>
      <c r="Z220" s="314"/>
      <c r="AA220" s="314"/>
      <c r="AB220" s="314"/>
    </row>
    <row r="221" spans="1:42" ht="11.25" hidden="1" customHeight="1">
      <c r="A221" s="314"/>
      <c r="B221" s="314"/>
      <c r="C221" s="314"/>
      <c r="D221" s="314"/>
      <c r="E221" s="478"/>
      <c r="F221" s="314"/>
      <c r="G221" s="314"/>
      <c r="H221" s="314"/>
      <c r="I221" s="314"/>
      <c r="J221" s="314"/>
      <c r="K221" s="314"/>
      <c r="L221" s="314"/>
      <c r="M221" s="314"/>
      <c r="N221" s="314"/>
      <c r="O221" s="314"/>
      <c r="P221" s="314"/>
      <c r="Q221" s="314"/>
      <c r="R221" s="314"/>
      <c r="S221" s="314"/>
      <c r="T221" s="314"/>
      <c r="U221" s="314"/>
      <c r="V221" s="314"/>
      <c r="W221" s="314"/>
      <c r="X221" s="314"/>
      <c r="Y221" s="314"/>
      <c r="Z221" s="314"/>
      <c r="AA221" s="314"/>
      <c r="AB221" s="314"/>
    </row>
    <row r="222" spans="1:42" ht="11.25" hidden="1" customHeight="1">
      <c r="A222" s="314"/>
      <c r="B222" s="314"/>
      <c r="C222" s="314"/>
      <c r="D222" s="314"/>
      <c r="E222" s="478"/>
      <c r="F222" s="314"/>
      <c r="G222" s="314"/>
      <c r="H222" s="314"/>
      <c r="I222" s="314"/>
      <c r="J222" s="314"/>
      <c r="K222" s="314"/>
      <c r="L222" s="314"/>
      <c r="M222" s="314"/>
      <c r="N222" s="314"/>
      <c r="O222" s="314"/>
      <c r="P222" s="314"/>
      <c r="Q222" s="314"/>
      <c r="R222" s="314"/>
      <c r="S222" s="314"/>
      <c r="T222" s="314"/>
      <c r="U222" s="314"/>
      <c r="V222" s="314"/>
      <c r="W222" s="314"/>
      <c r="X222" s="314"/>
      <c r="Y222" s="314"/>
      <c r="Z222" s="314"/>
      <c r="AA222" s="314"/>
      <c r="AB222" s="314"/>
    </row>
    <row r="223" spans="1:42" ht="11.25" hidden="1" customHeight="1">
      <c r="A223" s="314"/>
      <c r="B223" s="314"/>
      <c r="C223" s="314"/>
      <c r="D223" s="314"/>
      <c r="E223" s="478"/>
      <c r="F223" s="314"/>
      <c r="G223" s="314"/>
      <c r="H223" s="314"/>
      <c r="I223" s="314"/>
      <c r="J223" s="314"/>
      <c r="K223" s="314"/>
      <c r="L223" s="314"/>
      <c r="M223" s="314"/>
      <c r="N223" s="314"/>
      <c r="O223" s="314"/>
      <c r="P223" s="314"/>
      <c r="Q223" s="314"/>
      <c r="R223" s="314"/>
      <c r="S223" s="314"/>
      <c r="T223" s="314"/>
      <c r="U223" s="314"/>
      <c r="V223" s="314"/>
      <c r="W223" s="314"/>
      <c r="X223" s="314"/>
      <c r="Y223" s="314"/>
      <c r="Z223" s="314"/>
      <c r="AA223" s="314"/>
      <c r="AB223" s="314"/>
    </row>
    <row r="224" spans="1:42" ht="11.25" hidden="1" customHeight="1">
      <c r="A224" s="314"/>
      <c r="B224" s="314"/>
      <c r="C224" s="314"/>
      <c r="D224" s="314"/>
      <c r="E224" s="478"/>
      <c r="F224" s="314"/>
      <c r="G224" s="314"/>
      <c r="H224" s="314"/>
      <c r="I224" s="314"/>
      <c r="J224" s="314"/>
      <c r="K224" s="314"/>
      <c r="L224" s="314"/>
      <c r="M224" s="314"/>
      <c r="N224" s="314"/>
      <c r="O224" s="314"/>
      <c r="P224" s="314"/>
      <c r="Q224" s="314"/>
      <c r="R224" s="314"/>
      <c r="S224" s="314"/>
      <c r="T224" s="314"/>
      <c r="U224" s="314"/>
      <c r="V224" s="314"/>
      <c r="W224" s="314"/>
      <c r="X224" s="314"/>
      <c r="Y224" s="314"/>
      <c r="Z224" s="314"/>
      <c r="AA224" s="314"/>
      <c r="AB224" s="314"/>
    </row>
    <row r="225" spans="1:28" ht="11.25" hidden="1" customHeight="1">
      <c r="A225" s="314"/>
      <c r="B225" s="314"/>
      <c r="C225" s="314"/>
      <c r="D225" s="314"/>
      <c r="E225" s="478"/>
      <c r="F225" s="314"/>
      <c r="G225" s="314"/>
      <c r="H225" s="314"/>
      <c r="I225" s="314"/>
      <c r="J225" s="314"/>
      <c r="K225" s="314"/>
      <c r="L225" s="314"/>
      <c r="M225" s="314"/>
      <c r="N225" s="314"/>
      <c r="O225" s="314"/>
      <c r="P225" s="314"/>
      <c r="Q225" s="314"/>
      <c r="R225" s="314"/>
      <c r="S225" s="314"/>
      <c r="T225" s="314"/>
      <c r="U225" s="314"/>
      <c r="V225" s="314"/>
      <c r="W225" s="314"/>
      <c r="X225" s="314"/>
      <c r="Y225" s="314"/>
      <c r="Z225" s="314"/>
      <c r="AA225" s="314"/>
      <c r="AB225" s="314"/>
    </row>
    <row r="226" spans="1:28" ht="11.25" hidden="1" customHeight="1">
      <c r="A226" s="314"/>
      <c r="B226" s="314"/>
      <c r="C226" s="314"/>
      <c r="D226" s="314"/>
      <c r="E226" s="478"/>
      <c r="F226" s="314"/>
      <c r="G226" s="314"/>
      <c r="H226" s="314"/>
      <c r="I226" s="314"/>
      <c r="J226" s="314"/>
      <c r="K226" s="314"/>
      <c r="L226" s="314"/>
      <c r="M226" s="314"/>
      <c r="N226" s="314"/>
      <c r="O226" s="314"/>
      <c r="P226" s="314"/>
      <c r="Q226" s="314"/>
      <c r="R226" s="314"/>
      <c r="S226" s="314"/>
      <c r="T226" s="314"/>
      <c r="U226" s="314"/>
      <c r="V226" s="314"/>
      <c r="W226" s="314"/>
      <c r="X226" s="314"/>
      <c r="Y226" s="314"/>
      <c r="Z226" s="314"/>
      <c r="AA226" s="314"/>
      <c r="AB226" s="314"/>
    </row>
    <row r="227" spans="1:28" ht="11.25" hidden="1" customHeight="1">
      <c r="A227" s="314"/>
      <c r="B227" s="314"/>
      <c r="C227" s="314"/>
      <c r="D227" s="314"/>
      <c r="E227" s="478"/>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row>
    <row r="228" spans="1:28" ht="11.25" hidden="1" customHeight="1">
      <c r="A228" s="314"/>
      <c r="B228" s="314"/>
      <c r="C228" s="314"/>
      <c r="D228" s="314"/>
      <c r="E228" s="478"/>
      <c r="F228" s="314"/>
      <c r="G228" s="314"/>
      <c r="H228" s="314"/>
      <c r="I228" s="314"/>
      <c r="J228" s="314"/>
      <c r="K228" s="314"/>
      <c r="L228" s="314"/>
      <c r="M228" s="314"/>
      <c r="N228" s="314"/>
      <c r="O228" s="314"/>
      <c r="P228" s="314"/>
      <c r="Q228" s="314"/>
      <c r="R228" s="314"/>
      <c r="S228" s="314"/>
      <c r="T228" s="314"/>
      <c r="U228" s="314"/>
      <c r="V228" s="314"/>
      <c r="W228" s="314"/>
      <c r="X228" s="314"/>
      <c r="Y228" s="314"/>
      <c r="Z228" s="314"/>
      <c r="AA228" s="314"/>
      <c r="AB228" s="314"/>
    </row>
    <row r="229" spans="1:28" ht="11.25" hidden="1" customHeight="1">
      <c r="A229" s="314"/>
      <c r="B229" s="314"/>
      <c r="C229" s="314"/>
      <c r="D229" s="314"/>
      <c r="E229" s="478"/>
      <c r="F229" s="314"/>
      <c r="G229" s="314"/>
      <c r="H229" s="314"/>
      <c r="I229" s="314"/>
      <c r="J229" s="314"/>
      <c r="K229" s="314"/>
      <c r="L229" s="314"/>
      <c r="M229" s="314"/>
      <c r="N229" s="314"/>
      <c r="O229" s="314"/>
      <c r="P229" s="314"/>
      <c r="Q229" s="314"/>
      <c r="R229" s="314"/>
      <c r="S229" s="314"/>
      <c r="T229" s="314"/>
      <c r="U229" s="314"/>
      <c r="V229" s="314"/>
      <c r="W229" s="314"/>
      <c r="X229" s="314"/>
      <c r="Y229" s="314"/>
      <c r="Z229" s="314"/>
      <c r="AA229" s="314"/>
      <c r="AB229" s="314"/>
    </row>
  </sheetData>
  <sheetProtection formatColumns="0" formatRows="0" insertRows="0" deleteColumns="0" deleteRows="0" sort="0" autoFilter="0"/>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F72D-2AC4-6ED8-6478-948471FC4CD8}">
  <sheetPr>
    <tabColor rgb="FF92D050"/>
    <outlinePr summaryBelow="0" summaryRight="0"/>
    <pageSetUpPr fitToPage="1"/>
  </sheetPr>
  <dimension ref="A1:AI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22" hidden="1" customWidth="1"/>
    <col min="5" max="5" width="4.5703125" style="447"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56" hidden="1"/>
  </cols>
  <sheetData>
    <row r="1" spans="1:35" ht="11.25" hidden="1" customHeight="1">
      <c r="E1" s="22"/>
      <c r="F1" s="22" t="s">
        <v>309</v>
      </c>
      <c r="H1" s="22" t="s">
        <v>320</v>
      </c>
      <c r="T1" s="351" t="s">
        <v>92</v>
      </c>
      <c r="U1" s="351" t="s">
        <v>97</v>
      </c>
      <c r="V1" s="351" t="s">
        <v>93</v>
      </c>
      <c r="W1" s="351" t="s">
        <v>94</v>
      </c>
      <c r="X1" s="351" t="s">
        <v>95</v>
      </c>
      <c r="Y1" s="353" t="s">
        <v>311</v>
      </c>
      <c r="Z1" s="351" t="s">
        <v>99</v>
      </c>
      <c r="AA1" s="353" t="s">
        <v>96</v>
      </c>
      <c r="AC1" s="353" t="s">
        <v>98</v>
      </c>
      <c r="AI1" s="656" t="s">
        <v>312</v>
      </c>
    </row>
    <row r="2" spans="1:35" ht="11.25" hidden="1" customHeight="1">
      <c r="B2" s="340" t="s">
        <v>18</v>
      </c>
      <c r="E2" s="22"/>
    </row>
    <row r="3" spans="1:35" ht="11.25" hidden="1" customHeight="1">
      <c r="E3" s="22"/>
    </row>
    <row r="4" spans="1:35" ht="11.25" hidden="1" customHeight="1">
      <c r="E4" s="22"/>
    </row>
    <row r="5" spans="1:35" s="447" customFormat="1" ht="11.25" hidden="1" customHeight="1">
      <c r="A5" s="22"/>
      <c r="B5" s="22"/>
      <c r="C5" s="22"/>
      <c r="D5" s="22"/>
      <c r="E5" s="447" t="s">
        <v>19</v>
      </c>
      <c r="AA5" s="447">
        <v>3</v>
      </c>
      <c r="AB5" s="447">
        <v>11</v>
      </c>
      <c r="AC5" s="447">
        <v>57</v>
      </c>
      <c r="AD5" s="473">
        <v>14.57</v>
      </c>
      <c r="AE5" s="473">
        <v>12.57</v>
      </c>
      <c r="AF5" s="473">
        <v>12.57</v>
      </c>
      <c r="AG5" s="447">
        <v>3</v>
      </c>
      <c r="AI5" s="656"/>
    </row>
    <row r="6" spans="1:35" ht="11.25" hidden="1" customHeight="1">
      <c r="A6" s="22" t="s">
        <v>349</v>
      </c>
      <c r="AE6" s="17" cm="1">
        <f t="array" ref="AE6">god</f>
        <v>2026</v>
      </c>
      <c r="AF6" s="17" cm="1">
        <f t="array" ref="AF6">god</f>
        <v>2026</v>
      </c>
    </row>
    <row r="7" spans="1:35" ht="11.25" hidden="1" customHeight="1">
      <c r="A7" s="22" t="s">
        <v>350</v>
      </c>
      <c r="AE7" s="17" t="str" cm="1">
        <f t="array" ref="AE7">AE25</f>
        <v>Предложение организации</v>
      </c>
      <c r="AF7" s="17" t="str" cm="1">
        <f t="array" ref="AF7">AF25</f>
        <v>Принято органом регулирования</v>
      </c>
    </row>
    <row r="8" spans="1:35" ht="11.25" hidden="1" customHeight="1">
      <c r="AE8" s="17"/>
      <c r="AF8" s="17"/>
    </row>
    <row r="9" spans="1:35" s="656" customFormat="1" ht="11.25" hidden="1" customHeight="1">
      <c r="A9" s="656" t="s">
        <v>355</v>
      </c>
      <c r="AD9" s="673"/>
      <c r="AE9" s="669" t="str" cm="1">
        <f t="array" ref="AE9">AE25</f>
        <v>Предложение организации</v>
      </c>
      <c r="AF9" s="669" t="str" cm="1">
        <f t="array" ref="AF9">AF25</f>
        <v>Принято органом регулирования</v>
      </c>
    </row>
    <row r="10" spans="1:35" ht="11.25" hidden="1" customHeight="1">
      <c r="AE10" s="17"/>
      <c r="AF10" s="17"/>
    </row>
    <row r="11" spans="1:35" ht="11.25" hidden="1" customHeight="1">
      <c r="AE11" s="17"/>
      <c r="AF11" s="17"/>
    </row>
    <row r="12" spans="1:35" ht="11.25" hidden="1" customHeight="1">
      <c r="AE12" s="17"/>
      <c r="AF12" s="17"/>
    </row>
    <row r="13" spans="1:35" ht="11.25" hidden="1" customHeight="1">
      <c r="AE13" s="17"/>
      <c r="AF13" s="17"/>
    </row>
    <row r="14" spans="1:35" ht="11.25" hidden="1" customHeight="1">
      <c r="AE14" s="17"/>
      <c r="AF14" s="17"/>
    </row>
    <row r="15" spans="1:35" ht="11.25" hidden="1" customHeight="1">
      <c r="AE15" s="17"/>
      <c r="AF15" s="17"/>
    </row>
    <row r="16" spans="1:35" ht="11.25" hidden="1" customHeight="1">
      <c r="AE16" s="17"/>
      <c r="AF16" s="17"/>
    </row>
    <row r="17" spans="5:35" ht="11.25" hidden="1" customHeight="1">
      <c r="AE17" s="38"/>
      <c r="AF17" s="38"/>
    </row>
    <row r="18" spans="5:35" ht="11.25" hidden="1" customHeight="1">
      <c r="AE18" s="44">
        <f ca="1">SUMIFS('Перечень объектов'!AH$24:AH$51,'Перечень объектов'!$F$24:$F$51,$F29,'Перечень объектов'!$L$24:$L$51,"ЭЭ")</f>
        <v>0</v>
      </c>
    </row>
    <row r="19" spans="5:35" ht="11.25" hidden="1" customHeight="1"/>
    <row r="20" spans="5:35" ht="11.25" hidden="1" customHeight="1"/>
    <row r="21" spans="5:35" ht="14.65" customHeight="1">
      <c r="E21" s="447">
        <v>15</v>
      </c>
      <c r="AC21" s="266" t="str" cm="1">
        <f t="array" ref="AC21">tpl_title</f>
        <v>Кемеровская область / 2026 / МУП "Водоканал" (ИНН:4202043124, КПП:420201001) / ДПР: 2026-2028</v>
      </c>
    </row>
    <row r="22" spans="5:35" ht="32.85" customHeight="1">
      <c r="E22" s="447">
        <v>33.75</v>
      </c>
      <c r="AB22" s="1079" t="s">
        <v>90</v>
      </c>
      <c r="AC22" s="1080"/>
      <c r="AD22" s="1080"/>
      <c r="AE22" s="1080"/>
      <c r="AF22" s="1080"/>
    </row>
    <row r="23" spans="5:35" ht="10.9" customHeight="1">
      <c r="E23" s="447">
        <v>11.25</v>
      </c>
      <c r="AB23" s="1055"/>
      <c r="AC23" s="1055"/>
      <c r="AD23" s="1055"/>
      <c r="AE23" s="1055"/>
      <c r="AF23" s="1055"/>
    </row>
    <row r="24" spans="5:35" ht="14.65" customHeight="1">
      <c r="E24" s="447">
        <v>15</v>
      </c>
      <c r="AB24" s="1028" t="s">
        <v>841</v>
      </c>
      <c r="AC24" s="1074" t="s">
        <v>192</v>
      </c>
      <c r="AD24" s="1028" t="s">
        <v>359</v>
      </c>
      <c r="AE24" s="1132" t="str">
        <f>god&amp;" год"</f>
        <v>2026 год</v>
      </c>
      <c r="AF24" s="1133"/>
    </row>
    <row r="25" spans="5:35" ht="48.75" customHeight="1">
      <c r="E25" s="447">
        <v>50</v>
      </c>
      <c r="AB25" s="1028"/>
      <c r="AC25" s="1074"/>
      <c r="AD25" s="1028"/>
      <c r="AE25" s="730" t="s">
        <v>352</v>
      </c>
      <c r="AF25" s="9" t="s">
        <v>351</v>
      </c>
    </row>
    <row r="26" spans="5:35" ht="11.25" hidden="1" customHeight="1">
      <c r="E26" s="447">
        <v>0</v>
      </c>
      <c r="AB26" s="521"/>
      <c r="AC26" s="528"/>
      <c r="AD26" s="521"/>
      <c r="AE26" s="208"/>
      <c r="AF26" s="208"/>
    </row>
    <row r="27" spans="5:35" ht="14.65" hidden="1" customHeight="1">
      <c r="E27" s="447">
        <v>15</v>
      </c>
      <c r="F27" s="22" cm="1">
        <f t="array" ref="F27">X27</f>
        <v>0</v>
      </c>
      <c r="T27" s="351" t="b">
        <f>X27&gt;0</f>
        <v>0</v>
      </c>
      <c r="V27" s="22" t="s">
        <v>266</v>
      </c>
      <c r="X27" s="1046">
        <v>0</v>
      </c>
      <c r="Z27" s="1047"/>
      <c r="AB27" s="135" t="str" cm="1">
        <f t="array" ref="AB27">INDEX('Общие сведения'!$AG$179:$AG$208,MATCH($X27,'Общие сведения'!$Z$179:$Z$208,0))</f>
        <v xml:space="preserve">Тариф 0 () - </v>
      </c>
      <c r="AC27" s="584"/>
      <c r="AD27" s="788"/>
      <c r="AE27" s="788"/>
      <c r="AF27" s="789"/>
    </row>
    <row r="28" spans="5:35" s="63" customFormat="1" ht="21.95" hidden="1" customHeight="1">
      <c r="E28" s="486">
        <v>22.5</v>
      </c>
      <c r="F28" s="3" cm="1">
        <f t="array" aca="1" ref="F28" ca="1">OFFSET(E28,-1,1)</f>
        <v>0</v>
      </c>
      <c r="H28" s="22" t="s">
        <v>321</v>
      </c>
      <c r="I28" s="22"/>
      <c r="J28" s="22"/>
      <c r="K28" s="22"/>
      <c r="T28" s="351" t="b" cm="1">
        <f t="array" ref="T28">T27</f>
        <v>0</v>
      </c>
      <c r="X28" s="1046"/>
      <c r="Z28" s="1047"/>
      <c r="AB28" s="381" t="s">
        <v>277</v>
      </c>
      <c r="AC28" s="389" t="s">
        <v>2444</v>
      </c>
      <c r="AD28" s="381" t="s">
        <v>859</v>
      </c>
      <c r="AE28" s="385">
        <f ca="1">(AE29+AE37)*AE35</f>
        <v>0</v>
      </c>
      <c r="AF28" s="385">
        <f ca="1">(AF29+AF37)*AF35</f>
        <v>0</v>
      </c>
      <c r="AI28" s="679" t="s">
        <v>2445</v>
      </c>
    </row>
    <row r="29" spans="5:35" ht="21.95" hidden="1" customHeight="1">
      <c r="E29" s="447">
        <v>22.5</v>
      </c>
      <c r="F29" s="3" cm="1">
        <f t="array" aca="1" ref="F29" ca="1">OFFSET(E29,-1,1)</f>
        <v>0</v>
      </c>
      <c r="G29" s="22" t="s">
        <v>2446</v>
      </c>
      <c r="H29" s="22" t="s">
        <v>322</v>
      </c>
      <c r="K29" s="22" t="str">
        <f ca="1">F29&amp;G29</f>
        <v>0УТР</v>
      </c>
      <c r="L29" s="709" cm="1">
        <f t="array" ref="L29">AE29</f>
        <v>0</v>
      </c>
      <c r="M29" s="709" cm="1">
        <f t="array" ref="M29">AF29</f>
        <v>0</v>
      </c>
      <c r="T29" s="351" t="b" cm="1">
        <f t="array" ref="T29">T28</f>
        <v>0</v>
      </c>
      <c r="X29" s="1046"/>
      <c r="Z29" s="1047"/>
      <c r="AB29" s="381" t="s">
        <v>435</v>
      </c>
      <c r="AC29" s="384" t="s">
        <v>1074</v>
      </c>
      <c r="AD29" s="381" t="s">
        <v>1066</v>
      </c>
      <c r="AE29" s="385">
        <f>IF(AE34=0,0,(AE30-IF(SUMIFS('Перечень объектов'!AH$24:AH$51,'Перечень объектов'!$F$24:$F$51,$F29,'Перечень объектов'!$G$24:$G$51,"ЭЭ")&gt;0,0,AE31))/AE34)</f>
        <v>0</v>
      </c>
      <c r="AF29" s="385">
        <f>IF(AF34=0,0,(AF30-IF(SUMIFS('Перечень объектов'!AI$24:AI$51,'Перечень объектов'!$F$24:$F$51,$F29,'Перечень объектов'!$G$24:$G$51,"ЭЭ")&gt;0,0,AF31))/AF34)</f>
        <v>0</v>
      </c>
      <c r="AI29" s="656" t="s">
        <v>2447</v>
      </c>
    </row>
    <row r="30" spans="5:35" ht="32.85" hidden="1" customHeight="1">
      <c r="E30" s="447">
        <v>33.75</v>
      </c>
      <c r="F30" s="3" cm="1">
        <f t="array" aca="1" ref="F30" ca="1">OFFSET(E30,-1,1)</f>
        <v>0</v>
      </c>
      <c r="H30" s="22" t="s">
        <v>525</v>
      </c>
      <c r="T30" s="351" t="b" cm="1">
        <f t="array" ref="T30">T29</f>
        <v>0</v>
      </c>
      <c r="X30" s="1046"/>
      <c r="Z30" s="1047"/>
      <c r="AB30" s="381" t="s">
        <v>588</v>
      </c>
      <c r="AC30" s="407" t="s">
        <v>2448</v>
      </c>
      <c r="AD30" s="381" t="s">
        <v>859</v>
      </c>
      <c r="AE30" s="924"/>
      <c r="AF30" s="385">
        <f ca="1">SUMIFS(ГО!AE$25:AE$205,ГО!$F$25:$F$205,$F30,ГО!$G$25:$G$205,"Итог")*(1+AF32/100)*(1+AF33/100)</f>
        <v>0</v>
      </c>
      <c r="AI30" s="656" t="s">
        <v>2449</v>
      </c>
    </row>
    <row r="31" spans="5:35" s="63" customFormat="1" ht="14.65" hidden="1" customHeight="1">
      <c r="E31" s="486">
        <v>15</v>
      </c>
      <c r="F31" s="3" cm="1">
        <f t="array" aca="1" ref="F31" ca="1">OFFSET(E31,-1,1)</f>
        <v>0</v>
      </c>
      <c r="H31" s="22" t="s">
        <v>1604</v>
      </c>
      <c r="I31" s="22"/>
      <c r="J31" s="22"/>
      <c r="K31" s="22"/>
      <c r="T31" s="351" t="b" cm="1">
        <f t="array" ref="T31">T30</f>
        <v>0</v>
      </c>
      <c r="X31" s="1046"/>
      <c r="Z31" s="1047"/>
      <c r="AB31" s="381" t="s">
        <v>533</v>
      </c>
      <c r="AC31" s="790" t="s">
        <v>2450</v>
      </c>
      <c r="AD31" s="381" t="s">
        <v>859</v>
      </c>
      <c r="AE31" s="924"/>
      <c r="AF31" s="385">
        <f ca="1">SUMIFS(ГО!AE$25:AE$205,ГО!$F$25:$F$205,$F31,ГО!$G$25:$G$205,"ЭЭ")*(1+AF32/100)*(1+AF33/100)</f>
        <v>0</v>
      </c>
      <c r="AI31" s="679" t="s">
        <v>1751</v>
      </c>
    </row>
    <row r="32" spans="5:35" s="63" customFormat="1" ht="14.65" hidden="1" customHeight="1">
      <c r="E32" s="486">
        <v>15</v>
      </c>
      <c r="F32" s="3" cm="1">
        <f t="array" aca="1" ref="F32" ca="1">OFFSET(E32,-1,1)</f>
        <v>0</v>
      </c>
      <c r="H32" s="22" t="s">
        <v>528</v>
      </c>
      <c r="I32" s="22"/>
      <c r="J32" s="22"/>
      <c r="K32" s="22"/>
      <c r="T32" s="351" t="b" cm="1">
        <f t="array" ref="T32">T31</f>
        <v>0</v>
      </c>
      <c r="X32" s="1046"/>
      <c r="Z32" s="1047"/>
      <c r="AB32" s="381" t="s">
        <v>592</v>
      </c>
      <c r="AC32" s="407" t="str">
        <f>"индекс потребительских цен на "&amp;god-1&amp;" год"</f>
        <v>индекс потребительских цен на 2025 год</v>
      </c>
      <c r="AD32" s="381" t="s">
        <v>501</v>
      </c>
      <c r="AE32" s="924"/>
      <c r="AF32" s="924"/>
      <c r="AI32" s="679" t="s">
        <v>2451</v>
      </c>
    </row>
    <row r="33" spans="5:35" s="63" customFormat="1" ht="14.65" hidden="1" customHeight="1">
      <c r="E33" s="486">
        <v>15</v>
      </c>
      <c r="F33" s="3" cm="1">
        <f t="array" aca="1" ref="F33" ca="1">OFFSET(E33,-1,1)</f>
        <v>0</v>
      </c>
      <c r="H33" s="22" t="s">
        <v>956</v>
      </c>
      <c r="I33" s="22"/>
      <c r="J33" s="22"/>
      <c r="K33" s="22"/>
      <c r="T33" s="351" t="b" cm="1">
        <f t="array" ref="T33">T32</f>
        <v>0</v>
      </c>
      <c r="X33" s="1046"/>
      <c r="Z33" s="1047"/>
      <c r="AB33" s="381" t="s">
        <v>596</v>
      </c>
      <c r="AC33" s="407" t="str">
        <f>"индекс потребительских цен на "&amp;god&amp;" год"</f>
        <v>индекс потребительских цен на 2026 год</v>
      </c>
      <c r="AD33" s="381" t="s">
        <v>501</v>
      </c>
      <c r="AE33" s="924"/>
      <c r="AF33" s="924"/>
      <c r="AI33" s="679" t="s">
        <v>2452</v>
      </c>
    </row>
    <row r="34" spans="5:35" s="63" customFormat="1" ht="21.95" hidden="1" customHeight="1">
      <c r="E34" s="486">
        <v>22.5</v>
      </c>
      <c r="F34" s="3" cm="1">
        <f t="array" aca="1" ref="F34" ca="1">OFFSET(E34,-1,1)</f>
        <v>0</v>
      </c>
      <c r="H34" s="22" t="s">
        <v>958</v>
      </c>
      <c r="I34" s="22"/>
      <c r="J34" s="22"/>
      <c r="K34" s="22"/>
      <c r="T34" s="351" t="b" cm="1">
        <f t="array" ref="T34">T33</f>
        <v>0</v>
      </c>
      <c r="X34" s="1046"/>
      <c r="Z34" s="1047"/>
      <c r="AB34" s="381" t="s">
        <v>959</v>
      </c>
      <c r="AC34" s="407" t="s">
        <v>2453</v>
      </c>
      <c r="AD34" s="381" t="s">
        <v>851</v>
      </c>
      <c r="AE34" s="924"/>
      <c r="AF34" s="924"/>
      <c r="AI34" s="679" t="s">
        <v>2454</v>
      </c>
    </row>
    <row r="35" spans="5:35" s="63" customFormat="1" ht="14.65" hidden="1" customHeight="1">
      <c r="E35" s="486">
        <v>15</v>
      </c>
      <c r="F35" s="3" cm="1">
        <f t="array" aca="1" ref="F35" ca="1">OFFSET(E35,-1,1)</f>
        <v>0</v>
      </c>
      <c r="H35" s="22" t="s">
        <v>323</v>
      </c>
      <c r="I35" s="22"/>
      <c r="J35" s="22"/>
      <c r="K35" s="22"/>
      <c r="T35" s="351" t="b" cm="1">
        <f t="array" ref="T35">T34</f>
        <v>0</v>
      </c>
      <c r="X35" s="1046"/>
      <c r="Z35" s="1047"/>
      <c r="AB35" s="381" t="s">
        <v>319</v>
      </c>
      <c r="AC35" s="406" t="s">
        <v>2455</v>
      </c>
      <c r="AD35" s="381" t="s">
        <v>851</v>
      </c>
      <c r="AE35" s="388">
        <f ca="1">SUMIFS('Условные метры'!AL$27:AL$35,'Условные метры'!$F$27:$F$35,$F35,'Условные метры'!$G$27:$G$35,"Итог")</f>
        <v>0</v>
      </c>
      <c r="AF35" s="388">
        <f ca="1">SUMIFS('Условные метры'!AN$27:AN$35,'Условные метры'!$F$27:$F$35,$F35,'Условные метры'!$G$27:$G$35,"Итог")</f>
        <v>0</v>
      </c>
      <c r="AI35" s="679" t="s">
        <v>2456</v>
      </c>
    </row>
    <row r="36" spans="5:35" s="63" customFormat="1" ht="14.65" hidden="1" customHeight="1">
      <c r="E36" s="486">
        <v>15</v>
      </c>
      <c r="F36" s="3" cm="1">
        <f t="array" aca="1" ref="F36" ca="1">OFFSET(E36,-1,1)</f>
        <v>0</v>
      </c>
      <c r="H36" s="22" t="s">
        <v>966</v>
      </c>
      <c r="I36" s="22"/>
      <c r="J36" s="22"/>
      <c r="K36" s="22"/>
      <c r="T36" s="351" t="b" cm="1">
        <f t="array" ref="T36">T35</f>
        <v>0</v>
      </c>
      <c r="X36" s="1046"/>
      <c r="Z36" s="1047"/>
      <c r="AB36" s="381" t="s">
        <v>602</v>
      </c>
      <c r="AC36" s="407" t="s">
        <v>2457</v>
      </c>
      <c r="AD36" s="381" t="s">
        <v>377</v>
      </c>
      <c r="AE36" s="388">
        <f ca="1">SUMIFS('Условные метры'!AK$27:AK$35,'Условные метры'!$F$27:$F$35,$F36,'Условные метры'!$G$27:$G$35,"Итог")</f>
        <v>0</v>
      </c>
      <c r="AF36" s="388">
        <f ca="1">SUMIFS('Условные метры'!AM$27:AM$35,'Условные метры'!$F$27:$F$35,$F36,'Условные метры'!$G$27:$G$35,"Итог")</f>
        <v>0</v>
      </c>
      <c r="AI36" s="679" t="s">
        <v>2458</v>
      </c>
    </row>
    <row r="37" spans="5:35" s="63" customFormat="1" ht="14.65" hidden="1" customHeight="1">
      <c r="E37" s="486">
        <v>15</v>
      </c>
      <c r="F37" s="3" cm="1">
        <f t="array" aca="1" ref="F37" ca="1">OFFSET(E37,-1,1)</f>
        <v>0</v>
      </c>
      <c r="H37" s="22" t="s">
        <v>325</v>
      </c>
      <c r="I37" s="22"/>
      <c r="J37" s="22"/>
      <c r="K37" s="22"/>
      <c r="T37" s="351" t="b" cm="1">
        <f t="array" ref="T37">T36</f>
        <v>0</v>
      </c>
      <c r="X37" s="1046"/>
      <c r="Z37" s="1047"/>
      <c r="AB37" s="381" t="s">
        <v>438</v>
      </c>
      <c r="AC37" s="406" t="s">
        <v>2459</v>
      </c>
      <c r="AD37" s="381" t="s">
        <v>1066</v>
      </c>
      <c r="AE37" s="388">
        <f ca="1">SUMIFS('Амортизация (аналог)'!AE$25:AE$41,'Амортизация (аналог)'!$F$25:$F$41,$F37,'Амортизация (аналог)'!$AB$25:$AB$41,"2")</f>
        <v>0</v>
      </c>
      <c r="AF37" s="388">
        <f ca="1">SUMIFS('Амортизация (аналог)'!AF$25:AF$41,'Амортизация (аналог)'!$F$25:$F$41,$F37,'Амортизация (аналог)'!$AB$25:$AB$41,"2")</f>
        <v>0</v>
      </c>
      <c r="AI37" s="679" t="s">
        <v>2460</v>
      </c>
    </row>
    <row r="38" spans="5:35" s="63" customFormat="1" ht="14.65" hidden="1" customHeight="1">
      <c r="E38" s="486">
        <v>15</v>
      </c>
      <c r="F38" s="3" cm="1">
        <f t="array" aca="1" ref="F38" ca="1">OFFSET(E38,-1,1)</f>
        <v>0</v>
      </c>
      <c r="H38" s="22" t="s">
        <v>587</v>
      </c>
      <c r="I38" s="22"/>
      <c r="J38" s="22"/>
      <c r="K38" s="22"/>
      <c r="T38" s="351" t="b" cm="1">
        <f t="array" ref="T38">T37</f>
        <v>0</v>
      </c>
      <c r="X38" s="1046"/>
      <c r="Z38" s="1047"/>
      <c r="AB38" s="381" t="s">
        <v>722</v>
      </c>
      <c r="AC38" s="791" t="s">
        <v>2461</v>
      </c>
      <c r="AD38" s="381" t="s">
        <v>501</v>
      </c>
      <c r="AE38" s="385">
        <f>IF(AE29=0,0,AE37/AE29*100)</f>
        <v>0</v>
      </c>
      <c r="AF38" s="385">
        <f>IF(AF29=0,0,AF37/AF29*100)</f>
        <v>0</v>
      </c>
      <c r="AI38" s="679" t="s">
        <v>2462</v>
      </c>
    </row>
    <row r="39" spans="5:35" s="63" customFormat="1" ht="21.95" hidden="1" customHeight="1">
      <c r="E39" s="486">
        <v>22.5</v>
      </c>
      <c r="F39" s="3" cm="1">
        <f t="array" aca="1" ref="F39" ca="1">OFFSET(E39,-1,1)</f>
        <v>0</v>
      </c>
      <c r="G39" s="72" t="s">
        <v>1656</v>
      </c>
      <c r="H39" s="22" t="s">
        <v>324</v>
      </c>
      <c r="I39" s="22"/>
      <c r="J39" s="22"/>
      <c r="K39" s="22"/>
      <c r="T39" s="351" t="b" cm="1">
        <f t="array" ref="T39">T38</f>
        <v>0</v>
      </c>
      <c r="X39" s="1046"/>
      <c r="Z39" s="1047"/>
      <c r="AB39" s="381" t="s">
        <v>440</v>
      </c>
      <c r="AC39" s="405" t="s">
        <v>2463</v>
      </c>
      <c r="AD39" s="381" t="s">
        <v>2464</v>
      </c>
      <c r="AE39" s="388">
        <f ca="1">SUMIFS(Баланс!$AI$25:$AI$209,Баланс!$F$25:$F$209,$F39,Баланс!$G$25:$G$209,"ПО")</f>
        <v>0</v>
      </c>
      <c r="AF39" s="388">
        <f ca="1">SUMIFS(Баланс!$AS$25:$AS$209,Баланс!$F$25:$F$209,$F39,Баланс!$G$25:$G$209,"ПО")</f>
        <v>0</v>
      </c>
      <c r="AI39" s="679" t="s">
        <v>1088</v>
      </c>
    </row>
    <row r="40" spans="5:35" s="63" customFormat="1" ht="14.65" hidden="1" customHeight="1">
      <c r="E40" s="486">
        <v>15</v>
      </c>
      <c r="F40" s="3" cm="1">
        <f t="array" aca="1" ref="F40" ca="1">OFFSET(E40,-1,1)</f>
        <v>0</v>
      </c>
      <c r="G40" s="25" t="s">
        <v>1683</v>
      </c>
      <c r="H40" s="22" t="s">
        <v>601</v>
      </c>
      <c r="I40" s="22"/>
      <c r="J40" s="22"/>
      <c r="K40" s="22"/>
      <c r="T40" s="351" t="b" cm="1">
        <f t="array" ref="T40">T39</f>
        <v>0</v>
      </c>
      <c r="X40" s="1046"/>
      <c r="Z40" s="1047"/>
      <c r="AB40" s="381" t="s">
        <v>729</v>
      </c>
      <c r="AC40" s="731" t="s">
        <v>2465</v>
      </c>
      <c r="AD40" s="381" t="s">
        <v>2464</v>
      </c>
      <c r="AE40" s="925"/>
      <c r="AF40" s="925"/>
      <c r="AI40" s="679" t="s">
        <v>2466</v>
      </c>
    </row>
    <row r="41" spans="5:35" s="63" customFormat="1" ht="14.65" hidden="1" customHeight="1">
      <c r="E41" s="486">
        <v>15</v>
      </c>
      <c r="F41" s="3" cm="1">
        <f t="array" aca="1" ref="F41" ca="1">OFFSET(E41,-1,1)</f>
        <v>0</v>
      </c>
      <c r="G41" s="25" t="s">
        <v>1696</v>
      </c>
      <c r="H41" s="22" t="s">
        <v>605</v>
      </c>
      <c r="I41" s="22"/>
      <c r="J41" s="22"/>
      <c r="K41" s="22"/>
      <c r="T41" s="351" t="b" cm="1">
        <f t="array" ref="T41">T40</f>
        <v>0</v>
      </c>
      <c r="X41" s="1046"/>
      <c r="Z41" s="1047"/>
      <c r="AB41" s="381" t="s">
        <v>732</v>
      </c>
      <c r="AC41" s="731" t="s">
        <v>2467</v>
      </c>
      <c r="AD41" s="381" t="s">
        <v>2464</v>
      </c>
      <c r="AE41" s="388">
        <f ca="1">AE39-AE40</f>
        <v>0</v>
      </c>
      <c r="AF41" s="388">
        <f ca="1">AF39-AF40</f>
        <v>0</v>
      </c>
      <c r="AI41" s="679" t="s">
        <v>2468</v>
      </c>
    </row>
    <row r="42" spans="5:35" s="63" customFormat="1" ht="14.65" hidden="1" customHeight="1">
      <c r="E42" s="486">
        <v>15</v>
      </c>
      <c r="F42" s="3" cm="1">
        <f t="array" aca="1" ref="F42" ca="1">OFFSET(E42,-1,1)</f>
        <v>0</v>
      </c>
      <c r="H42" s="22" t="s">
        <v>557</v>
      </c>
      <c r="I42" s="22"/>
      <c r="J42" s="22"/>
      <c r="K42" s="22"/>
      <c r="T42" s="351" t="b" cm="1">
        <f t="array" ref="T42">T41</f>
        <v>0</v>
      </c>
      <c r="X42" s="1046"/>
      <c r="Z42" s="1047"/>
      <c r="AB42" s="381" t="s">
        <v>442</v>
      </c>
      <c r="AC42" s="405" t="s">
        <v>2469</v>
      </c>
      <c r="AD42" s="381" t="s">
        <v>1647</v>
      </c>
      <c r="AE42" s="385">
        <f ca="1">IF(AE39=0,0,AE28/AE39)</f>
        <v>0</v>
      </c>
      <c r="AF42" s="385">
        <f ca="1">IF(AF39=0,0,AF28/AF39)</f>
        <v>0</v>
      </c>
      <c r="AI42" s="679" t="s">
        <v>1146</v>
      </c>
    </row>
    <row r="43" spans="5:35" s="63" customFormat="1" ht="14.65" hidden="1" customHeight="1">
      <c r="E43" s="486">
        <v>15</v>
      </c>
      <c r="F43" s="3" cm="1">
        <f t="array" aca="1" ref="F43" ca="1">OFFSET(E43,-1,1)</f>
        <v>0</v>
      </c>
      <c r="G43" s="25" t="s">
        <v>1644</v>
      </c>
      <c r="H43" s="22" t="s">
        <v>745</v>
      </c>
      <c r="I43" s="22"/>
      <c r="J43" s="22"/>
      <c r="K43" s="22"/>
      <c r="T43" s="351" t="b" cm="1">
        <f t="array" ref="T43">T42</f>
        <v>0</v>
      </c>
      <c r="X43" s="1046"/>
      <c r="Z43" s="1047"/>
      <c r="AB43" s="381" t="s">
        <v>2470</v>
      </c>
      <c r="AC43" s="732" t="s">
        <v>2471</v>
      </c>
      <c r="AD43" s="381" t="s">
        <v>1647</v>
      </c>
      <c r="AE43" s="924"/>
      <c r="AF43" s="924"/>
      <c r="AI43" s="679" t="s">
        <v>2472</v>
      </c>
    </row>
    <row r="44" spans="5:35" s="63" customFormat="1" ht="14.65" hidden="1" customHeight="1">
      <c r="E44" s="486">
        <v>15</v>
      </c>
      <c r="F44" s="3" cm="1">
        <f t="array" aca="1" ref="F44" ca="1">OFFSET(E44,-1,1)</f>
        <v>0</v>
      </c>
      <c r="G44" s="25" t="s">
        <v>1649</v>
      </c>
      <c r="H44" s="22" t="s">
        <v>748</v>
      </c>
      <c r="I44" s="22"/>
      <c r="J44" s="22"/>
      <c r="K44" s="22"/>
      <c r="T44" s="351" t="b" cm="1">
        <f t="array" ref="T44">T43</f>
        <v>0</v>
      </c>
      <c r="X44" s="1046"/>
      <c r="Z44" s="1047"/>
      <c r="AB44" s="381" t="s">
        <v>2473</v>
      </c>
      <c r="AC44" s="732" t="s">
        <v>2474</v>
      </c>
      <c r="AD44" s="381" t="s">
        <v>1647</v>
      </c>
      <c r="AE44" s="924">
        <f ca="1">IF(AE41=0,0,(AE28-AE43*AE40)/AE41)</f>
        <v>0</v>
      </c>
      <c r="AF44" s="924">
        <f ca="1">IF(AF41=0,0,(AF28-AF43*AF40)/AF41)</f>
        <v>0</v>
      </c>
      <c r="AI44" s="679" t="s">
        <v>2475</v>
      </c>
    </row>
    <row r="45" spans="5:35" ht="14.65" hidden="1" customHeight="1">
      <c r="E45" s="447">
        <v>15</v>
      </c>
      <c r="F45" s="3" cm="1">
        <f t="array" aca="1" ref="F45" ca="1">OFFSET(E45,-1,1)</f>
        <v>0</v>
      </c>
      <c r="H45" s="22" t="s">
        <v>724</v>
      </c>
      <c r="T45" s="351" t="b" cm="1">
        <f t="array" ref="T45">T44</f>
        <v>0</v>
      </c>
      <c r="X45" s="1046"/>
      <c r="Z45" s="1047"/>
      <c r="AB45" s="381" t="s">
        <v>621</v>
      </c>
      <c r="AC45" s="399" t="s">
        <v>2476</v>
      </c>
      <c r="AD45" s="381" t="s">
        <v>501</v>
      </c>
      <c r="AE45" s="385">
        <f>IF(AE43=0,0,AE44/AE43*100)</f>
        <v>0</v>
      </c>
      <c r="AF45" s="385">
        <f>IF(AF43=0,0,AF44/AF43*100)</f>
        <v>0</v>
      </c>
      <c r="AI45" s="656" t="s">
        <v>2477</v>
      </c>
    </row>
    <row r="46" spans="5:35" ht="14.25" customHeight="1">
      <c r="E46" s="447">
        <v>15</v>
      </c>
      <c r="F46" s="22" t="str" cm="1">
        <f t="array" ref="F46">X46</f>
        <v>1</v>
      </c>
      <c r="T46" s="351" t="b">
        <f>X46&gt;0</f>
        <v>1</v>
      </c>
      <c r="V46" s="22" t="str" cm="1">
        <f t="array" ref="V46">ГО!$AB$116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46" s="1046" t="s">
        <v>277</v>
      </c>
      <c r="Z46" s="1047"/>
      <c r="AB46" s="135" t="str" cm="1">
        <f t="array" ref="AB46">ГО!$AB$116</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46" s="584"/>
      <c r="AD46" s="788"/>
      <c r="AE46" s="788"/>
      <c r="AF46" s="789"/>
    </row>
    <row r="47" spans="5:35" s="63" customFormat="1" ht="21.75" customHeight="1">
      <c r="E47" s="486">
        <v>22.5</v>
      </c>
      <c r="F47" s="3" t="str" cm="1">
        <f t="array" aca="1" ref="F47" ca="1">OFFSET(E47,-1,1)</f>
        <v>1</v>
      </c>
      <c r="H47" s="22" t="s">
        <v>321</v>
      </c>
      <c r="I47" s="22"/>
      <c r="J47" s="22"/>
      <c r="K47" s="22"/>
      <c r="T47" s="351" t="b" cm="1">
        <f t="array" ref="T47">T46</f>
        <v>1</v>
      </c>
      <c r="X47" s="1046"/>
      <c r="Z47" s="1047"/>
      <c r="AB47" s="381" t="s">
        <v>277</v>
      </c>
      <c r="AC47" s="389" t="s">
        <v>2444</v>
      </c>
      <c r="AD47" s="381" t="s">
        <v>859</v>
      </c>
      <c r="AE47" s="385">
        <f ca="1">(AE48+AE56)*AE54</f>
        <v>0</v>
      </c>
      <c r="AF47" s="385">
        <f ca="1">(AF48+AF56)*AF54</f>
        <v>0</v>
      </c>
      <c r="AI47" s="679" t="s">
        <v>2445</v>
      </c>
    </row>
    <row r="48" spans="5:35" ht="21.75" customHeight="1">
      <c r="E48" s="447">
        <v>22.5</v>
      </c>
      <c r="F48" s="3" t="str" cm="1">
        <f t="array" aca="1" ref="F48" ca="1">OFFSET(E48,-1,1)</f>
        <v>1</v>
      </c>
      <c r="G48" s="22" t="s">
        <v>2446</v>
      </c>
      <c r="H48" s="22" t="s">
        <v>322</v>
      </c>
      <c r="K48" s="22" t="str">
        <f ca="1">F48&amp;G48</f>
        <v>1УТР</v>
      </c>
      <c r="L48" s="709" cm="1">
        <f t="array" ref="L48">AE48</f>
        <v>0</v>
      </c>
      <c r="M48" s="709" cm="1">
        <f t="array" ref="M48">AF48</f>
        <v>0</v>
      </c>
      <c r="T48" s="351" t="b" cm="1">
        <f t="array" ref="T48">T47</f>
        <v>1</v>
      </c>
      <c r="X48" s="1046"/>
      <c r="Z48" s="1047"/>
      <c r="AB48" s="381" t="s">
        <v>435</v>
      </c>
      <c r="AC48" s="384" t="s">
        <v>1074</v>
      </c>
      <c r="AD48" s="381" t="s">
        <v>1066</v>
      </c>
      <c r="AE48" s="385">
        <f>IF(AE53=0,0,(AE49-IF(SUMIFS('Перечень объектов'!AH$24:AH$51,'Перечень объектов'!$F$24:$F$51,$F48,'Перечень объектов'!$G$24:$G$51,"ЭЭ")&gt;0,0,AE50))/AE53)</f>
        <v>0</v>
      </c>
      <c r="AF48" s="385">
        <f>IF(AF53=0,0,(AF49-IF(SUMIFS('Перечень объектов'!AI$24:AI$51,'Перечень объектов'!$F$24:$F$51,$F48,'Перечень объектов'!$G$24:$G$51,"ЭЭ")&gt;0,0,AF50))/AF53)</f>
        <v>0</v>
      </c>
      <c r="AI48" s="656" t="s">
        <v>2447</v>
      </c>
    </row>
    <row r="49" spans="5:35" ht="32.25" customHeight="1">
      <c r="E49" s="447">
        <v>33.75</v>
      </c>
      <c r="F49" s="3" t="str" cm="1">
        <f t="array" aca="1" ref="F49" ca="1">OFFSET(E49,-1,1)</f>
        <v>1</v>
      </c>
      <c r="H49" s="22" t="s">
        <v>525</v>
      </c>
      <c r="T49" s="351" t="b" cm="1">
        <f t="array" ref="T49">T48</f>
        <v>1</v>
      </c>
      <c r="X49" s="1046"/>
      <c r="Z49" s="1047"/>
      <c r="AB49" s="381" t="s">
        <v>588</v>
      </c>
      <c r="AC49" s="407" t="s">
        <v>2448</v>
      </c>
      <c r="AD49" s="381" t="s">
        <v>859</v>
      </c>
      <c r="AE49" s="392"/>
      <c r="AF49" s="385">
        <f ca="1">SUMIFS(ГО!AE$25:AE$205,ГО!$F$25:$F$205,$F49,ГО!$G$25:$G$205,"Итог")*(1+AF51/100)*(1+AF52/100)</f>
        <v>0</v>
      </c>
      <c r="AI49" s="656" t="s">
        <v>2449</v>
      </c>
    </row>
    <row r="50" spans="5:35" s="63" customFormat="1" ht="14.25" customHeight="1">
      <c r="E50" s="486">
        <v>15</v>
      </c>
      <c r="F50" s="3" t="str" cm="1">
        <f t="array" aca="1" ref="F50" ca="1">OFFSET(E50,-1,1)</f>
        <v>1</v>
      </c>
      <c r="H50" s="22" t="s">
        <v>1604</v>
      </c>
      <c r="I50" s="22"/>
      <c r="J50" s="22"/>
      <c r="K50" s="22"/>
      <c r="T50" s="351" t="b" cm="1">
        <f t="array" ref="T50">T49</f>
        <v>1</v>
      </c>
      <c r="X50" s="1046"/>
      <c r="Z50" s="1047"/>
      <c r="AB50" s="381" t="s">
        <v>533</v>
      </c>
      <c r="AC50" s="790" t="s">
        <v>2450</v>
      </c>
      <c r="AD50" s="381" t="s">
        <v>859</v>
      </c>
      <c r="AE50" s="392"/>
      <c r="AF50" s="385">
        <f ca="1">SUMIFS(ГО!AE$25:AE$205,ГО!$F$25:$F$205,$F50,ГО!$G$25:$G$205,"ЭЭ")*(1+AF51/100)*(1+AF52/100)</f>
        <v>0</v>
      </c>
      <c r="AI50" s="679" t="s">
        <v>1751</v>
      </c>
    </row>
    <row r="51" spans="5:35" s="63" customFormat="1" ht="14.25" customHeight="1">
      <c r="E51" s="486">
        <v>15</v>
      </c>
      <c r="F51" s="3" t="str" cm="1">
        <f t="array" aca="1" ref="F51" ca="1">OFFSET(E51,-1,1)</f>
        <v>1</v>
      </c>
      <c r="H51" s="22" t="s">
        <v>528</v>
      </c>
      <c r="I51" s="22"/>
      <c r="J51" s="22"/>
      <c r="K51" s="22"/>
      <c r="T51" s="351" t="b" cm="1">
        <f t="array" ref="T51">T50</f>
        <v>1</v>
      </c>
      <c r="X51" s="1046"/>
      <c r="Z51" s="1047"/>
      <c r="AB51" s="381" t="s">
        <v>592</v>
      </c>
      <c r="AC51" s="407" t="str">
        <f>"индекс потребительских цен на "&amp;god-1&amp;" год"</f>
        <v>индекс потребительских цен на 2025 год</v>
      </c>
      <c r="AD51" s="381" t="s">
        <v>501</v>
      </c>
      <c r="AE51" s="392"/>
      <c r="AF51" s="392"/>
      <c r="AI51" s="679" t="s">
        <v>2451</v>
      </c>
    </row>
    <row r="52" spans="5:35" s="63" customFormat="1" ht="14.25" customHeight="1">
      <c r="E52" s="486">
        <v>15</v>
      </c>
      <c r="F52" s="3" t="str" cm="1">
        <f t="array" aca="1" ref="F52" ca="1">OFFSET(E52,-1,1)</f>
        <v>1</v>
      </c>
      <c r="H52" s="22" t="s">
        <v>956</v>
      </c>
      <c r="I52" s="22"/>
      <c r="J52" s="22"/>
      <c r="K52" s="22"/>
      <c r="T52" s="351" t="b" cm="1">
        <f t="array" ref="T52">T51</f>
        <v>1</v>
      </c>
      <c r="X52" s="1046"/>
      <c r="Z52" s="1047"/>
      <c r="AB52" s="381" t="s">
        <v>596</v>
      </c>
      <c r="AC52" s="407" t="str">
        <f>"индекс потребительских цен на "&amp;god&amp;" год"</f>
        <v>индекс потребительских цен на 2026 год</v>
      </c>
      <c r="AD52" s="381" t="s">
        <v>501</v>
      </c>
      <c r="AE52" s="392"/>
      <c r="AF52" s="392"/>
      <c r="AI52" s="679" t="s">
        <v>2452</v>
      </c>
    </row>
    <row r="53" spans="5:35" s="63" customFormat="1" ht="21.75" customHeight="1">
      <c r="E53" s="486">
        <v>22.5</v>
      </c>
      <c r="F53" s="3" t="str" cm="1">
        <f t="array" aca="1" ref="F53" ca="1">OFFSET(E53,-1,1)</f>
        <v>1</v>
      </c>
      <c r="H53" s="22" t="s">
        <v>958</v>
      </c>
      <c r="I53" s="22"/>
      <c r="J53" s="22"/>
      <c r="K53" s="22"/>
      <c r="T53" s="351" t="b" cm="1">
        <f t="array" ref="T53">T52</f>
        <v>1</v>
      </c>
      <c r="X53" s="1046"/>
      <c r="Z53" s="1047"/>
      <c r="AB53" s="381" t="s">
        <v>959</v>
      </c>
      <c r="AC53" s="407" t="s">
        <v>2453</v>
      </c>
      <c r="AD53" s="381" t="s">
        <v>851</v>
      </c>
      <c r="AE53" s="392"/>
      <c r="AF53" s="392"/>
      <c r="AI53" s="679" t="s">
        <v>2454</v>
      </c>
    </row>
    <row r="54" spans="5:35" s="63" customFormat="1" ht="14.25" customHeight="1">
      <c r="E54" s="486">
        <v>15</v>
      </c>
      <c r="F54" s="3" t="str" cm="1">
        <f t="array" aca="1" ref="F54" ca="1">OFFSET(E54,-1,1)</f>
        <v>1</v>
      </c>
      <c r="H54" s="22" t="s">
        <v>323</v>
      </c>
      <c r="I54" s="22"/>
      <c r="J54" s="22"/>
      <c r="K54" s="22"/>
      <c r="T54" s="351" t="b" cm="1">
        <f t="array" ref="T54">T53</f>
        <v>1</v>
      </c>
      <c r="X54" s="1046"/>
      <c r="Z54" s="1047"/>
      <c r="AB54" s="381" t="s">
        <v>319</v>
      </c>
      <c r="AC54" s="406" t="s">
        <v>2455</v>
      </c>
      <c r="AD54" s="381" t="s">
        <v>851</v>
      </c>
      <c r="AE54" s="388">
        <f ca="1">SUMIFS('Условные метры'!AL$27:AL$35,'Условные метры'!$F$27:$F$35,$F54,'Условные метры'!$G$27:$G$35,"Итог")</f>
        <v>0</v>
      </c>
      <c r="AF54" s="388">
        <f ca="1">SUMIFS('Условные метры'!AN$27:AN$35,'Условные метры'!$F$27:$F$35,$F54,'Условные метры'!$G$27:$G$35,"Итог")</f>
        <v>0</v>
      </c>
      <c r="AI54" s="679" t="s">
        <v>2456</v>
      </c>
    </row>
    <row r="55" spans="5:35" s="63" customFormat="1" ht="14.25" customHeight="1">
      <c r="E55" s="486">
        <v>15</v>
      </c>
      <c r="F55" s="3" t="str" cm="1">
        <f t="array" aca="1" ref="F55" ca="1">OFFSET(E55,-1,1)</f>
        <v>1</v>
      </c>
      <c r="H55" s="22" t="s">
        <v>966</v>
      </c>
      <c r="I55" s="22"/>
      <c r="J55" s="22"/>
      <c r="K55" s="22"/>
      <c r="T55" s="351" t="b" cm="1">
        <f t="array" ref="T55">T54</f>
        <v>1</v>
      </c>
      <c r="X55" s="1046"/>
      <c r="Z55" s="1047"/>
      <c r="AB55" s="381" t="s">
        <v>602</v>
      </c>
      <c r="AC55" s="407" t="s">
        <v>2457</v>
      </c>
      <c r="AD55" s="381" t="s">
        <v>377</v>
      </c>
      <c r="AE55" s="388">
        <f ca="1">SUMIFS('Условные метры'!AK$27:AK$35,'Условные метры'!$F$27:$F$35,$F55,'Условные метры'!$G$27:$G$35,"Итог")</f>
        <v>0</v>
      </c>
      <c r="AF55" s="388">
        <f ca="1">SUMIFS('Условные метры'!AM$27:AM$35,'Условные метры'!$F$27:$F$35,$F55,'Условные метры'!$G$27:$G$35,"Итог")</f>
        <v>0</v>
      </c>
      <c r="AI55" s="679" t="s">
        <v>2458</v>
      </c>
    </row>
    <row r="56" spans="5:35" s="63" customFormat="1" ht="14.25" customHeight="1">
      <c r="E56" s="486">
        <v>15</v>
      </c>
      <c r="F56" s="3" t="str" cm="1">
        <f t="array" aca="1" ref="F56" ca="1">OFFSET(E56,-1,1)</f>
        <v>1</v>
      </c>
      <c r="H56" s="22" t="s">
        <v>325</v>
      </c>
      <c r="I56" s="22"/>
      <c r="J56" s="22"/>
      <c r="K56" s="22"/>
      <c r="T56" s="351" t="b" cm="1">
        <f t="array" ref="T56">T55</f>
        <v>1</v>
      </c>
      <c r="X56" s="1046"/>
      <c r="Z56" s="1047"/>
      <c r="AB56" s="381" t="s">
        <v>438</v>
      </c>
      <c r="AC56" s="406" t="s">
        <v>2459</v>
      </c>
      <c r="AD56" s="381" t="s">
        <v>1066</v>
      </c>
      <c r="AE56" s="388">
        <f ca="1">SUMIFS('Амортизация (аналог)'!AE$25:AE$41,'Амортизация (аналог)'!$F$25:$F$41,$F56,'Амортизация (аналог)'!$AB$25:$AB$41,"2")</f>
        <v>0</v>
      </c>
      <c r="AF56" s="388">
        <f ca="1">SUMIFS('Амортизация (аналог)'!AF$25:AF$41,'Амортизация (аналог)'!$F$25:$F$41,$F56,'Амортизация (аналог)'!$AB$25:$AB$41,"2")</f>
        <v>0</v>
      </c>
      <c r="AI56" s="679" t="s">
        <v>2460</v>
      </c>
    </row>
    <row r="57" spans="5:35" s="63" customFormat="1" ht="14.25" customHeight="1">
      <c r="E57" s="486">
        <v>15</v>
      </c>
      <c r="F57" s="3" t="str" cm="1">
        <f t="array" aca="1" ref="F57" ca="1">OFFSET(E57,-1,1)</f>
        <v>1</v>
      </c>
      <c r="H57" s="22" t="s">
        <v>587</v>
      </c>
      <c r="I57" s="22"/>
      <c r="J57" s="22"/>
      <c r="K57" s="22"/>
      <c r="T57" s="351" t="b" cm="1">
        <f t="array" ref="T57">T56</f>
        <v>1</v>
      </c>
      <c r="X57" s="1046"/>
      <c r="Z57" s="1047"/>
      <c r="AB57" s="381" t="s">
        <v>722</v>
      </c>
      <c r="AC57" s="791" t="s">
        <v>2461</v>
      </c>
      <c r="AD57" s="381" t="s">
        <v>501</v>
      </c>
      <c r="AE57" s="385">
        <f>IF(AE48=0,0,AE56/AE48*100)</f>
        <v>0</v>
      </c>
      <c r="AF57" s="385">
        <f>IF(AF48=0,0,AF56/AF48*100)</f>
        <v>0</v>
      </c>
      <c r="AI57" s="679" t="s">
        <v>2462</v>
      </c>
    </row>
    <row r="58" spans="5:35" s="63" customFormat="1" ht="21.75" customHeight="1">
      <c r="E58" s="486">
        <v>22.5</v>
      </c>
      <c r="F58" s="3" t="str" cm="1">
        <f t="array" aca="1" ref="F58" ca="1">OFFSET(E58,-1,1)</f>
        <v>1</v>
      </c>
      <c r="G58" s="72" t="s">
        <v>1656</v>
      </c>
      <c r="H58" s="22" t="s">
        <v>324</v>
      </c>
      <c r="I58" s="22"/>
      <c r="J58" s="22"/>
      <c r="K58" s="22"/>
      <c r="T58" s="351" t="b" cm="1">
        <f t="array" ref="T58">T57</f>
        <v>1</v>
      </c>
      <c r="X58" s="1046"/>
      <c r="Z58" s="1047"/>
      <c r="AB58" s="381" t="s">
        <v>440</v>
      </c>
      <c r="AC58" s="405" t="s">
        <v>2463</v>
      </c>
      <c r="AD58" s="381" t="s">
        <v>2464</v>
      </c>
      <c r="AE58" s="388">
        <f ca="1">SUMIFS(Баланс!$AI$25:$AI$209,Баланс!$F$25:$F$209,$F58,Баланс!$G$25:$G$209,"ПО")</f>
        <v>4995.2669999999998</v>
      </c>
      <c r="AF58" s="388">
        <f ca="1">SUMIFS(Баланс!$AS$25:$AS$209,Баланс!$F$25:$F$209,$F58,Баланс!$G$25:$G$209,"ПО")</f>
        <v>4995.26667</v>
      </c>
      <c r="AI58" s="679" t="s">
        <v>1088</v>
      </c>
    </row>
    <row r="59" spans="5:35" s="63" customFormat="1" ht="14.25" customHeight="1">
      <c r="E59" s="486">
        <v>15</v>
      </c>
      <c r="F59" s="3" t="str" cm="1">
        <f t="array" aca="1" ref="F59" ca="1">OFFSET(E59,-1,1)</f>
        <v>1</v>
      </c>
      <c r="G59" s="25" t="s">
        <v>1683</v>
      </c>
      <c r="H59" s="22" t="s">
        <v>601</v>
      </c>
      <c r="I59" s="22"/>
      <c r="J59" s="22"/>
      <c r="K59" s="22"/>
      <c r="T59" s="351" t="b" cm="1">
        <f t="array" ref="T59">T58</f>
        <v>1</v>
      </c>
      <c r="X59" s="1046"/>
      <c r="Z59" s="1047"/>
      <c r="AB59" s="381" t="s">
        <v>729</v>
      </c>
      <c r="AC59" s="731" t="s">
        <v>2465</v>
      </c>
      <c r="AD59" s="381" t="s">
        <v>2464</v>
      </c>
      <c r="AE59" s="792"/>
      <c r="AF59" s="792"/>
      <c r="AI59" s="679" t="s">
        <v>2466</v>
      </c>
    </row>
    <row r="60" spans="5:35" s="63" customFormat="1" ht="14.25" customHeight="1">
      <c r="E60" s="486">
        <v>15</v>
      </c>
      <c r="F60" s="3" t="str" cm="1">
        <f t="array" aca="1" ref="F60" ca="1">OFFSET(E60,-1,1)</f>
        <v>1</v>
      </c>
      <c r="G60" s="25" t="s">
        <v>1696</v>
      </c>
      <c r="H60" s="22" t="s">
        <v>605</v>
      </c>
      <c r="I60" s="22"/>
      <c r="J60" s="22"/>
      <c r="K60" s="22"/>
      <c r="T60" s="351" t="b" cm="1">
        <f t="array" ref="T60">T59</f>
        <v>1</v>
      </c>
      <c r="X60" s="1046"/>
      <c r="Z60" s="1047"/>
      <c r="AB60" s="381" t="s">
        <v>732</v>
      </c>
      <c r="AC60" s="731" t="s">
        <v>2467</v>
      </c>
      <c r="AD60" s="381" t="s">
        <v>2464</v>
      </c>
      <c r="AE60" s="388">
        <f ca="1">AE58-AE59</f>
        <v>4995.2669999999998</v>
      </c>
      <c r="AF60" s="388">
        <f ca="1">AF58-AF59</f>
        <v>4995.26667</v>
      </c>
      <c r="AI60" s="679" t="s">
        <v>2468</v>
      </c>
    </row>
    <row r="61" spans="5:35" s="63" customFormat="1" ht="14.25" customHeight="1">
      <c r="E61" s="486">
        <v>15</v>
      </c>
      <c r="F61" s="3" t="str" cm="1">
        <f t="array" aca="1" ref="F61" ca="1">OFFSET(E61,-1,1)</f>
        <v>1</v>
      </c>
      <c r="H61" s="22" t="s">
        <v>557</v>
      </c>
      <c r="I61" s="22"/>
      <c r="J61" s="22"/>
      <c r="K61" s="22"/>
      <c r="T61" s="351" t="b" cm="1">
        <f t="array" ref="T61">T60</f>
        <v>1</v>
      </c>
      <c r="X61" s="1046"/>
      <c r="Z61" s="1047"/>
      <c r="AB61" s="381" t="s">
        <v>442</v>
      </c>
      <c r="AC61" s="405" t="s">
        <v>2469</v>
      </c>
      <c r="AD61" s="381" t="s">
        <v>1647</v>
      </c>
      <c r="AE61" s="385">
        <f ca="1">IF(AE58=0,0,AE47/AE58)</f>
        <v>0</v>
      </c>
      <c r="AF61" s="385">
        <f ca="1">IF(AF58=0,0,AF47/AF58)</f>
        <v>0</v>
      </c>
      <c r="AI61" s="679" t="s">
        <v>1146</v>
      </c>
    </row>
    <row r="62" spans="5:35" s="63" customFormat="1" ht="14.25" customHeight="1">
      <c r="E62" s="486">
        <v>15</v>
      </c>
      <c r="F62" s="3" t="str" cm="1">
        <f t="array" aca="1" ref="F62" ca="1">OFFSET(E62,-1,1)</f>
        <v>1</v>
      </c>
      <c r="G62" s="25" t="s">
        <v>1644</v>
      </c>
      <c r="H62" s="22" t="s">
        <v>745</v>
      </c>
      <c r="I62" s="22"/>
      <c r="J62" s="22"/>
      <c r="K62" s="22"/>
      <c r="T62" s="351" t="b" cm="1">
        <f t="array" ref="T62">T61</f>
        <v>1</v>
      </c>
      <c r="X62" s="1046"/>
      <c r="Z62" s="1047"/>
      <c r="AB62" s="381" t="s">
        <v>2470</v>
      </c>
      <c r="AC62" s="732" t="s">
        <v>2471</v>
      </c>
      <c r="AD62" s="381" t="s">
        <v>1647</v>
      </c>
      <c r="AE62" s="392"/>
      <c r="AF62" s="392"/>
      <c r="AI62" s="679" t="s">
        <v>2472</v>
      </c>
    </row>
    <row r="63" spans="5:35" s="63" customFormat="1" ht="14.25" customHeight="1">
      <c r="E63" s="486">
        <v>15</v>
      </c>
      <c r="F63" s="3" t="str" cm="1">
        <f t="array" aca="1" ref="F63" ca="1">OFFSET(E63,-1,1)</f>
        <v>1</v>
      </c>
      <c r="G63" s="25" t="s">
        <v>1649</v>
      </c>
      <c r="H63" s="22" t="s">
        <v>748</v>
      </c>
      <c r="I63" s="22"/>
      <c r="J63" s="22"/>
      <c r="K63" s="22"/>
      <c r="T63" s="351" t="b" cm="1">
        <f t="array" ref="T63">T62</f>
        <v>1</v>
      </c>
      <c r="X63" s="1046"/>
      <c r="Z63" s="1047"/>
      <c r="AB63" s="381" t="s">
        <v>2473</v>
      </c>
      <c r="AC63" s="732" t="s">
        <v>2474</v>
      </c>
      <c r="AD63" s="381" t="s">
        <v>1647</v>
      </c>
      <c r="AE63" s="392">
        <f ca="1">IF(AE60=0,0,(AE47-AE62*AE59)/AE60)</f>
        <v>0</v>
      </c>
      <c r="AF63" s="392">
        <f ca="1">IF(AF60=0,0,(AF47-AF62*AF59)/AF60)</f>
        <v>0</v>
      </c>
      <c r="AI63" s="679" t="s">
        <v>2475</v>
      </c>
    </row>
    <row r="64" spans="5:35" ht="14.25" customHeight="1">
      <c r="E64" s="447">
        <v>15</v>
      </c>
      <c r="F64" s="3" t="str" cm="1">
        <f t="array" aca="1" ref="F64" ca="1">OFFSET(E64,-1,1)</f>
        <v>1</v>
      </c>
      <c r="H64" s="22" t="s">
        <v>724</v>
      </c>
      <c r="T64" s="351" t="b" cm="1">
        <f t="array" ref="T64">T63</f>
        <v>1</v>
      </c>
      <c r="X64" s="1046"/>
      <c r="Z64" s="1047"/>
      <c r="AB64" s="381" t="s">
        <v>621</v>
      </c>
      <c r="AC64" s="399" t="s">
        <v>2476</v>
      </c>
      <c r="AD64" s="381" t="s">
        <v>501</v>
      </c>
      <c r="AE64" s="385">
        <f>IF(AE62=0,0,AE63/AE62*100)</f>
        <v>0</v>
      </c>
      <c r="AF64" s="385">
        <f>IF(AF62=0,0,AF63/AF62*100)</f>
        <v>0</v>
      </c>
      <c r="AI64" s="656" t="s">
        <v>2477</v>
      </c>
    </row>
    <row r="65" spans="5:35" ht="10.9" customHeight="1">
      <c r="E65" s="447">
        <v>11.25</v>
      </c>
      <c r="U65" s="22" t="s">
        <v>175</v>
      </c>
      <c r="V65" s="515" t="s">
        <v>2478</v>
      </c>
      <c r="AB65" s="382"/>
      <c r="AC65" s="64"/>
      <c r="AD65" s="382"/>
      <c r="AE65" s="393"/>
    </row>
    <row r="66" spans="5:35" ht="44.65" customHeight="1">
      <c r="E66" s="447">
        <v>45.75</v>
      </c>
      <c r="AB66" s="1134" t="s">
        <v>2479</v>
      </c>
      <c r="AC66" s="1134"/>
      <c r="AD66" s="1134"/>
      <c r="AE66" s="1134"/>
      <c r="AF66" s="1134"/>
    </row>
    <row r="67" spans="5:35" ht="10.9" customHeight="1">
      <c r="E67" s="447">
        <v>11.25</v>
      </c>
      <c r="AB67" s="382"/>
      <c r="AC67" s="64"/>
      <c r="AD67" s="382"/>
      <c r="AE67" s="393"/>
    </row>
    <row r="68" spans="5:35" s="17" customFormat="1" ht="14.65" customHeight="1">
      <c r="E68" s="459">
        <v>15</v>
      </c>
      <c r="AB68" s="1028" t="s">
        <v>396</v>
      </c>
      <c r="AC68" s="1028"/>
      <c r="AD68" s="1028"/>
      <c r="AE68" s="1048"/>
      <c r="AF68" s="1048"/>
      <c r="AI68" s="669"/>
    </row>
    <row r="69" spans="5:35" s="17" customFormat="1" ht="14.65" customHeight="1">
      <c r="E69" s="459">
        <v>15</v>
      </c>
      <c r="AA69" s="479"/>
      <c r="AB69" s="1049"/>
      <c r="AC69" s="1049"/>
      <c r="AD69" s="1049"/>
      <c r="AE69" s="1050"/>
      <c r="AF69" s="1050"/>
      <c r="AI69" s="669"/>
    </row>
    <row r="70" spans="5:35" s="17" customFormat="1" ht="14.65" hidden="1" customHeight="1">
      <c r="E70" s="459">
        <v>15</v>
      </c>
      <c r="T70" s="351" t="b">
        <f>ROW(W70)&gt;ROW(W$70)</f>
        <v>0</v>
      </c>
      <c r="W70" s="17" t="s">
        <v>171</v>
      </c>
      <c r="AA70" s="480" t="s">
        <v>172</v>
      </c>
      <c r="AB70" s="1065"/>
      <c r="AC70" s="1066"/>
      <c r="AD70" s="1066"/>
      <c r="AE70" s="1066"/>
      <c r="AF70" s="1068"/>
      <c r="AI70" s="669"/>
    </row>
    <row r="71" spans="5:35" s="17" customFormat="1" ht="14.65" customHeight="1">
      <c r="E71" s="459">
        <v>15</v>
      </c>
      <c r="W71" s="504" t="s">
        <v>407</v>
      </c>
      <c r="AB71" s="472"/>
      <c r="AC71" s="380" t="s">
        <v>408</v>
      </c>
      <c r="AD71" s="217"/>
      <c r="AE71" s="218"/>
      <c r="AF71" s="219"/>
      <c r="AI71" s="669"/>
    </row>
    <row r="72" spans="5:35" ht="10.9" customHeight="1">
      <c r="E72" s="447">
        <v>11.25</v>
      </c>
      <c r="AC72" s="394"/>
    </row>
  </sheetData>
  <sheetProtection formatColumns="0" formatRows="0" insertRows="0" deleteColumns="0" deleteRows="0" sort="0" autoFilter="0"/>
  <mergeCells count="14">
    <mergeCell ref="X27:X45"/>
    <mergeCell ref="Z27:Z45"/>
    <mergeCell ref="AB70:AF70"/>
    <mergeCell ref="AB68:AF68"/>
    <mergeCell ref="AB69:AF69"/>
    <mergeCell ref="AB66:AF66"/>
    <mergeCell ref="X46:X64"/>
    <mergeCell ref="Z46:Z64"/>
    <mergeCell ref="AB22:AF22"/>
    <mergeCell ref="AB23:AF23"/>
    <mergeCell ref="AB24:AB25"/>
    <mergeCell ref="AC24:AC25"/>
    <mergeCell ref="AD24:AD25"/>
    <mergeCell ref="AE24:AF24"/>
  </mergeCells>
  <dataValidations count="3">
    <dataValidation type="decimal" allowBlank="1" showErrorMessage="1" errorTitle="Ошибка" error="Введите число от 0 до 100!" sqref="AE32:AF33 AE51 AF51 AE52 AF52" xr:uid="{00000000-0002-0000-2100-000000000000}">
      <formula1>0</formula1>
      <formula2>100</formula2>
    </dataValidation>
    <dataValidation type="decimal" allowBlank="1" showErrorMessage="1" errorTitle="Ошибка" error="Допускается ввод только действительных чисел!" sqref="AE43:AF44 AE62 AF62 AE63 AF63" xr:uid="{00000000-0002-0000-2100-000001000000}">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xr:uid="{00000000-0002-0000-2100-000002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347C-4751-F208-3618-CBF5E2DAB758}">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22" hidden="1" customWidth="1"/>
    <col min="2" max="2" width="8.5703125" style="43" hidden="1" customWidth="1"/>
    <col min="3" max="4" width="3.5703125" style="22" hidden="1" customWidth="1"/>
    <col min="5" max="5" width="3.5703125" style="447"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94.140625" style="22" customWidth="1"/>
    <col min="29" max="29" width="9.140625" style="22"/>
  </cols>
  <sheetData>
    <row r="1" spans="1:28" ht="11.25" hidden="1" customHeight="1">
      <c r="E1" s="22"/>
      <c r="W1" s="351" t="s">
        <v>92</v>
      </c>
      <c r="X1" s="351"/>
      <c r="Y1" s="351" t="s">
        <v>93</v>
      </c>
      <c r="Z1" s="351" t="s">
        <v>95</v>
      </c>
      <c r="AA1" s="351" t="s">
        <v>99</v>
      </c>
      <c r="AB1" s="351" t="s">
        <v>97</v>
      </c>
    </row>
    <row r="2" spans="1:28" s="43" customFormat="1" ht="11.25" hidden="1" customHeight="1">
      <c r="B2" s="341" t="s">
        <v>18</v>
      </c>
    </row>
    <row r="3" spans="1:28" ht="11.25" hidden="1" customHeight="1">
      <c r="E3" s="22"/>
    </row>
    <row r="4" spans="1:28" ht="11.25" hidden="1" customHeight="1">
      <c r="E4" s="22"/>
    </row>
    <row r="5" spans="1:28" s="447" customFormat="1" ht="11.25" hidden="1" customHeight="1">
      <c r="A5" s="22"/>
      <c r="B5" s="43"/>
      <c r="C5" s="22"/>
      <c r="D5" s="22"/>
      <c r="E5" s="505" t="s">
        <v>19</v>
      </c>
      <c r="AA5" s="447">
        <v>3</v>
      </c>
      <c r="AB5" s="447">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447">
        <v>15</v>
      </c>
      <c r="AA21" s="324"/>
      <c r="AB21" s="23"/>
    </row>
    <row r="22" spans="5:28" ht="18.95" customHeight="1">
      <c r="E22" s="447">
        <v>19.5</v>
      </c>
      <c r="AA22" s="23"/>
      <c r="AB22" s="21" t="s">
        <v>360</v>
      </c>
    </row>
    <row r="23" spans="5:28" ht="10.9" customHeight="1">
      <c r="E23" s="447">
        <v>11.25</v>
      </c>
      <c r="AA23" s="23"/>
      <c r="AB23" s="23"/>
    </row>
    <row r="24" spans="5:28" ht="19.5" customHeight="1">
      <c r="E24" s="447">
        <v>20</v>
      </c>
      <c r="AA24" s="23"/>
      <c r="AB24" s="24"/>
    </row>
    <row r="25" spans="5:28" ht="19.5" customHeight="1">
      <c r="E25" s="447">
        <v>20</v>
      </c>
      <c r="AA25" s="23"/>
      <c r="AB25" s="24"/>
    </row>
    <row r="26" spans="5:28" ht="19.5" customHeight="1">
      <c r="E26" s="447">
        <v>20</v>
      </c>
      <c r="AA26" s="23"/>
      <c r="AB26" s="24"/>
    </row>
    <row r="27" spans="5:28" ht="19.5" customHeight="1">
      <c r="E27" s="447">
        <v>20</v>
      </c>
      <c r="AA27" s="23"/>
      <c r="AB27" s="24"/>
    </row>
    <row r="28" spans="5:28" ht="19.5" customHeight="1">
      <c r="E28" s="447">
        <v>20</v>
      </c>
      <c r="AA28" s="23"/>
      <c r="AB28" s="24"/>
    </row>
    <row r="29" spans="5:28" ht="19.5" customHeight="1">
      <c r="E29" s="447">
        <v>20</v>
      </c>
      <c r="AA29" s="23"/>
      <c r="AB29" s="24"/>
    </row>
    <row r="30" spans="5:28" ht="19.5" customHeight="1">
      <c r="E30" s="447">
        <v>20</v>
      </c>
      <c r="AA30" s="23"/>
      <c r="AB30" s="24"/>
    </row>
    <row r="31" spans="5:28" ht="19.5" customHeight="1">
      <c r="E31" s="447">
        <v>20</v>
      </c>
      <c r="AA31" s="23"/>
      <c r="AB31" s="24"/>
    </row>
    <row r="32" spans="5:28" ht="19.5" hidden="1" customHeight="1">
      <c r="E32" s="447">
        <v>20</v>
      </c>
      <c r="W32" s="17" t="b">
        <f>ROW(Z32)&gt;ROW(Z$32)</f>
        <v>0</v>
      </c>
      <c r="Y32" s="22" t="s">
        <v>266</v>
      </c>
      <c r="AA32" s="480" t="s">
        <v>172</v>
      </c>
      <c r="AB32" s="926"/>
    </row>
    <row r="33" spans="5:28" ht="19.5" customHeight="1">
      <c r="E33" s="447">
        <v>20</v>
      </c>
      <c r="Y33" s="504" t="s">
        <v>407</v>
      </c>
      <c r="AA33" s="23"/>
      <c r="AB33" s="530" t="s">
        <v>408</v>
      </c>
    </row>
    <row r="34" spans="5:28" ht="11.25" customHeight="1">
      <c r="AA34" s="23"/>
      <c r="AB34"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2CAB8-ED08-91B8-97FF-B4F930BC4958}">
  <sheetPr>
    <tabColor rgb="FFFFCC99"/>
  </sheetPr>
  <dimension ref="A1:C230"/>
  <sheetViews>
    <sheetView showGridLines="0" workbookViewId="0"/>
  </sheetViews>
  <sheetFormatPr defaultRowHeight="11.25" customHeight="1"/>
  <cols>
    <col min="1" max="2" width="36.5703125" style="4" customWidth="1"/>
    <col min="3" max="3" width="12.5703125" style="4" customWidth="1"/>
  </cols>
  <sheetData>
    <row r="1" spans="1:3" ht="11.25" customHeight="1">
      <c r="A1" s="4" t="s">
        <v>2480</v>
      </c>
      <c r="B1" s="4" t="s">
        <v>2481</v>
      </c>
      <c r="C1" s="4" t="s">
        <v>2482</v>
      </c>
    </row>
    <row r="2" spans="1:3" ht="11.25" customHeight="1">
      <c r="A2" s="4" t="s">
        <v>2483</v>
      </c>
      <c r="B2" s="4" t="s">
        <v>2483</v>
      </c>
      <c r="C2" s="4" t="s">
        <v>2484</v>
      </c>
    </row>
    <row r="3" spans="1:3" ht="11.25" customHeight="1">
      <c r="A3" s="4" t="s">
        <v>2485</v>
      </c>
      <c r="B3" s="4" t="s">
        <v>2485</v>
      </c>
      <c r="C3" s="4" t="s">
        <v>2486</v>
      </c>
    </row>
    <row r="4" spans="1:3" ht="11.25" customHeight="1">
      <c r="A4" s="4" t="s">
        <v>2487</v>
      </c>
      <c r="B4" s="4" t="s">
        <v>2487</v>
      </c>
      <c r="C4" s="4" t="s">
        <v>2488</v>
      </c>
    </row>
    <row r="5" spans="1:3" ht="11.25" customHeight="1">
      <c r="A5" s="4" t="s">
        <v>2489</v>
      </c>
      <c r="B5" s="4" t="s">
        <v>2489</v>
      </c>
      <c r="C5" s="4" t="s">
        <v>2490</v>
      </c>
    </row>
    <row r="6" spans="1:3" ht="11.25" customHeight="1">
      <c r="A6" s="4" t="s">
        <v>2491</v>
      </c>
      <c r="B6" s="4" t="s">
        <v>2491</v>
      </c>
      <c r="C6" s="4" t="s">
        <v>2492</v>
      </c>
    </row>
    <row r="7" spans="1:3" ht="11.25" customHeight="1">
      <c r="A7" s="4" t="s">
        <v>2493</v>
      </c>
      <c r="B7" s="4" t="s">
        <v>2493</v>
      </c>
      <c r="C7" s="4" t="s">
        <v>2494</v>
      </c>
    </row>
    <row r="8" spans="1:3" ht="11.25" customHeight="1">
      <c r="A8" s="4" t="s">
        <v>2493</v>
      </c>
      <c r="B8" s="4" t="s">
        <v>2493</v>
      </c>
      <c r="C8" s="4" t="s">
        <v>2495</v>
      </c>
    </row>
    <row r="9" spans="1:3" ht="11.25" customHeight="1">
      <c r="A9" s="4" t="s">
        <v>2496</v>
      </c>
      <c r="B9" s="4" t="s">
        <v>2496</v>
      </c>
      <c r="C9" s="4" t="s">
        <v>2497</v>
      </c>
    </row>
    <row r="10" spans="1:3" ht="11.25" customHeight="1">
      <c r="A10" s="4" t="s">
        <v>2498</v>
      </c>
      <c r="B10" s="4" t="s">
        <v>2498</v>
      </c>
      <c r="C10" s="4" t="s">
        <v>2499</v>
      </c>
    </row>
    <row r="11" spans="1:3" ht="11.25" customHeight="1">
      <c r="A11" s="4" t="s">
        <v>2500</v>
      </c>
      <c r="B11" s="4" t="s">
        <v>2500</v>
      </c>
      <c r="C11" s="4" t="s">
        <v>2501</v>
      </c>
    </row>
    <row r="12" spans="1:3" ht="11.25" customHeight="1">
      <c r="A12" s="4" t="s">
        <v>2502</v>
      </c>
      <c r="B12" s="4" t="s">
        <v>2502</v>
      </c>
      <c r="C12" s="4" t="s">
        <v>2503</v>
      </c>
    </row>
    <row r="13" spans="1:3" ht="11.25" customHeight="1">
      <c r="A13" s="4" t="s">
        <v>2504</v>
      </c>
      <c r="B13" s="4" t="s">
        <v>2504</v>
      </c>
      <c r="C13" s="4" t="s">
        <v>2505</v>
      </c>
    </row>
    <row r="14" spans="1:3" ht="11.25" customHeight="1">
      <c r="A14" s="4" t="s">
        <v>2506</v>
      </c>
      <c r="B14" s="4" t="s">
        <v>2506</v>
      </c>
      <c r="C14" s="4" t="s">
        <v>2507</v>
      </c>
    </row>
    <row r="15" spans="1:3" ht="11.25" customHeight="1">
      <c r="A15" s="4" t="s">
        <v>2508</v>
      </c>
      <c r="B15" s="4" t="s">
        <v>2508</v>
      </c>
      <c r="C15" s="4" t="s">
        <v>2509</v>
      </c>
    </row>
    <row r="16" spans="1:3" ht="11.25" customHeight="1">
      <c r="A16" s="4" t="s">
        <v>2510</v>
      </c>
      <c r="B16" s="4" t="s">
        <v>2510</v>
      </c>
      <c r="C16" s="4" t="s">
        <v>2511</v>
      </c>
    </row>
    <row r="17" spans="1:3" ht="11.25" customHeight="1">
      <c r="A17" s="4" t="s">
        <v>2512</v>
      </c>
      <c r="B17" s="4" t="s">
        <v>2512</v>
      </c>
      <c r="C17" s="4" t="s">
        <v>2513</v>
      </c>
    </row>
    <row r="18" spans="1:3" ht="11.25" customHeight="1">
      <c r="A18" s="4" t="s">
        <v>2514</v>
      </c>
      <c r="B18" s="4" t="s">
        <v>2514</v>
      </c>
      <c r="C18" s="4" t="s">
        <v>2515</v>
      </c>
    </row>
    <row r="19" spans="1:3" ht="11.25" customHeight="1">
      <c r="A19" s="4" t="s">
        <v>2516</v>
      </c>
      <c r="B19" s="4" t="s">
        <v>2516</v>
      </c>
      <c r="C19" s="4" t="s">
        <v>2517</v>
      </c>
    </row>
    <row r="20" spans="1:3" ht="11.25" customHeight="1">
      <c r="A20" s="4" t="s">
        <v>2518</v>
      </c>
      <c r="B20" s="4" t="s">
        <v>2518</v>
      </c>
      <c r="C20" s="4" t="s">
        <v>2519</v>
      </c>
    </row>
    <row r="21" spans="1:3" ht="11.25" customHeight="1">
      <c r="A21" s="4" t="s">
        <v>2520</v>
      </c>
      <c r="B21" s="4" t="s">
        <v>2520</v>
      </c>
      <c r="C21" s="4" t="s">
        <v>2521</v>
      </c>
    </row>
    <row r="22" spans="1:3" ht="11.25" customHeight="1">
      <c r="A22" s="4" t="s">
        <v>2522</v>
      </c>
      <c r="B22" s="4" t="s">
        <v>2523</v>
      </c>
      <c r="C22" s="4" t="s">
        <v>2524</v>
      </c>
    </row>
    <row r="23" spans="1:3" ht="11.25" customHeight="1">
      <c r="A23" s="4" t="s">
        <v>2522</v>
      </c>
      <c r="B23" s="4" t="s">
        <v>2525</v>
      </c>
      <c r="C23" s="4" t="s">
        <v>2526</v>
      </c>
    </row>
    <row r="24" spans="1:3" ht="11.25" customHeight="1">
      <c r="A24" s="4" t="s">
        <v>2522</v>
      </c>
      <c r="B24" s="4" t="s">
        <v>2527</v>
      </c>
      <c r="C24" s="4" t="s">
        <v>2528</v>
      </c>
    </row>
    <row r="25" spans="1:3" ht="11.25" customHeight="1">
      <c r="A25" s="4" t="s">
        <v>2522</v>
      </c>
      <c r="B25" s="4" t="s">
        <v>2529</v>
      </c>
      <c r="C25" s="4" t="s">
        <v>2530</v>
      </c>
    </row>
    <row r="26" spans="1:3" ht="11.25" customHeight="1">
      <c r="A26" s="4" t="s">
        <v>2522</v>
      </c>
      <c r="B26" s="4" t="s">
        <v>2531</v>
      </c>
      <c r="C26" s="4" t="s">
        <v>2532</v>
      </c>
    </row>
    <row r="27" spans="1:3" ht="11.25" customHeight="1">
      <c r="A27" s="4" t="s">
        <v>2522</v>
      </c>
      <c r="B27" s="4" t="s">
        <v>2533</v>
      </c>
      <c r="C27" s="4" t="s">
        <v>2534</v>
      </c>
    </row>
    <row r="28" spans="1:3" ht="11.25" customHeight="1">
      <c r="A28" s="4" t="s">
        <v>2522</v>
      </c>
      <c r="B28" s="4" t="s">
        <v>2535</v>
      </c>
      <c r="C28" s="4" t="s">
        <v>2536</v>
      </c>
    </row>
    <row r="29" spans="1:3" ht="11.25" customHeight="1">
      <c r="A29" s="4" t="s">
        <v>2522</v>
      </c>
      <c r="B29" s="4" t="s">
        <v>2537</v>
      </c>
      <c r="C29" s="4" t="s">
        <v>2538</v>
      </c>
    </row>
    <row r="30" spans="1:3" ht="11.25" customHeight="1">
      <c r="A30" s="4" t="s">
        <v>2539</v>
      </c>
      <c r="B30" s="4" t="s">
        <v>2540</v>
      </c>
      <c r="C30" s="4" t="s">
        <v>2541</v>
      </c>
    </row>
    <row r="31" spans="1:3" ht="11.25" customHeight="1">
      <c r="A31" s="4" t="s">
        <v>2539</v>
      </c>
      <c r="B31" s="4" t="s">
        <v>2542</v>
      </c>
      <c r="C31" s="4" t="s">
        <v>2543</v>
      </c>
    </row>
    <row r="32" spans="1:3" ht="11.25" customHeight="1">
      <c r="A32" s="4" t="s">
        <v>2539</v>
      </c>
      <c r="B32" s="4" t="s">
        <v>2544</v>
      </c>
      <c r="C32" s="4" t="s">
        <v>2545</v>
      </c>
    </row>
    <row r="33" spans="1:3" ht="11.25" customHeight="1">
      <c r="A33" s="4" t="s">
        <v>2539</v>
      </c>
      <c r="B33" s="4" t="s">
        <v>2546</v>
      </c>
      <c r="C33" s="4" t="s">
        <v>2547</v>
      </c>
    </row>
    <row r="34" spans="1:3" ht="11.25" customHeight="1">
      <c r="A34" s="4" t="s">
        <v>2539</v>
      </c>
      <c r="B34" s="4" t="s">
        <v>2548</v>
      </c>
      <c r="C34" s="4" t="s">
        <v>2549</v>
      </c>
    </row>
    <row r="35" spans="1:3" ht="11.25" customHeight="1">
      <c r="A35" s="4" t="s">
        <v>2539</v>
      </c>
      <c r="B35" s="4" t="s">
        <v>2550</v>
      </c>
      <c r="C35" s="4" t="s">
        <v>2551</v>
      </c>
    </row>
    <row r="36" spans="1:3" ht="11.25" customHeight="1">
      <c r="A36" s="4" t="s">
        <v>2539</v>
      </c>
      <c r="B36" s="4" t="s">
        <v>2552</v>
      </c>
      <c r="C36" s="4" t="s">
        <v>2553</v>
      </c>
    </row>
    <row r="37" spans="1:3" ht="11.25" customHeight="1">
      <c r="A37" s="4" t="s">
        <v>2539</v>
      </c>
      <c r="B37" s="4" t="s">
        <v>2554</v>
      </c>
      <c r="C37" s="4" t="s">
        <v>2555</v>
      </c>
    </row>
    <row r="38" spans="1:3" ht="11.25" customHeight="1">
      <c r="A38" s="4" t="s">
        <v>2539</v>
      </c>
      <c r="B38" s="4" t="s">
        <v>2556</v>
      </c>
      <c r="C38" s="4" t="s">
        <v>2557</v>
      </c>
    </row>
    <row r="39" spans="1:3" ht="11.25" customHeight="1">
      <c r="A39" s="4" t="s">
        <v>2558</v>
      </c>
      <c r="B39" s="4" t="s">
        <v>2559</v>
      </c>
      <c r="C39" s="4" t="s">
        <v>2560</v>
      </c>
    </row>
    <row r="40" spans="1:3" ht="11.25" customHeight="1">
      <c r="A40" s="4" t="s">
        <v>2558</v>
      </c>
      <c r="B40" s="4" t="s">
        <v>2561</v>
      </c>
      <c r="C40" s="4" t="s">
        <v>2562</v>
      </c>
    </row>
    <row r="41" spans="1:3" ht="11.25" customHeight="1">
      <c r="A41" s="4" t="s">
        <v>2558</v>
      </c>
      <c r="B41" s="4" t="s">
        <v>2563</v>
      </c>
      <c r="C41" s="4" t="s">
        <v>2564</v>
      </c>
    </row>
    <row r="42" spans="1:3" ht="11.25" customHeight="1">
      <c r="A42" s="4" t="s">
        <v>2558</v>
      </c>
      <c r="B42" s="4" t="s">
        <v>2565</v>
      </c>
      <c r="C42" s="4" t="s">
        <v>2566</v>
      </c>
    </row>
    <row r="43" spans="1:3" ht="11.25" customHeight="1">
      <c r="A43" s="4" t="s">
        <v>2558</v>
      </c>
      <c r="B43" s="4" t="s">
        <v>2567</v>
      </c>
      <c r="C43" s="4" t="s">
        <v>2568</v>
      </c>
    </row>
    <row r="44" spans="1:3" ht="11.25" customHeight="1">
      <c r="A44" s="4" t="s">
        <v>2558</v>
      </c>
      <c r="B44" s="4" t="s">
        <v>2569</v>
      </c>
      <c r="C44" s="4" t="s">
        <v>2570</v>
      </c>
    </row>
    <row r="45" spans="1:3" ht="11.25" customHeight="1">
      <c r="A45" s="4" t="s">
        <v>2558</v>
      </c>
      <c r="B45" s="4" t="s">
        <v>2571</v>
      </c>
      <c r="C45" s="4" t="s">
        <v>2572</v>
      </c>
    </row>
    <row r="46" spans="1:3" ht="11.25" customHeight="1">
      <c r="A46" s="4" t="s">
        <v>2573</v>
      </c>
      <c r="B46" s="4" t="s">
        <v>2574</v>
      </c>
      <c r="C46" s="4" t="s">
        <v>2575</v>
      </c>
    </row>
    <row r="47" spans="1:3" ht="11.25" customHeight="1">
      <c r="A47" s="4" t="s">
        <v>2573</v>
      </c>
      <c r="B47" s="4" t="s">
        <v>2576</v>
      </c>
      <c r="C47" s="4" t="s">
        <v>2577</v>
      </c>
    </row>
    <row r="48" spans="1:3" ht="11.25" customHeight="1">
      <c r="A48" s="4" t="s">
        <v>2573</v>
      </c>
      <c r="B48" s="4" t="s">
        <v>2578</v>
      </c>
      <c r="C48" s="4" t="s">
        <v>2579</v>
      </c>
    </row>
    <row r="49" spans="1:3" ht="11.25" customHeight="1">
      <c r="A49" s="4" t="s">
        <v>2573</v>
      </c>
      <c r="B49" s="4" t="s">
        <v>2580</v>
      </c>
      <c r="C49" s="4" t="s">
        <v>2581</v>
      </c>
    </row>
    <row r="50" spans="1:3" ht="11.25" customHeight="1">
      <c r="A50" s="4" t="s">
        <v>2573</v>
      </c>
      <c r="B50" s="4" t="s">
        <v>2582</v>
      </c>
      <c r="C50" s="4" t="s">
        <v>2583</v>
      </c>
    </row>
    <row r="51" spans="1:3" ht="11.25" customHeight="1">
      <c r="A51" s="4" t="s">
        <v>2573</v>
      </c>
      <c r="B51" s="4" t="s">
        <v>2584</v>
      </c>
      <c r="C51" s="4" t="s">
        <v>2585</v>
      </c>
    </row>
    <row r="52" spans="1:3" ht="11.25" customHeight="1">
      <c r="A52" s="4" t="s">
        <v>2573</v>
      </c>
      <c r="B52" s="4" t="s">
        <v>2586</v>
      </c>
      <c r="C52" s="4" t="s">
        <v>2587</v>
      </c>
    </row>
    <row r="53" spans="1:3" ht="11.25" customHeight="1">
      <c r="A53" s="4" t="s">
        <v>2573</v>
      </c>
      <c r="B53" s="4" t="s">
        <v>2588</v>
      </c>
      <c r="C53" s="4" t="s">
        <v>2589</v>
      </c>
    </row>
    <row r="54" spans="1:3" ht="11.25" customHeight="1">
      <c r="A54" s="4" t="s">
        <v>2573</v>
      </c>
      <c r="B54" s="4" t="s">
        <v>2590</v>
      </c>
      <c r="C54" s="4" t="s">
        <v>2591</v>
      </c>
    </row>
    <row r="55" spans="1:3" ht="11.25" customHeight="1">
      <c r="A55" s="4" t="s">
        <v>2592</v>
      </c>
      <c r="B55" s="4" t="s">
        <v>2592</v>
      </c>
      <c r="C55" s="4" t="s">
        <v>2593</v>
      </c>
    </row>
    <row r="56" spans="1:3" ht="11.25" customHeight="1">
      <c r="A56" s="4" t="s">
        <v>2592</v>
      </c>
      <c r="B56" s="4" t="s">
        <v>2594</v>
      </c>
      <c r="C56" s="4" t="s">
        <v>2595</v>
      </c>
    </row>
    <row r="57" spans="1:3" ht="11.25" customHeight="1">
      <c r="A57" s="4" t="s">
        <v>2592</v>
      </c>
      <c r="B57" s="4" t="s">
        <v>2596</v>
      </c>
      <c r="C57" s="4" t="s">
        <v>2597</v>
      </c>
    </row>
    <row r="58" spans="1:3" ht="11.25" customHeight="1">
      <c r="A58" s="4" t="s">
        <v>2592</v>
      </c>
      <c r="B58" s="4" t="s">
        <v>2598</v>
      </c>
      <c r="C58" s="4" t="s">
        <v>2599</v>
      </c>
    </row>
    <row r="59" spans="1:3" ht="11.25" customHeight="1">
      <c r="A59" s="4" t="s">
        <v>2592</v>
      </c>
      <c r="B59" s="4" t="s">
        <v>2600</v>
      </c>
      <c r="C59" s="4" t="s">
        <v>2601</v>
      </c>
    </row>
    <row r="60" spans="1:3" ht="11.25" customHeight="1">
      <c r="A60" s="4" t="s">
        <v>2592</v>
      </c>
      <c r="B60" s="4" t="s">
        <v>2602</v>
      </c>
      <c r="C60" s="4" t="s">
        <v>2603</v>
      </c>
    </row>
    <row r="61" spans="1:3" ht="11.25" customHeight="1">
      <c r="A61" s="4" t="s">
        <v>2592</v>
      </c>
      <c r="B61" s="4" t="s">
        <v>2604</v>
      </c>
      <c r="C61" s="4" t="s">
        <v>2605</v>
      </c>
    </row>
    <row r="62" spans="1:3" ht="11.25" customHeight="1">
      <c r="A62" s="4" t="s">
        <v>2592</v>
      </c>
      <c r="B62" s="4" t="s">
        <v>2606</v>
      </c>
      <c r="C62" s="4" t="s">
        <v>2607</v>
      </c>
    </row>
    <row r="63" spans="1:3" ht="11.25" customHeight="1">
      <c r="A63" s="4" t="s">
        <v>2592</v>
      </c>
      <c r="B63" s="4" t="s">
        <v>2608</v>
      </c>
      <c r="C63" s="4" t="s">
        <v>2609</v>
      </c>
    </row>
    <row r="64" spans="1:3" ht="11.25" customHeight="1">
      <c r="A64" s="4" t="s">
        <v>2592</v>
      </c>
      <c r="B64" s="4" t="s">
        <v>2610</v>
      </c>
      <c r="C64" s="4" t="s">
        <v>2611</v>
      </c>
    </row>
    <row r="65" spans="1:3" ht="11.25" customHeight="1">
      <c r="A65" s="4" t="s">
        <v>2592</v>
      </c>
      <c r="B65" s="4" t="s">
        <v>2612</v>
      </c>
      <c r="C65" s="4" t="s">
        <v>2613</v>
      </c>
    </row>
    <row r="66" spans="1:3" ht="11.25" customHeight="1">
      <c r="A66" s="4" t="s">
        <v>2592</v>
      </c>
      <c r="B66" s="4" t="s">
        <v>2614</v>
      </c>
      <c r="C66" s="4" t="s">
        <v>2615</v>
      </c>
    </row>
    <row r="67" spans="1:3" ht="11.25" customHeight="1">
      <c r="A67" s="4" t="s">
        <v>2616</v>
      </c>
      <c r="B67" s="4" t="s">
        <v>2616</v>
      </c>
      <c r="C67" s="4" t="s">
        <v>2617</v>
      </c>
    </row>
    <row r="68" spans="1:3" ht="11.25" customHeight="1">
      <c r="A68" s="4" t="s">
        <v>2616</v>
      </c>
      <c r="B68" s="4" t="s">
        <v>2618</v>
      </c>
      <c r="C68" s="4" t="s">
        <v>2619</v>
      </c>
    </row>
    <row r="69" spans="1:3" ht="11.25" customHeight="1">
      <c r="A69" s="4" t="s">
        <v>2616</v>
      </c>
      <c r="B69" s="4" t="s">
        <v>2620</v>
      </c>
      <c r="C69" s="4" t="s">
        <v>2621</v>
      </c>
    </row>
    <row r="70" spans="1:3" ht="11.25" customHeight="1">
      <c r="A70" s="4" t="s">
        <v>2616</v>
      </c>
      <c r="B70" s="4" t="s">
        <v>2622</v>
      </c>
      <c r="C70" s="4" t="s">
        <v>2623</v>
      </c>
    </row>
    <row r="71" spans="1:3" ht="11.25" customHeight="1">
      <c r="A71" s="4" t="s">
        <v>2616</v>
      </c>
      <c r="B71" s="4" t="s">
        <v>2624</v>
      </c>
      <c r="C71" s="4" t="s">
        <v>2625</v>
      </c>
    </row>
    <row r="72" spans="1:3" ht="11.25" customHeight="1">
      <c r="A72" s="4" t="s">
        <v>2616</v>
      </c>
      <c r="B72" s="4" t="s">
        <v>2626</v>
      </c>
      <c r="C72" s="4" t="s">
        <v>2627</v>
      </c>
    </row>
    <row r="73" spans="1:3" ht="11.25" customHeight="1">
      <c r="A73" s="4" t="s">
        <v>2616</v>
      </c>
      <c r="B73" s="4" t="s">
        <v>2628</v>
      </c>
      <c r="C73" s="4" t="s">
        <v>2629</v>
      </c>
    </row>
    <row r="74" spans="1:3" ht="11.25" customHeight="1">
      <c r="A74" s="4" t="s">
        <v>2616</v>
      </c>
      <c r="B74" s="4" t="s">
        <v>2630</v>
      </c>
      <c r="C74" s="4" t="s">
        <v>2631</v>
      </c>
    </row>
    <row r="75" spans="1:3" ht="11.25" customHeight="1">
      <c r="A75" s="4" t="s">
        <v>2616</v>
      </c>
      <c r="B75" s="4" t="s">
        <v>2632</v>
      </c>
      <c r="C75" s="4" t="s">
        <v>2633</v>
      </c>
    </row>
    <row r="76" spans="1:3" ht="11.25" customHeight="1">
      <c r="A76" s="4" t="s">
        <v>2634</v>
      </c>
      <c r="B76" s="4" t="s">
        <v>2635</v>
      </c>
      <c r="C76" s="4" t="s">
        <v>2636</v>
      </c>
    </row>
    <row r="77" spans="1:3" ht="11.25" customHeight="1">
      <c r="A77" s="4" t="s">
        <v>2634</v>
      </c>
      <c r="B77" s="4" t="s">
        <v>2637</v>
      </c>
      <c r="C77" s="4" t="s">
        <v>2638</v>
      </c>
    </row>
    <row r="78" spans="1:3" ht="11.25" customHeight="1">
      <c r="A78" s="4" t="s">
        <v>2634</v>
      </c>
      <c r="B78" s="4" t="s">
        <v>2639</v>
      </c>
      <c r="C78" s="4" t="s">
        <v>2640</v>
      </c>
    </row>
    <row r="79" spans="1:3" ht="11.25" customHeight="1">
      <c r="A79" s="4" t="s">
        <v>2634</v>
      </c>
      <c r="B79" s="4" t="s">
        <v>2641</v>
      </c>
      <c r="C79" s="4" t="s">
        <v>2642</v>
      </c>
    </row>
    <row r="80" spans="1:3" ht="11.25" customHeight="1">
      <c r="A80" s="4" t="s">
        <v>2634</v>
      </c>
      <c r="B80" s="4" t="s">
        <v>2643</v>
      </c>
      <c r="C80" s="4" t="s">
        <v>2644</v>
      </c>
    </row>
    <row r="81" spans="1:3" ht="11.25" customHeight="1">
      <c r="A81" s="4" t="s">
        <v>2634</v>
      </c>
      <c r="B81" s="4" t="s">
        <v>2645</v>
      </c>
      <c r="C81" s="4" t="s">
        <v>2646</v>
      </c>
    </row>
    <row r="82" spans="1:3" ht="11.25" customHeight="1">
      <c r="A82" s="4" t="s">
        <v>2634</v>
      </c>
      <c r="B82" s="4" t="s">
        <v>2647</v>
      </c>
      <c r="C82" s="4" t="s">
        <v>2648</v>
      </c>
    </row>
    <row r="83" spans="1:3" ht="11.25" customHeight="1">
      <c r="A83" s="4" t="s">
        <v>2634</v>
      </c>
      <c r="B83" s="4" t="s">
        <v>2649</v>
      </c>
      <c r="C83" s="4" t="s">
        <v>2650</v>
      </c>
    </row>
    <row r="84" spans="1:3" ht="11.25" customHeight="1">
      <c r="A84" s="4" t="s">
        <v>2634</v>
      </c>
      <c r="B84" s="4" t="s">
        <v>2651</v>
      </c>
      <c r="C84" s="4" t="s">
        <v>2652</v>
      </c>
    </row>
    <row r="85" spans="1:3" ht="11.25" customHeight="1">
      <c r="A85" s="4" t="s">
        <v>2634</v>
      </c>
      <c r="B85" s="4" t="s">
        <v>2653</v>
      </c>
      <c r="C85" s="4" t="s">
        <v>2654</v>
      </c>
    </row>
    <row r="86" spans="1:3" ht="11.25" customHeight="1">
      <c r="A86" s="4" t="s">
        <v>2634</v>
      </c>
      <c r="B86" s="4" t="s">
        <v>2655</v>
      </c>
      <c r="C86" s="4" t="s">
        <v>2656</v>
      </c>
    </row>
    <row r="87" spans="1:3" ht="11.25" customHeight="1">
      <c r="A87" s="4" t="s">
        <v>2634</v>
      </c>
      <c r="B87" s="4" t="s">
        <v>2657</v>
      </c>
      <c r="C87" s="4" t="s">
        <v>2658</v>
      </c>
    </row>
    <row r="88" spans="1:3" ht="11.25" customHeight="1">
      <c r="A88" s="4" t="s">
        <v>2634</v>
      </c>
      <c r="B88" s="4" t="s">
        <v>2659</v>
      </c>
      <c r="C88" s="4" t="s">
        <v>2660</v>
      </c>
    </row>
    <row r="89" spans="1:3" ht="11.25" customHeight="1">
      <c r="A89" s="4" t="s">
        <v>2661</v>
      </c>
      <c r="B89" s="4" t="s">
        <v>2661</v>
      </c>
      <c r="C89" s="4" t="s">
        <v>2662</v>
      </c>
    </row>
    <row r="90" spans="1:3" ht="11.25" customHeight="1">
      <c r="A90" s="4" t="s">
        <v>2661</v>
      </c>
      <c r="B90" s="4" t="s">
        <v>2663</v>
      </c>
      <c r="C90" s="4" t="s">
        <v>2664</v>
      </c>
    </row>
    <row r="91" spans="1:3" ht="11.25" customHeight="1">
      <c r="A91" s="4" t="s">
        <v>2661</v>
      </c>
      <c r="B91" s="4" t="s">
        <v>2665</v>
      </c>
      <c r="C91" s="4" t="s">
        <v>2666</v>
      </c>
    </row>
    <row r="92" spans="1:3" ht="11.25" customHeight="1">
      <c r="A92" s="4" t="s">
        <v>2661</v>
      </c>
      <c r="B92" s="4" t="s">
        <v>2667</v>
      </c>
      <c r="C92" s="4" t="s">
        <v>2668</v>
      </c>
    </row>
    <row r="93" spans="1:3" ht="11.25" customHeight="1">
      <c r="A93" s="4" t="s">
        <v>2661</v>
      </c>
      <c r="B93" s="4" t="s">
        <v>2669</v>
      </c>
      <c r="C93" s="4" t="s">
        <v>2670</v>
      </c>
    </row>
    <row r="94" spans="1:3" ht="11.25" customHeight="1">
      <c r="A94" s="4" t="s">
        <v>2661</v>
      </c>
      <c r="B94" s="4" t="s">
        <v>2671</v>
      </c>
      <c r="C94" s="4" t="s">
        <v>2672</v>
      </c>
    </row>
    <row r="95" spans="1:3" ht="11.25" customHeight="1">
      <c r="A95" s="4" t="s">
        <v>2661</v>
      </c>
      <c r="B95" s="4" t="s">
        <v>2673</v>
      </c>
      <c r="C95" s="4" t="s">
        <v>2674</v>
      </c>
    </row>
    <row r="96" spans="1:3" ht="11.25" customHeight="1">
      <c r="A96" s="4" t="s">
        <v>2661</v>
      </c>
      <c r="B96" s="4" t="s">
        <v>2671</v>
      </c>
      <c r="C96" s="4" t="s">
        <v>2675</v>
      </c>
    </row>
    <row r="97" spans="1:3" ht="11.25" customHeight="1">
      <c r="A97" s="4" t="s">
        <v>2661</v>
      </c>
      <c r="B97" s="4" t="s">
        <v>2676</v>
      </c>
      <c r="C97" s="4" t="s">
        <v>2677</v>
      </c>
    </row>
    <row r="98" spans="1:3" ht="11.25" customHeight="1">
      <c r="A98" s="4" t="s">
        <v>2661</v>
      </c>
      <c r="B98" s="4" t="s">
        <v>2678</v>
      </c>
      <c r="C98" s="4" t="s">
        <v>2679</v>
      </c>
    </row>
    <row r="99" spans="1:3" ht="11.25" customHeight="1">
      <c r="A99" s="4" t="s">
        <v>2661</v>
      </c>
      <c r="B99" s="4" t="s">
        <v>2680</v>
      </c>
      <c r="C99" s="4" t="s">
        <v>2681</v>
      </c>
    </row>
    <row r="100" spans="1:3" ht="11.25" customHeight="1">
      <c r="A100" s="4" t="s">
        <v>2661</v>
      </c>
      <c r="B100" s="4" t="s">
        <v>2682</v>
      </c>
      <c r="C100" s="4" t="s">
        <v>2683</v>
      </c>
    </row>
    <row r="101" spans="1:3" ht="11.25" customHeight="1">
      <c r="A101" s="4" t="s">
        <v>2661</v>
      </c>
      <c r="B101" s="4" t="s">
        <v>2684</v>
      </c>
      <c r="C101" s="4" t="s">
        <v>2685</v>
      </c>
    </row>
    <row r="102" spans="1:3" ht="11.25" customHeight="1">
      <c r="A102" s="4" t="s">
        <v>2661</v>
      </c>
      <c r="B102" s="4" t="s">
        <v>2686</v>
      </c>
      <c r="C102" s="4" t="s">
        <v>2687</v>
      </c>
    </row>
    <row r="103" spans="1:3" ht="11.25" customHeight="1">
      <c r="A103" s="4" t="s">
        <v>2661</v>
      </c>
      <c r="B103" s="4" t="s">
        <v>2688</v>
      </c>
      <c r="C103" s="4" t="s">
        <v>2689</v>
      </c>
    </row>
    <row r="104" spans="1:3" ht="11.25" customHeight="1">
      <c r="A104" s="4" t="s">
        <v>2661</v>
      </c>
      <c r="B104" s="4" t="s">
        <v>2690</v>
      </c>
      <c r="C104" s="4" t="s">
        <v>2691</v>
      </c>
    </row>
    <row r="105" spans="1:3" ht="11.25" customHeight="1">
      <c r="A105" s="4" t="s">
        <v>2661</v>
      </c>
      <c r="B105" s="4" t="s">
        <v>2692</v>
      </c>
      <c r="C105" s="4" t="s">
        <v>2693</v>
      </c>
    </row>
    <row r="106" spans="1:3" ht="11.25" customHeight="1">
      <c r="A106" s="4" t="s">
        <v>2661</v>
      </c>
      <c r="B106" s="4" t="s">
        <v>2692</v>
      </c>
      <c r="C106" s="4" t="s">
        <v>2694</v>
      </c>
    </row>
    <row r="107" spans="1:3" ht="11.25" customHeight="1">
      <c r="A107" s="4" t="s">
        <v>2661</v>
      </c>
      <c r="B107" s="4" t="s">
        <v>2663</v>
      </c>
      <c r="C107" s="4" t="s">
        <v>2695</v>
      </c>
    </row>
    <row r="108" spans="1:3" ht="11.25" customHeight="1">
      <c r="A108" s="4" t="s">
        <v>2696</v>
      </c>
      <c r="B108" s="4" t="s">
        <v>2697</v>
      </c>
      <c r="C108" s="4" t="s">
        <v>2698</v>
      </c>
    </row>
    <row r="109" spans="1:3" ht="11.25" customHeight="1">
      <c r="A109" s="4" t="s">
        <v>2696</v>
      </c>
      <c r="B109" s="4" t="s">
        <v>2699</v>
      </c>
      <c r="C109" s="4" t="s">
        <v>2700</v>
      </c>
    </row>
    <row r="110" spans="1:3" ht="11.25" customHeight="1">
      <c r="A110" s="4" t="s">
        <v>2696</v>
      </c>
      <c r="B110" s="4" t="s">
        <v>2701</v>
      </c>
      <c r="C110" s="4" t="s">
        <v>2702</v>
      </c>
    </row>
    <row r="111" spans="1:3" ht="11.25" customHeight="1">
      <c r="A111" s="4" t="s">
        <v>2696</v>
      </c>
      <c r="B111" s="4" t="s">
        <v>2703</v>
      </c>
      <c r="C111" s="4" t="s">
        <v>2704</v>
      </c>
    </row>
    <row r="112" spans="1:3" ht="11.25" customHeight="1">
      <c r="A112" s="4" t="s">
        <v>2696</v>
      </c>
      <c r="B112" s="4" t="s">
        <v>2705</v>
      </c>
      <c r="C112" s="4" t="s">
        <v>2706</v>
      </c>
    </row>
    <row r="113" spans="1:3" ht="11.25" customHeight="1">
      <c r="A113" s="4" t="s">
        <v>2696</v>
      </c>
      <c r="B113" s="4" t="s">
        <v>2707</v>
      </c>
      <c r="C113" s="4" t="s">
        <v>2708</v>
      </c>
    </row>
    <row r="114" spans="1:3" ht="11.25" customHeight="1">
      <c r="A114" s="4" t="s">
        <v>2696</v>
      </c>
      <c r="B114" s="4" t="s">
        <v>2709</v>
      </c>
      <c r="C114" s="4" t="s">
        <v>2710</v>
      </c>
    </row>
    <row r="115" spans="1:3" ht="11.25" customHeight="1">
      <c r="A115" s="4" t="s">
        <v>2696</v>
      </c>
      <c r="B115" s="4" t="s">
        <v>2711</v>
      </c>
      <c r="C115" s="4" t="s">
        <v>2712</v>
      </c>
    </row>
    <row r="116" spans="1:3" ht="11.25" customHeight="1">
      <c r="A116" s="4" t="s">
        <v>2696</v>
      </c>
      <c r="B116" s="4" t="s">
        <v>2713</v>
      </c>
      <c r="C116" s="4" t="s">
        <v>2714</v>
      </c>
    </row>
    <row r="117" spans="1:3" ht="11.25" customHeight="1">
      <c r="A117" s="4" t="s">
        <v>2696</v>
      </c>
      <c r="B117" s="4" t="s">
        <v>2715</v>
      </c>
      <c r="C117" s="4" t="s">
        <v>2716</v>
      </c>
    </row>
    <row r="118" spans="1:3" ht="11.25" customHeight="1">
      <c r="A118" s="4" t="s">
        <v>2717</v>
      </c>
      <c r="B118" s="4" t="s">
        <v>2717</v>
      </c>
      <c r="C118" s="4" t="s">
        <v>2718</v>
      </c>
    </row>
    <row r="119" spans="1:3" ht="11.25" customHeight="1">
      <c r="A119" s="4" t="s">
        <v>2717</v>
      </c>
      <c r="B119" s="4" t="s">
        <v>2719</v>
      </c>
      <c r="C119" s="4" t="s">
        <v>2720</v>
      </c>
    </row>
    <row r="120" spans="1:3" ht="11.25" customHeight="1">
      <c r="A120" s="4" t="s">
        <v>2717</v>
      </c>
      <c r="B120" s="4" t="s">
        <v>2721</v>
      </c>
      <c r="C120" s="4" t="s">
        <v>2722</v>
      </c>
    </row>
    <row r="121" spans="1:3" ht="11.25" customHeight="1">
      <c r="A121" s="4" t="s">
        <v>2717</v>
      </c>
      <c r="B121" s="4" t="s">
        <v>2723</v>
      </c>
      <c r="C121" s="4" t="s">
        <v>2724</v>
      </c>
    </row>
    <row r="122" spans="1:3" ht="11.25" customHeight="1">
      <c r="A122" s="4" t="s">
        <v>2717</v>
      </c>
      <c r="B122" s="4" t="s">
        <v>2725</v>
      </c>
      <c r="C122" s="4" t="s">
        <v>2726</v>
      </c>
    </row>
    <row r="123" spans="1:3" ht="11.25" customHeight="1">
      <c r="A123" s="4" t="s">
        <v>2717</v>
      </c>
      <c r="B123" s="4" t="s">
        <v>2727</v>
      </c>
      <c r="C123" s="4" t="s">
        <v>2728</v>
      </c>
    </row>
    <row r="124" spans="1:3" ht="11.25" customHeight="1">
      <c r="A124" s="4" t="s">
        <v>2717</v>
      </c>
      <c r="B124" s="4" t="s">
        <v>2729</v>
      </c>
      <c r="C124" s="4" t="s">
        <v>2730</v>
      </c>
    </row>
    <row r="125" spans="1:3" ht="11.25" customHeight="1">
      <c r="A125" s="4" t="s">
        <v>2717</v>
      </c>
      <c r="B125" s="4" t="s">
        <v>2731</v>
      </c>
      <c r="C125" s="4" t="s">
        <v>2732</v>
      </c>
    </row>
    <row r="126" spans="1:3" ht="11.25" customHeight="1">
      <c r="A126" s="4" t="s">
        <v>2717</v>
      </c>
      <c r="B126" s="4" t="s">
        <v>2733</v>
      </c>
      <c r="C126" s="4" t="s">
        <v>2734</v>
      </c>
    </row>
    <row r="127" spans="1:3" ht="11.25" customHeight="1">
      <c r="A127" s="4" t="s">
        <v>2717</v>
      </c>
      <c r="B127" s="4" t="s">
        <v>2735</v>
      </c>
      <c r="C127" s="4" t="s">
        <v>2736</v>
      </c>
    </row>
    <row r="128" spans="1:3" ht="11.25" customHeight="1">
      <c r="A128" s="4" t="s">
        <v>2717</v>
      </c>
      <c r="B128" s="4" t="s">
        <v>2737</v>
      </c>
      <c r="C128" s="4" t="s">
        <v>2738</v>
      </c>
    </row>
    <row r="129" spans="1:3" ht="11.25" customHeight="1">
      <c r="A129" s="4" t="s">
        <v>2717</v>
      </c>
      <c r="B129" s="4" t="s">
        <v>2739</v>
      </c>
      <c r="C129" s="4" t="s">
        <v>2740</v>
      </c>
    </row>
    <row r="130" spans="1:3" ht="11.25" customHeight="1">
      <c r="A130" s="4" t="s">
        <v>2741</v>
      </c>
      <c r="B130" s="4" t="s">
        <v>2742</v>
      </c>
      <c r="C130" s="4" t="s">
        <v>2743</v>
      </c>
    </row>
    <row r="131" spans="1:3" ht="11.25" customHeight="1">
      <c r="A131" s="4" t="s">
        <v>2741</v>
      </c>
      <c r="B131" s="4" t="s">
        <v>2744</v>
      </c>
      <c r="C131" s="4" t="s">
        <v>2745</v>
      </c>
    </row>
    <row r="132" spans="1:3" ht="11.25" customHeight="1">
      <c r="A132" s="4" t="s">
        <v>2741</v>
      </c>
      <c r="B132" s="4" t="s">
        <v>2746</v>
      </c>
      <c r="C132" s="4" t="s">
        <v>2747</v>
      </c>
    </row>
    <row r="133" spans="1:3" ht="11.25" customHeight="1">
      <c r="A133" s="4" t="s">
        <v>2741</v>
      </c>
      <c r="B133" s="4" t="s">
        <v>2748</v>
      </c>
      <c r="C133" s="4" t="s">
        <v>2749</v>
      </c>
    </row>
    <row r="134" spans="1:3" ht="11.25" customHeight="1">
      <c r="A134" s="4" t="s">
        <v>2741</v>
      </c>
      <c r="B134" s="4" t="s">
        <v>2750</v>
      </c>
      <c r="C134" s="4" t="s">
        <v>2751</v>
      </c>
    </row>
    <row r="135" spans="1:3" ht="11.25" customHeight="1">
      <c r="A135" s="4" t="s">
        <v>2741</v>
      </c>
      <c r="B135" s="4" t="s">
        <v>2752</v>
      </c>
      <c r="C135" s="4" t="s">
        <v>2753</v>
      </c>
    </row>
    <row r="136" spans="1:3" ht="11.25" customHeight="1">
      <c r="A136" s="4" t="s">
        <v>2741</v>
      </c>
      <c r="B136" s="4" t="s">
        <v>2754</v>
      </c>
      <c r="C136" s="4" t="s">
        <v>2755</v>
      </c>
    </row>
    <row r="137" spans="1:3" ht="11.25" customHeight="1">
      <c r="A137" s="4" t="s">
        <v>2741</v>
      </c>
      <c r="B137" s="4" t="s">
        <v>2756</v>
      </c>
      <c r="C137" s="4" t="s">
        <v>2757</v>
      </c>
    </row>
    <row r="138" spans="1:3" ht="11.25" customHeight="1">
      <c r="A138" s="4" t="s">
        <v>2741</v>
      </c>
      <c r="B138" s="4" t="s">
        <v>2758</v>
      </c>
      <c r="C138" s="4" t="s">
        <v>2759</v>
      </c>
    </row>
    <row r="139" spans="1:3" ht="11.25" customHeight="1">
      <c r="A139" s="4" t="s">
        <v>2741</v>
      </c>
      <c r="B139" s="4" t="s">
        <v>2760</v>
      </c>
      <c r="C139" s="4" t="s">
        <v>2761</v>
      </c>
    </row>
    <row r="140" spans="1:3" ht="11.25" customHeight="1">
      <c r="A140" s="4" t="s">
        <v>2762</v>
      </c>
      <c r="B140" s="4" t="s">
        <v>2762</v>
      </c>
      <c r="C140" s="4" t="s">
        <v>2763</v>
      </c>
    </row>
    <row r="141" spans="1:3" ht="11.25" customHeight="1">
      <c r="A141" s="4" t="s">
        <v>2762</v>
      </c>
      <c r="B141" s="4" t="s">
        <v>2764</v>
      </c>
      <c r="C141" s="4" t="s">
        <v>2765</v>
      </c>
    </row>
    <row r="142" spans="1:3" ht="11.25" customHeight="1">
      <c r="A142" s="4" t="s">
        <v>2762</v>
      </c>
      <c r="B142" s="4" t="s">
        <v>2766</v>
      </c>
      <c r="C142" s="4" t="s">
        <v>2767</v>
      </c>
    </row>
    <row r="143" spans="1:3" ht="11.25" customHeight="1">
      <c r="A143" s="4" t="s">
        <v>2762</v>
      </c>
      <c r="B143" s="4" t="s">
        <v>2768</v>
      </c>
      <c r="C143" s="4" t="s">
        <v>2769</v>
      </c>
    </row>
    <row r="144" spans="1:3" ht="11.25" customHeight="1">
      <c r="A144" s="4" t="s">
        <v>2762</v>
      </c>
      <c r="B144" s="4" t="s">
        <v>2770</v>
      </c>
      <c r="C144" s="4" t="s">
        <v>2771</v>
      </c>
    </row>
    <row r="145" spans="1:3" ht="11.25" customHeight="1">
      <c r="A145" s="4" t="s">
        <v>2762</v>
      </c>
      <c r="B145" s="4" t="s">
        <v>2772</v>
      </c>
      <c r="C145" s="4" t="s">
        <v>2773</v>
      </c>
    </row>
    <row r="146" spans="1:3" ht="11.25" customHeight="1">
      <c r="A146" s="4" t="s">
        <v>2762</v>
      </c>
      <c r="B146" s="4" t="s">
        <v>2774</v>
      </c>
      <c r="C146" s="4" t="s">
        <v>2775</v>
      </c>
    </row>
    <row r="147" spans="1:3" ht="11.25" customHeight="1">
      <c r="A147" s="4" t="s">
        <v>2762</v>
      </c>
      <c r="B147" s="4" t="s">
        <v>2776</v>
      </c>
      <c r="C147" s="4" t="s">
        <v>2777</v>
      </c>
    </row>
    <row r="148" spans="1:3" ht="11.25" customHeight="1">
      <c r="A148" s="4" t="s">
        <v>2762</v>
      </c>
      <c r="B148" s="4" t="s">
        <v>2778</v>
      </c>
      <c r="C148" s="4" t="s">
        <v>2779</v>
      </c>
    </row>
    <row r="149" spans="1:3" ht="11.25" customHeight="1">
      <c r="A149" s="4" t="s">
        <v>2762</v>
      </c>
      <c r="B149" s="4" t="s">
        <v>2780</v>
      </c>
      <c r="C149" s="4" t="s">
        <v>2781</v>
      </c>
    </row>
    <row r="150" spans="1:3" ht="11.25" customHeight="1">
      <c r="A150" s="4" t="s">
        <v>2762</v>
      </c>
      <c r="B150" s="4" t="s">
        <v>2782</v>
      </c>
      <c r="C150" s="4" t="s">
        <v>2783</v>
      </c>
    </row>
    <row r="151" spans="1:3" ht="11.25" customHeight="1">
      <c r="A151" s="4" t="s">
        <v>2762</v>
      </c>
      <c r="B151" s="4" t="s">
        <v>2784</v>
      </c>
      <c r="C151" s="4" t="s">
        <v>2785</v>
      </c>
    </row>
    <row r="152" spans="1:3" ht="11.25" customHeight="1">
      <c r="A152" s="4" t="s">
        <v>2762</v>
      </c>
      <c r="B152" s="4" t="s">
        <v>2786</v>
      </c>
      <c r="C152" s="4" t="s">
        <v>2787</v>
      </c>
    </row>
    <row r="153" spans="1:3" ht="11.25" customHeight="1">
      <c r="A153" s="4" t="s">
        <v>2762</v>
      </c>
      <c r="B153" s="4" t="s">
        <v>2788</v>
      </c>
      <c r="C153" s="4" t="s">
        <v>2789</v>
      </c>
    </row>
    <row r="154" spans="1:3" ht="11.25" customHeight="1">
      <c r="A154" s="4" t="s">
        <v>2790</v>
      </c>
      <c r="B154" s="4" t="s">
        <v>2791</v>
      </c>
      <c r="C154" s="4" t="s">
        <v>2792</v>
      </c>
    </row>
    <row r="155" spans="1:3" ht="11.25" customHeight="1">
      <c r="A155" s="4" t="s">
        <v>2790</v>
      </c>
      <c r="B155" s="4" t="s">
        <v>2793</v>
      </c>
      <c r="C155" s="4" t="s">
        <v>2794</v>
      </c>
    </row>
    <row r="156" spans="1:3" ht="11.25" customHeight="1">
      <c r="A156" s="4" t="s">
        <v>2790</v>
      </c>
      <c r="B156" s="4" t="s">
        <v>2795</v>
      </c>
      <c r="C156" s="4" t="s">
        <v>2796</v>
      </c>
    </row>
    <row r="157" spans="1:3" ht="11.25" customHeight="1">
      <c r="A157" s="4" t="s">
        <v>2790</v>
      </c>
      <c r="B157" s="4" t="s">
        <v>2797</v>
      </c>
      <c r="C157" s="4" t="s">
        <v>2798</v>
      </c>
    </row>
    <row r="158" spans="1:3" ht="11.25" customHeight="1">
      <c r="A158" s="4" t="s">
        <v>2790</v>
      </c>
      <c r="B158" s="4" t="s">
        <v>2799</v>
      </c>
      <c r="C158" s="4" t="s">
        <v>2800</v>
      </c>
    </row>
    <row r="159" spans="1:3" ht="11.25" customHeight="1">
      <c r="A159" s="4" t="s">
        <v>2790</v>
      </c>
      <c r="B159" s="4" t="s">
        <v>2801</v>
      </c>
      <c r="C159" s="4" t="s">
        <v>2802</v>
      </c>
    </row>
    <row r="160" spans="1:3" ht="11.25" customHeight="1">
      <c r="A160" s="4" t="s">
        <v>2790</v>
      </c>
      <c r="B160" s="4" t="s">
        <v>2803</v>
      </c>
      <c r="C160" s="4" t="s">
        <v>2804</v>
      </c>
    </row>
    <row r="161" spans="1:3" ht="11.25" customHeight="1">
      <c r="A161" s="4" t="s">
        <v>2790</v>
      </c>
      <c r="B161" s="4" t="s">
        <v>2805</v>
      </c>
      <c r="C161" s="4" t="s">
        <v>2806</v>
      </c>
    </row>
    <row r="162" spans="1:3" ht="11.25" customHeight="1">
      <c r="A162" s="4" t="s">
        <v>2790</v>
      </c>
      <c r="B162" s="4" t="s">
        <v>2807</v>
      </c>
      <c r="C162" s="4" t="s">
        <v>2808</v>
      </c>
    </row>
    <row r="163" spans="1:3" ht="11.25" customHeight="1">
      <c r="A163" s="4" t="s">
        <v>2790</v>
      </c>
      <c r="B163" s="4" t="s">
        <v>2809</v>
      </c>
      <c r="C163" s="4" t="s">
        <v>2810</v>
      </c>
    </row>
    <row r="164" spans="1:3" ht="11.25" customHeight="1">
      <c r="A164" s="4" t="s">
        <v>2790</v>
      </c>
      <c r="B164" s="4" t="s">
        <v>2811</v>
      </c>
      <c r="C164" s="4" t="s">
        <v>2812</v>
      </c>
    </row>
    <row r="165" spans="1:3" ht="11.25" customHeight="1">
      <c r="A165" s="4" t="s">
        <v>2790</v>
      </c>
      <c r="B165" s="4" t="s">
        <v>2813</v>
      </c>
      <c r="C165" s="4" t="s">
        <v>2814</v>
      </c>
    </row>
    <row r="166" spans="1:3" ht="11.25" customHeight="1">
      <c r="A166" s="4" t="s">
        <v>2815</v>
      </c>
      <c r="B166" s="4" t="s">
        <v>2816</v>
      </c>
      <c r="C166" s="4" t="s">
        <v>2817</v>
      </c>
    </row>
    <row r="167" spans="1:3" ht="11.25" customHeight="1">
      <c r="A167" s="4" t="s">
        <v>2815</v>
      </c>
      <c r="B167" s="4" t="s">
        <v>2818</v>
      </c>
      <c r="C167" s="4" t="s">
        <v>2819</v>
      </c>
    </row>
    <row r="168" spans="1:3" ht="11.25" customHeight="1">
      <c r="A168" s="4" t="s">
        <v>2815</v>
      </c>
      <c r="B168" s="4" t="s">
        <v>2820</v>
      </c>
      <c r="C168" s="4" t="s">
        <v>2821</v>
      </c>
    </row>
    <row r="169" spans="1:3" ht="11.25" customHeight="1">
      <c r="A169" s="4" t="s">
        <v>2815</v>
      </c>
      <c r="B169" s="4" t="s">
        <v>2822</v>
      </c>
      <c r="C169" s="4" t="s">
        <v>2823</v>
      </c>
    </row>
    <row r="170" spans="1:3" ht="11.25" customHeight="1">
      <c r="A170" s="4" t="s">
        <v>2815</v>
      </c>
      <c r="B170" s="4" t="s">
        <v>2824</v>
      </c>
      <c r="C170" s="4" t="s">
        <v>2825</v>
      </c>
    </row>
    <row r="171" spans="1:3" ht="11.25" customHeight="1">
      <c r="A171" s="4" t="s">
        <v>2815</v>
      </c>
      <c r="B171" s="4" t="s">
        <v>2826</v>
      </c>
      <c r="C171" s="4" t="s">
        <v>2827</v>
      </c>
    </row>
    <row r="172" spans="1:3" ht="11.25" customHeight="1">
      <c r="A172" s="4" t="s">
        <v>2815</v>
      </c>
      <c r="B172" s="4" t="s">
        <v>2828</v>
      </c>
      <c r="C172" s="4" t="s">
        <v>2829</v>
      </c>
    </row>
    <row r="173" spans="1:3" ht="11.25" customHeight="1">
      <c r="A173" s="4" t="s">
        <v>2815</v>
      </c>
      <c r="B173" s="4" t="s">
        <v>2830</v>
      </c>
      <c r="C173" s="4" t="s">
        <v>2831</v>
      </c>
    </row>
    <row r="174" spans="1:3" ht="11.25" customHeight="1">
      <c r="A174" s="4" t="s">
        <v>2815</v>
      </c>
      <c r="B174" s="4" t="s">
        <v>2832</v>
      </c>
      <c r="C174" s="4" t="s">
        <v>2833</v>
      </c>
    </row>
    <row r="175" spans="1:3" ht="11.25" customHeight="1">
      <c r="A175" s="4" t="s">
        <v>2815</v>
      </c>
      <c r="B175" s="4" t="s">
        <v>2834</v>
      </c>
      <c r="C175" s="4" t="s">
        <v>2835</v>
      </c>
    </row>
    <row r="176" spans="1:3" ht="11.25" customHeight="1">
      <c r="A176" s="4" t="s">
        <v>2815</v>
      </c>
      <c r="B176" s="4" t="s">
        <v>2836</v>
      </c>
      <c r="C176" s="4" t="s">
        <v>2837</v>
      </c>
    </row>
    <row r="177" spans="1:3" ht="11.25" customHeight="1">
      <c r="A177" s="4" t="s">
        <v>2815</v>
      </c>
      <c r="B177" s="4" t="s">
        <v>2838</v>
      </c>
      <c r="C177" s="4" t="s">
        <v>2839</v>
      </c>
    </row>
    <row r="178" spans="1:3" ht="11.25" customHeight="1">
      <c r="A178" s="4" t="s">
        <v>2840</v>
      </c>
      <c r="B178" s="4" t="s">
        <v>2841</v>
      </c>
      <c r="C178" s="4" t="s">
        <v>2842</v>
      </c>
    </row>
    <row r="179" spans="1:3" ht="11.25" customHeight="1">
      <c r="A179" s="4" t="s">
        <v>2840</v>
      </c>
      <c r="B179" s="4" t="s">
        <v>2843</v>
      </c>
      <c r="C179" s="4" t="s">
        <v>2844</v>
      </c>
    </row>
    <row r="180" spans="1:3" ht="11.25" customHeight="1">
      <c r="A180" s="4" t="s">
        <v>2840</v>
      </c>
      <c r="B180" s="4" t="s">
        <v>2845</v>
      </c>
      <c r="C180" s="4" t="s">
        <v>2846</v>
      </c>
    </row>
    <row r="181" spans="1:3" ht="11.25" customHeight="1">
      <c r="A181" s="4" t="s">
        <v>2840</v>
      </c>
      <c r="B181" s="4" t="s">
        <v>2847</v>
      </c>
      <c r="C181" s="4" t="s">
        <v>2848</v>
      </c>
    </row>
    <row r="182" spans="1:3" ht="11.25" customHeight="1">
      <c r="A182" s="4" t="s">
        <v>2840</v>
      </c>
      <c r="B182" s="4" t="s">
        <v>2849</v>
      </c>
      <c r="C182" s="4" t="s">
        <v>2850</v>
      </c>
    </row>
    <row r="183" spans="1:3" ht="11.25" customHeight="1">
      <c r="A183" s="4" t="s">
        <v>2840</v>
      </c>
      <c r="B183" s="4" t="s">
        <v>2851</v>
      </c>
      <c r="C183" s="4" t="s">
        <v>2852</v>
      </c>
    </row>
    <row r="184" spans="1:3" ht="11.25" customHeight="1">
      <c r="A184" s="4" t="s">
        <v>2840</v>
      </c>
      <c r="B184" s="4" t="s">
        <v>2853</v>
      </c>
      <c r="C184" s="4" t="s">
        <v>2854</v>
      </c>
    </row>
    <row r="185" spans="1:3" ht="11.25" customHeight="1">
      <c r="A185" s="4" t="s">
        <v>2855</v>
      </c>
      <c r="B185" s="4" t="s">
        <v>2856</v>
      </c>
      <c r="C185" s="4" t="s">
        <v>2857</v>
      </c>
    </row>
    <row r="186" spans="1:3" ht="11.25" customHeight="1">
      <c r="A186" s="4" t="s">
        <v>2855</v>
      </c>
      <c r="B186" s="4" t="s">
        <v>2858</v>
      </c>
      <c r="C186" s="4" t="s">
        <v>2859</v>
      </c>
    </row>
    <row r="187" spans="1:3" ht="11.25" customHeight="1">
      <c r="A187" s="4" t="s">
        <v>2855</v>
      </c>
      <c r="B187" s="4" t="s">
        <v>2860</v>
      </c>
      <c r="C187" s="4" t="s">
        <v>2861</v>
      </c>
    </row>
    <row r="188" spans="1:3" ht="11.25" customHeight="1">
      <c r="A188" s="4" t="s">
        <v>2855</v>
      </c>
      <c r="B188" s="4" t="s">
        <v>2862</v>
      </c>
      <c r="C188" s="4" t="s">
        <v>2863</v>
      </c>
    </row>
    <row r="189" spans="1:3" ht="11.25" customHeight="1">
      <c r="A189" s="4" t="s">
        <v>2855</v>
      </c>
      <c r="B189" s="4" t="s">
        <v>2864</v>
      </c>
      <c r="C189" s="4" t="s">
        <v>2865</v>
      </c>
    </row>
    <row r="190" spans="1:3" ht="11.25" customHeight="1">
      <c r="A190" s="4" t="s">
        <v>2855</v>
      </c>
      <c r="B190" s="4" t="s">
        <v>2866</v>
      </c>
      <c r="C190" s="4" t="s">
        <v>2867</v>
      </c>
    </row>
    <row r="191" spans="1:3" ht="11.25" customHeight="1">
      <c r="A191" s="4" t="s">
        <v>2855</v>
      </c>
      <c r="B191" s="4" t="s">
        <v>2868</v>
      </c>
      <c r="C191" s="4" t="s">
        <v>2869</v>
      </c>
    </row>
    <row r="192" spans="1:3" ht="11.25" customHeight="1">
      <c r="A192" s="4" t="s">
        <v>2855</v>
      </c>
      <c r="B192" s="4" t="s">
        <v>2870</v>
      </c>
      <c r="C192" s="4" t="s">
        <v>2871</v>
      </c>
    </row>
    <row r="193" spans="1:3" ht="11.25" customHeight="1">
      <c r="A193" s="4" t="s">
        <v>2855</v>
      </c>
      <c r="B193" s="4" t="s">
        <v>2872</v>
      </c>
      <c r="C193" s="4" t="s">
        <v>2873</v>
      </c>
    </row>
    <row r="194" spans="1:3" ht="11.25" customHeight="1">
      <c r="A194" s="4" t="s">
        <v>2874</v>
      </c>
      <c r="B194" s="4" t="s">
        <v>2875</v>
      </c>
      <c r="C194" s="4" t="s">
        <v>2876</v>
      </c>
    </row>
    <row r="195" spans="1:3" ht="11.25" customHeight="1">
      <c r="A195" s="4" t="s">
        <v>2874</v>
      </c>
      <c r="B195" s="4" t="s">
        <v>2877</v>
      </c>
      <c r="C195" s="4" t="s">
        <v>2878</v>
      </c>
    </row>
    <row r="196" spans="1:3" ht="11.25" customHeight="1">
      <c r="A196" s="4" t="s">
        <v>2874</v>
      </c>
      <c r="B196" s="4" t="s">
        <v>2879</v>
      </c>
      <c r="C196" s="4" t="s">
        <v>2880</v>
      </c>
    </row>
    <row r="197" spans="1:3" ht="11.25" customHeight="1">
      <c r="A197" s="4" t="s">
        <v>2874</v>
      </c>
      <c r="B197" s="4" t="s">
        <v>2881</v>
      </c>
      <c r="C197" s="4" t="s">
        <v>2882</v>
      </c>
    </row>
    <row r="198" spans="1:3" ht="11.25" customHeight="1">
      <c r="A198" s="4" t="s">
        <v>2874</v>
      </c>
      <c r="B198" s="4" t="s">
        <v>2883</v>
      </c>
      <c r="C198" s="4" t="s">
        <v>2884</v>
      </c>
    </row>
    <row r="199" spans="1:3" ht="11.25" customHeight="1">
      <c r="A199" s="4" t="s">
        <v>2874</v>
      </c>
      <c r="B199" s="4" t="s">
        <v>2885</v>
      </c>
      <c r="C199" s="4" t="s">
        <v>2886</v>
      </c>
    </row>
    <row r="200" spans="1:3" ht="11.25" customHeight="1">
      <c r="A200" s="4" t="s">
        <v>2874</v>
      </c>
      <c r="B200" s="4" t="s">
        <v>2887</v>
      </c>
      <c r="C200" s="4" t="s">
        <v>2888</v>
      </c>
    </row>
    <row r="201" spans="1:3" ht="11.25" customHeight="1">
      <c r="A201" s="4" t="s">
        <v>2874</v>
      </c>
      <c r="B201" s="4" t="s">
        <v>2889</v>
      </c>
      <c r="C201" s="4" t="s">
        <v>2890</v>
      </c>
    </row>
    <row r="202" spans="1:3" ht="11.25" customHeight="1">
      <c r="A202" s="4" t="s">
        <v>2874</v>
      </c>
      <c r="B202" s="4" t="s">
        <v>2891</v>
      </c>
      <c r="C202" s="4" t="s">
        <v>2892</v>
      </c>
    </row>
    <row r="203" spans="1:3" ht="11.25" customHeight="1">
      <c r="A203" s="4" t="s">
        <v>2874</v>
      </c>
      <c r="B203" s="4" t="s">
        <v>2893</v>
      </c>
      <c r="C203" s="4" t="s">
        <v>2894</v>
      </c>
    </row>
    <row r="204" spans="1:3" ht="11.25" customHeight="1">
      <c r="A204" s="4" t="s">
        <v>2895</v>
      </c>
      <c r="B204" s="4" t="s">
        <v>2896</v>
      </c>
      <c r="C204" s="4" t="s">
        <v>2897</v>
      </c>
    </row>
    <row r="205" spans="1:3" ht="11.25" customHeight="1">
      <c r="A205" s="4" t="s">
        <v>2895</v>
      </c>
      <c r="B205" s="4" t="s">
        <v>2898</v>
      </c>
      <c r="C205" s="4" t="s">
        <v>2899</v>
      </c>
    </row>
    <row r="206" spans="1:3" ht="11.25" customHeight="1">
      <c r="A206" s="4" t="s">
        <v>2895</v>
      </c>
      <c r="B206" s="4" t="s">
        <v>2900</v>
      </c>
      <c r="C206" s="4" t="s">
        <v>2901</v>
      </c>
    </row>
    <row r="207" spans="1:3" ht="11.25" customHeight="1">
      <c r="A207" s="4" t="s">
        <v>2895</v>
      </c>
      <c r="B207" s="4" t="s">
        <v>2902</v>
      </c>
      <c r="C207" s="4" t="s">
        <v>2903</v>
      </c>
    </row>
    <row r="208" spans="1:3" ht="11.25" customHeight="1">
      <c r="A208" s="4" t="s">
        <v>2895</v>
      </c>
      <c r="B208" s="4" t="s">
        <v>2904</v>
      </c>
      <c r="C208" s="4" t="s">
        <v>2905</v>
      </c>
    </row>
    <row r="209" spans="1:3" ht="11.25" customHeight="1">
      <c r="A209" s="4" t="s">
        <v>2895</v>
      </c>
      <c r="B209" s="4" t="s">
        <v>2906</v>
      </c>
      <c r="C209" s="4" t="s">
        <v>2907</v>
      </c>
    </row>
    <row r="210" spans="1:3" ht="11.25" customHeight="1">
      <c r="A210" s="4" t="s">
        <v>2895</v>
      </c>
      <c r="B210" s="4" t="s">
        <v>2908</v>
      </c>
      <c r="C210" s="4" t="s">
        <v>2909</v>
      </c>
    </row>
    <row r="211" spans="1:3" ht="11.25" customHeight="1">
      <c r="A211" s="4" t="s">
        <v>2895</v>
      </c>
      <c r="B211" s="4" t="s">
        <v>2910</v>
      </c>
      <c r="C211" s="4" t="s">
        <v>2911</v>
      </c>
    </row>
    <row r="212" spans="1:3" ht="11.25" customHeight="1">
      <c r="A212" s="4" t="s">
        <v>2895</v>
      </c>
      <c r="B212" s="4" t="s">
        <v>2912</v>
      </c>
      <c r="C212" s="4" t="s">
        <v>2913</v>
      </c>
    </row>
    <row r="213" spans="1:3" ht="11.25" customHeight="1">
      <c r="A213" s="4" t="s">
        <v>2895</v>
      </c>
      <c r="B213" s="4" t="s">
        <v>2914</v>
      </c>
      <c r="C213" s="4" t="s">
        <v>2915</v>
      </c>
    </row>
    <row r="214" spans="1:3" ht="11.25" customHeight="1">
      <c r="A214" s="4" t="s">
        <v>2895</v>
      </c>
      <c r="B214" s="4" t="s">
        <v>2916</v>
      </c>
      <c r="C214" s="4" t="s">
        <v>2917</v>
      </c>
    </row>
    <row r="215" spans="1:3" ht="11.25" customHeight="1">
      <c r="A215" s="4" t="s">
        <v>2918</v>
      </c>
      <c r="B215" s="4" t="s">
        <v>2918</v>
      </c>
      <c r="C215" s="4" t="s">
        <v>2919</v>
      </c>
    </row>
    <row r="216" spans="1:3" ht="11.25" customHeight="1">
      <c r="A216" s="4" t="s">
        <v>2920</v>
      </c>
      <c r="B216" s="4" t="s">
        <v>2920</v>
      </c>
      <c r="C216" s="4" t="s">
        <v>2921</v>
      </c>
    </row>
    <row r="217" spans="1:3" ht="11.25" customHeight="1">
      <c r="A217" s="4" t="s">
        <v>341</v>
      </c>
      <c r="B217" s="4" t="s">
        <v>341</v>
      </c>
      <c r="C217" s="4" t="s">
        <v>342</v>
      </c>
    </row>
    <row r="218" spans="1:3" ht="11.25" customHeight="1">
      <c r="A218" s="4" t="s">
        <v>2922</v>
      </c>
      <c r="B218" s="4" t="s">
        <v>2922</v>
      </c>
      <c r="C218" s="4" t="s">
        <v>2923</v>
      </c>
    </row>
    <row r="219" spans="1:3" ht="11.25" customHeight="1">
      <c r="A219" s="4" t="s">
        <v>2924</v>
      </c>
      <c r="B219" s="4" t="s">
        <v>2924</v>
      </c>
      <c r="C219" s="4" t="s">
        <v>2925</v>
      </c>
    </row>
    <row r="220" spans="1:3" ht="11.25" customHeight="1">
      <c r="A220" s="4" t="s">
        <v>2926</v>
      </c>
      <c r="B220" s="4" t="s">
        <v>2926</v>
      </c>
      <c r="C220" s="4" t="s">
        <v>2927</v>
      </c>
    </row>
    <row r="221" spans="1:3" ht="11.25" customHeight="1">
      <c r="A221" s="4" t="s">
        <v>2928</v>
      </c>
      <c r="B221" s="4" t="s">
        <v>2928</v>
      </c>
      <c r="C221" s="4" t="s">
        <v>2929</v>
      </c>
    </row>
    <row r="222" spans="1:3" ht="11.25" customHeight="1">
      <c r="A222" s="4" t="s">
        <v>2930</v>
      </c>
      <c r="B222" s="4" t="s">
        <v>2930</v>
      </c>
      <c r="C222" s="4" t="s">
        <v>2931</v>
      </c>
    </row>
    <row r="223" spans="1:3" ht="11.25" customHeight="1">
      <c r="A223" s="4" t="s">
        <v>2932</v>
      </c>
      <c r="B223" s="4" t="s">
        <v>2932</v>
      </c>
      <c r="C223" s="4" t="s">
        <v>2933</v>
      </c>
    </row>
    <row r="224" spans="1:3" ht="11.25" customHeight="1">
      <c r="A224" s="4" t="s">
        <v>2934</v>
      </c>
      <c r="B224" s="4" t="s">
        <v>2934</v>
      </c>
      <c r="C224" s="4" t="s">
        <v>2935</v>
      </c>
    </row>
    <row r="225" spans="1:3" ht="11.25" customHeight="1">
      <c r="A225" s="4" t="s">
        <v>2936</v>
      </c>
      <c r="B225" s="4" t="s">
        <v>2936</v>
      </c>
      <c r="C225" s="4" t="s">
        <v>2937</v>
      </c>
    </row>
    <row r="226" spans="1:3" ht="11.25" customHeight="1">
      <c r="A226" s="4" t="s">
        <v>2938</v>
      </c>
      <c r="B226" s="4" t="s">
        <v>2938</v>
      </c>
      <c r="C226" s="4" t="s">
        <v>2939</v>
      </c>
    </row>
    <row r="227" spans="1:3" ht="11.25" customHeight="1">
      <c r="A227" s="4" t="s">
        <v>2940</v>
      </c>
      <c r="B227" s="4" t="s">
        <v>2940</v>
      </c>
      <c r="C227" s="4" t="s">
        <v>2941</v>
      </c>
    </row>
    <row r="228" spans="1:3" ht="11.25" customHeight="1">
      <c r="A228" s="4" t="s">
        <v>2942</v>
      </c>
      <c r="B228" s="4" t="s">
        <v>2942</v>
      </c>
      <c r="C228" s="4" t="s">
        <v>2943</v>
      </c>
    </row>
    <row r="229" spans="1:3" ht="11.25" customHeight="1">
      <c r="A229" s="4" t="s">
        <v>2944</v>
      </c>
      <c r="B229" s="4" t="s">
        <v>2944</v>
      </c>
      <c r="C229" s="4" t="s">
        <v>2945</v>
      </c>
    </row>
    <row r="230" spans="1:3" ht="11.25" customHeight="1">
      <c r="A230" s="4" t="s">
        <v>2946</v>
      </c>
      <c r="B230" s="4" t="s">
        <v>2946</v>
      </c>
      <c r="C230" s="4" t="s">
        <v>2947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474C-1249-1B38-E8D9-0F4F5AC31285}">
  <sheetPr>
    <tabColor rgb="FFFFCC99"/>
  </sheetPr>
  <dimension ref="A1:S110"/>
  <sheetViews>
    <sheetView showGridLines="0" workbookViewId="0"/>
  </sheetViews>
  <sheetFormatPr defaultColWidth="9.140625" defaultRowHeight="11.25" customHeight="1"/>
  <sheetData>
    <row r="1" spans="1:19" ht="11.25" customHeight="1">
      <c r="A1" t="s">
        <v>2948</v>
      </c>
      <c r="B1" t="s">
        <v>2949</v>
      </c>
      <c r="C1" t="s">
        <v>2950</v>
      </c>
      <c r="D1" t="s">
        <v>2951</v>
      </c>
      <c r="E1" t="s">
        <v>2952</v>
      </c>
      <c r="F1" t="s">
        <v>2953</v>
      </c>
      <c r="G1" t="s">
        <v>2954</v>
      </c>
      <c r="H1" t="s">
        <v>2955</v>
      </c>
      <c r="I1" t="s">
        <v>2956</v>
      </c>
      <c r="J1" t="s">
        <v>2957</v>
      </c>
      <c r="K1" t="s">
        <v>2958</v>
      </c>
      <c r="L1" t="s">
        <v>2959</v>
      </c>
      <c r="M1" t="s">
        <v>2960</v>
      </c>
      <c r="N1" t="s">
        <v>2961</v>
      </c>
      <c r="O1" t="s">
        <v>2962</v>
      </c>
      <c r="P1" t="s">
        <v>2963</v>
      </c>
      <c r="Q1" t="s">
        <v>2964</v>
      </c>
      <c r="R1" t="s">
        <v>2965</v>
      </c>
      <c r="S1" t="s">
        <v>2966</v>
      </c>
    </row>
    <row r="2" spans="1:19" ht="11.25" customHeight="1">
      <c r="A2">
        <v>2655</v>
      </c>
      <c r="B2" t="s">
        <v>101</v>
      </c>
      <c r="C2">
        <v>28976938</v>
      </c>
      <c r="D2" t="s">
        <v>2967</v>
      </c>
      <c r="E2" t="s">
        <v>2968</v>
      </c>
      <c r="F2" t="s">
        <v>2969</v>
      </c>
      <c r="G2" t="s">
        <v>2970</v>
      </c>
      <c r="H2" t="s">
        <v>2971</v>
      </c>
      <c r="I2" t="s">
        <v>2972</v>
      </c>
      <c r="J2" t="s">
        <v>2973</v>
      </c>
      <c r="K2" t="s">
        <v>2974</v>
      </c>
      <c r="L2" t="s">
        <v>2975</v>
      </c>
      <c r="M2" t="s">
        <v>2976</v>
      </c>
      <c r="N2" t="s">
        <v>2977</v>
      </c>
      <c r="O2" t="s">
        <v>2978</v>
      </c>
      <c r="P2" t="s">
        <v>2979</v>
      </c>
      <c r="Q2" t="s">
        <v>2980</v>
      </c>
      <c r="R2" t="b">
        <v>0</v>
      </c>
      <c r="S2" t="s">
        <v>2981</v>
      </c>
    </row>
    <row r="3" spans="1:19" ht="11.25" customHeight="1">
      <c r="A3">
        <v>2655</v>
      </c>
      <c r="B3" t="s">
        <v>101</v>
      </c>
      <c r="C3">
        <v>27804990</v>
      </c>
      <c r="D3" t="s">
        <v>2982</v>
      </c>
      <c r="E3" t="s">
        <v>2983</v>
      </c>
      <c r="F3" t="s">
        <v>2984</v>
      </c>
      <c r="G3" t="s">
        <v>2985</v>
      </c>
      <c r="H3" t="s">
        <v>2986</v>
      </c>
      <c r="I3" t="s">
        <v>2987</v>
      </c>
      <c r="J3" t="s">
        <v>2973</v>
      </c>
      <c r="K3" t="s">
        <v>2988</v>
      </c>
      <c r="L3" t="s">
        <v>2989</v>
      </c>
      <c r="M3" t="s">
        <v>2990</v>
      </c>
      <c r="N3" t="s">
        <v>2991</v>
      </c>
      <c r="O3" t="s">
        <v>2992</v>
      </c>
      <c r="P3" t="s">
        <v>2993</v>
      </c>
      <c r="Q3" t="s">
        <v>2994</v>
      </c>
      <c r="R3" t="b">
        <v>0</v>
      </c>
      <c r="S3" t="s">
        <v>2981</v>
      </c>
    </row>
    <row r="4" spans="1:19" ht="11.25" customHeight="1">
      <c r="A4">
        <v>2655</v>
      </c>
      <c r="B4" t="s">
        <v>101</v>
      </c>
      <c r="C4">
        <v>27804826</v>
      </c>
      <c r="D4" t="s">
        <v>2995</v>
      </c>
      <c r="E4" t="s">
        <v>2996</v>
      </c>
      <c r="F4" t="s">
        <v>2997</v>
      </c>
      <c r="G4" t="s">
        <v>2998</v>
      </c>
      <c r="H4" t="s">
        <v>2999</v>
      </c>
      <c r="I4" t="s">
        <v>3000</v>
      </c>
      <c r="J4" t="s">
        <v>2973</v>
      </c>
      <c r="K4" t="s">
        <v>3001</v>
      </c>
      <c r="L4" t="s">
        <v>2989</v>
      </c>
      <c r="M4" t="s">
        <v>124</v>
      </c>
      <c r="N4" t="s">
        <v>3002</v>
      </c>
      <c r="O4" t="s">
        <v>3003</v>
      </c>
      <c r="P4" t="s">
        <v>2993</v>
      </c>
      <c r="Q4" t="s">
        <v>3004</v>
      </c>
      <c r="R4" t="b">
        <v>0</v>
      </c>
      <c r="S4" t="s">
        <v>2981</v>
      </c>
    </row>
    <row r="5" spans="1:19" ht="11.25" customHeight="1">
      <c r="A5">
        <v>2655</v>
      </c>
      <c r="B5" t="s">
        <v>101</v>
      </c>
      <c r="C5">
        <v>26356963</v>
      </c>
      <c r="D5" t="s">
        <v>3005</v>
      </c>
      <c r="E5" t="s">
        <v>3006</v>
      </c>
      <c r="F5" t="s">
        <v>3007</v>
      </c>
      <c r="G5" t="s">
        <v>3008</v>
      </c>
      <c r="H5" t="s">
        <v>3009</v>
      </c>
      <c r="I5" t="s">
        <v>124</v>
      </c>
      <c r="J5" t="s">
        <v>2973</v>
      </c>
      <c r="K5" t="s">
        <v>3010</v>
      </c>
      <c r="L5" t="s">
        <v>3010</v>
      </c>
      <c r="M5" t="s">
        <v>3011</v>
      </c>
      <c r="N5" t="s">
        <v>3012</v>
      </c>
      <c r="O5" t="s">
        <v>3013</v>
      </c>
      <c r="P5" t="s">
        <v>3014</v>
      </c>
      <c r="Q5" t="s">
        <v>124</v>
      </c>
      <c r="R5" t="b">
        <v>0</v>
      </c>
      <c r="S5" t="s">
        <v>2981</v>
      </c>
    </row>
    <row r="6" spans="1:19" ht="11.25" customHeight="1">
      <c r="A6">
        <v>2655</v>
      </c>
      <c r="B6" t="s">
        <v>101</v>
      </c>
      <c r="C6">
        <v>26322889</v>
      </c>
      <c r="D6" t="s">
        <v>3015</v>
      </c>
      <c r="E6" t="s">
        <v>3016</v>
      </c>
      <c r="F6" t="s">
        <v>3017</v>
      </c>
      <c r="G6" t="s">
        <v>3018</v>
      </c>
      <c r="H6" t="s">
        <v>3019</v>
      </c>
      <c r="I6" t="s">
        <v>3020</v>
      </c>
      <c r="J6" t="s">
        <v>2973</v>
      </c>
      <c r="K6" t="s">
        <v>3021</v>
      </c>
      <c r="L6" t="s">
        <v>3022</v>
      </c>
      <c r="M6" t="s">
        <v>3023</v>
      </c>
      <c r="N6" t="s">
        <v>3024</v>
      </c>
      <c r="O6" t="s">
        <v>3025</v>
      </c>
      <c r="P6" t="s">
        <v>3026</v>
      </c>
      <c r="Q6" t="s">
        <v>3027</v>
      </c>
      <c r="R6" t="b">
        <v>0</v>
      </c>
      <c r="S6" t="s">
        <v>2981</v>
      </c>
    </row>
    <row r="7" spans="1:19" ht="11.25" customHeight="1">
      <c r="A7">
        <v>2655</v>
      </c>
      <c r="B7" t="s">
        <v>101</v>
      </c>
      <c r="C7">
        <v>26356905</v>
      </c>
      <c r="D7" t="s">
        <v>3028</v>
      </c>
      <c r="E7" t="s">
        <v>3029</v>
      </c>
      <c r="F7" t="s">
        <v>3030</v>
      </c>
      <c r="G7" t="s">
        <v>2985</v>
      </c>
      <c r="H7" t="s">
        <v>3031</v>
      </c>
      <c r="I7" t="s">
        <v>3032</v>
      </c>
      <c r="J7" t="s">
        <v>2973</v>
      </c>
      <c r="K7" t="s">
        <v>3033</v>
      </c>
      <c r="L7" t="s">
        <v>3033</v>
      </c>
      <c r="M7" t="s">
        <v>3034</v>
      </c>
      <c r="N7" t="s">
        <v>3035</v>
      </c>
      <c r="O7" t="s">
        <v>3036</v>
      </c>
      <c r="P7" t="s">
        <v>3037</v>
      </c>
      <c r="Q7" t="s">
        <v>3038</v>
      </c>
      <c r="R7" t="b">
        <v>0</v>
      </c>
      <c r="S7" t="s">
        <v>2981</v>
      </c>
    </row>
    <row r="8" spans="1:19" ht="11.25" customHeight="1">
      <c r="A8">
        <v>2655</v>
      </c>
      <c r="B8" t="s">
        <v>101</v>
      </c>
      <c r="C8">
        <v>26427149</v>
      </c>
      <c r="D8" t="s">
        <v>3039</v>
      </c>
      <c r="E8" t="s">
        <v>3040</v>
      </c>
      <c r="F8" t="s">
        <v>2969</v>
      </c>
      <c r="G8" t="s">
        <v>3041</v>
      </c>
      <c r="H8" t="s">
        <v>2971</v>
      </c>
      <c r="I8" t="s">
        <v>2972</v>
      </c>
      <c r="J8" t="s">
        <v>2973</v>
      </c>
      <c r="K8" t="s">
        <v>3042</v>
      </c>
      <c r="L8" t="s">
        <v>3043</v>
      </c>
      <c r="M8" t="s">
        <v>3044</v>
      </c>
      <c r="N8" t="s">
        <v>3045</v>
      </c>
      <c r="O8" t="s">
        <v>3046</v>
      </c>
      <c r="P8" t="s">
        <v>3047</v>
      </c>
      <c r="Q8" t="s">
        <v>3048</v>
      </c>
      <c r="R8" t="b">
        <v>0</v>
      </c>
      <c r="S8" t="s">
        <v>2981</v>
      </c>
    </row>
    <row r="9" spans="1:19" ht="11.25" customHeight="1">
      <c r="A9">
        <v>2655</v>
      </c>
      <c r="B9" t="s">
        <v>101</v>
      </c>
      <c r="C9">
        <v>27295125</v>
      </c>
      <c r="D9" t="s">
        <v>3049</v>
      </c>
      <c r="E9" t="s">
        <v>3050</v>
      </c>
      <c r="F9" t="s">
        <v>3051</v>
      </c>
      <c r="G9" t="s">
        <v>3052</v>
      </c>
      <c r="H9" t="s">
        <v>3053</v>
      </c>
      <c r="I9" t="s">
        <v>3054</v>
      </c>
      <c r="J9" t="s">
        <v>3055</v>
      </c>
      <c r="K9" t="s">
        <v>3056</v>
      </c>
      <c r="L9" t="s">
        <v>3056</v>
      </c>
      <c r="M9" t="s">
        <v>3057</v>
      </c>
      <c r="N9" t="s">
        <v>3058</v>
      </c>
      <c r="O9" t="s">
        <v>3059</v>
      </c>
      <c r="P9" t="s">
        <v>3060</v>
      </c>
      <c r="Q9" t="s">
        <v>124</v>
      </c>
      <c r="R9" t="b">
        <v>0</v>
      </c>
      <c r="S9" t="s">
        <v>2981</v>
      </c>
    </row>
    <row r="10" spans="1:19" ht="11.25" customHeight="1">
      <c r="A10">
        <v>2655</v>
      </c>
      <c r="B10" t="s">
        <v>101</v>
      </c>
      <c r="C10">
        <v>26824672</v>
      </c>
      <c r="D10" t="s">
        <v>3061</v>
      </c>
      <c r="E10" t="s">
        <v>3062</v>
      </c>
      <c r="F10" t="s">
        <v>3063</v>
      </c>
      <c r="G10" t="s">
        <v>3064</v>
      </c>
      <c r="H10" t="s">
        <v>3065</v>
      </c>
      <c r="I10" t="s">
        <v>124</v>
      </c>
      <c r="J10" t="s">
        <v>3055</v>
      </c>
      <c r="K10" t="s">
        <v>3066</v>
      </c>
      <c r="L10" t="s">
        <v>3067</v>
      </c>
      <c r="M10" t="s">
        <v>3068</v>
      </c>
      <c r="N10" t="s">
        <v>3069</v>
      </c>
      <c r="O10" t="s">
        <v>124</v>
      </c>
      <c r="P10" t="s">
        <v>3070</v>
      </c>
      <c r="Q10" t="s">
        <v>124</v>
      </c>
      <c r="R10" t="b">
        <v>0</v>
      </c>
      <c r="S10" t="s">
        <v>2981</v>
      </c>
    </row>
    <row r="11" spans="1:19" ht="11.25" customHeight="1">
      <c r="A11">
        <v>2655</v>
      </c>
      <c r="B11" t="s">
        <v>101</v>
      </c>
      <c r="C11">
        <v>31826293</v>
      </c>
      <c r="D11" t="s">
        <v>3071</v>
      </c>
      <c r="E11" t="s">
        <v>3072</v>
      </c>
      <c r="F11" t="s">
        <v>3073</v>
      </c>
      <c r="G11" t="s">
        <v>3074</v>
      </c>
      <c r="H11" t="s">
        <v>3075</v>
      </c>
      <c r="I11" t="s">
        <v>3076</v>
      </c>
      <c r="K11" t="s">
        <v>3077</v>
      </c>
      <c r="L11" t="s">
        <v>3078</v>
      </c>
      <c r="M11" t="s">
        <v>124</v>
      </c>
      <c r="N11" t="s">
        <v>3079</v>
      </c>
      <c r="O11" t="s">
        <v>3080</v>
      </c>
      <c r="P11" t="s">
        <v>144</v>
      </c>
      <c r="Q11" t="s">
        <v>124</v>
      </c>
      <c r="R11" t="b">
        <v>0</v>
      </c>
      <c r="S11" t="s">
        <v>2981</v>
      </c>
    </row>
    <row r="12" spans="1:19" ht="11.25" customHeight="1">
      <c r="A12">
        <v>2655</v>
      </c>
      <c r="B12" t="s">
        <v>101</v>
      </c>
      <c r="C12">
        <v>26322867</v>
      </c>
      <c r="D12" t="s">
        <v>3081</v>
      </c>
      <c r="E12" t="s">
        <v>3082</v>
      </c>
      <c r="F12" t="s">
        <v>3083</v>
      </c>
      <c r="G12" t="s">
        <v>3018</v>
      </c>
      <c r="H12" t="s">
        <v>3084</v>
      </c>
      <c r="I12" t="s">
        <v>3085</v>
      </c>
      <c r="J12" t="s">
        <v>2973</v>
      </c>
      <c r="K12" t="s">
        <v>3086</v>
      </c>
      <c r="L12" t="s">
        <v>3086</v>
      </c>
      <c r="M12" t="s">
        <v>3087</v>
      </c>
      <c r="N12" t="s">
        <v>3088</v>
      </c>
      <c r="O12" t="s">
        <v>3089</v>
      </c>
      <c r="P12" t="s">
        <v>3060</v>
      </c>
      <c r="Q12" t="s">
        <v>3090</v>
      </c>
      <c r="R12" t="b">
        <v>0</v>
      </c>
      <c r="S12" t="s">
        <v>2981</v>
      </c>
    </row>
    <row r="13" spans="1:19" ht="11.25" customHeight="1">
      <c r="A13">
        <v>2655</v>
      </c>
      <c r="B13" t="s">
        <v>101</v>
      </c>
      <c r="C13">
        <v>26824651</v>
      </c>
      <c r="D13" t="s">
        <v>3091</v>
      </c>
      <c r="E13" t="s">
        <v>3092</v>
      </c>
      <c r="F13" t="s">
        <v>3063</v>
      </c>
      <c r="G13" t="s">
        <v>3093</v>
      </c>
      <c r="H13" t="s">
        <v>3065</v>
      </c>
      <c r="I13" t="s">
        <v>124</v>
      </c>
      <c r="J13" t="s">
        <v>2973</v>
      </c>
      <c r="K13" t="s">
        <v>3094</v>
      </c>
      <c r="L13" t="s">
        <v>3095</v>
      </c>
      <c r="M13" t="s">
        <v>3096</v>
      </c>
      <c r="N13" t="s">
        <v>3097</v>
      </c>
      <c r="O13" t="s">
        <v>3098</v>
      </c>
      <c r="P13" t="s">
        <v>3099</v>
      </c>
      <c r="Q13" t="s">
        <v>124</v>
      </c>
      <c r="R13" t="b">
        <v>0</v>
      </c>
      <c r="S13" t="s">
        <v>2981</v>
      </c>
    </row>
    <row r="14" spans="1:19" ht="11.25" customHeight="1">
      <c r="A14">
        <v>2655</v>
      </c>
      <c r="B14" t="s">
        <v>101</v>
      </c>
      <c r="C14">
        <v>26824396</v>
      </c>
      <c r="D14" t="s">
        <v>3100</v>
      </c>
      <c r="E14" t="s">
        <v>3101</v>
      </c>
      <c r="F14" t="s">
        <v>3063</v>
      </c>
      <c r="G14" t="s">
        <v>3102</v>
      </c>
      <c r="H14" t="s">
        <v>3065</v>
      </c>
      <c r="I14" t="s">
        <v>124</v>
      </c>
      <c r="J14" t="s">
        <v>3055</v>
      </c>
      <c r="K14" t="s">
        <v>3103</v>
      </c>
      <c r="L14" t="s">
        <v>3103</v>
      </c>
      <c r="M14" t="s">
        <v>3104</v>
      </c>
      <c r="N14" t="s">
        <v>124</v>
      </c>
      <c r="O14" t="s">
        <v>3105</v>
      </c>
      <c r="P14" t="s">
        <v>3099</v>
      </c>
      <c r="Q14" t="s">
        <v>124</v>
      </c>
      <c r="R14" t="b">
        <v>0</v>
      </c>
      <c r="S14" t="s">
        <v>2981</v>
      </c>
    </row>
    <row r="15" spans="1:19" ht="11.25" customHeight="1">
      <c r="A15">
        <v>2655</v>
      </c>
      <c r="B15" t="s">
        <v>101</v>
      </c>
      <c r="C15">
        <v>31232672</v>
      </c>
      <c r="D15" t="s">
        <v>3106</v>
      </c>
      <c r="E15" t="s">
        <v>3107</v>
      </c>
      <c r="F15" t="s">
        <v>3108</v>
      </c>
      <c r="G15" t="s">
        <v>3109</v>
      </c>
      <c r="H15" t="s">
        <v>3110</v>
      </c>
      <c r="I15" t="s">
        <v>3111</v>
      </c>
      <c r="J15" t="s">
        <v>3112</v>
      </c>
      <c r="K15" t="s">
        <v>3113</v>
      </c>
      <c r="L15" t="s">
        <v>3113</v>
      </c>
      <c r="M15" t="s">
        <v>3114</v>
      </c>
      <c r="N15" t="s">
        <v>3115</v>
      </c>
      <c r="O15" t="s">
        <v>3116</v>
      </c>
      <c r="P15" t="s">
        <v>3117</v>
      </c>
      <c r="Q15" t="s">
        <v>124</v>
      </c>
      <c r="R15" t="b">
        <v>0</v>
      </c>
      <c r="S15" t="s">
        <v>2981</v>
      </c>
    </row>
    <row r="16" spans="1:19" ht="11.25" customHeight="1">
      <c r="A16">
        <v>2655</v>
      </c>
      <c r="B16" t="s">
        <v>101</v>
      </c>
      <c r="C16">
        <v>31387447</v>
      </c>
      <c r="D16" t="s">
        <v>3118</v>
      </c>
      <c r="E16" t="s">
        <v>3119</v>
      </c>
      <c r="F16" t="s">
        <v>3120</v>
      </c>
      <c r="G16" t="s">
        <v>3121</v>
      </c>
      <c r="H16" t="s">
        <v>3122</v>
      </c>
      <c r="I16" t="s">
        <v>3123</v>
      </c>
      <c r="J16" t="s">
        <v>127</v>
      </c>
      <c r="K16" t="s">
        <v>3124</v>
      </c>
      <c r="L16" t="s">
        <v>3124</v>
      </c>
      <c r="M16" t="s">
        <v>3125</v>
      </c>
      <c r="N16" t="s">
        <v>3126</v>
      </c>
      <c r="O16" t="s">
        <v>3127</v>
      </c>
      <c r="P16" t="s">
        <v>3117</v>
      </c>
      <c r="Q16" t="s">
        <v>124</v>
      </c>
      <c r="R16" t="b">
        <v>0</v>
      </c>
      <c r="S16" t="s">
        <v>2981</v>
      </c>
    </row>
    <row r="17" spans="1:19" ht="11.25" customHeight="1">
      <c r="A17">
        <v>2655</v>
      </c>
      <c r="B17" t="s">
        <v>101</v>
      </c>
      <c r="C17">
        <v>30808700</v>
      </c>
      <c r="D17" t="s">
        <v>3128</v>
      </c>
      <c r="E17" t="s">
        <v>3129</v>
      </c>
      <c r="F17" t="s">
        <v>3130</v>
      </c>
      <c r="G17" t="s">
        <v>3064</v>
      </c>
      <c r="H17" t="s">
        <v>3131</v>
      </c>
      <c r="I17" t="s">
        <v>3132</v>
      </c>
      <c r="J17" t="s">
        <v>127</v>
      </c>
      <c r="K17" t="s">
        <v>3133</v>
      </c>
      <c r="L17" t="s">
        <v>3134</v>
      </c>
      <c r="M17" t="s">
        <v>3135</v>
      </c>
      <c r="N17" t="s">
        <v>3136</v>
      </c>
      <c r="O17" t="s">
        <v>3137</v>
      </c>
      <c r="P17" t="s">
        <v>144</v>
      </c>
      <c r="Q17" t="s">
        <v>124</v>
      </c>
      <c r="R17" t="b">
        <v>1</v>
      </c>
      <c r="S17" t="s">
        <v>2981</v>
      </c>
    </row>
    <row r="18" spans="1:19" ht="11.25" customHeight="1">
      <c r="A18">
        <v>2655</v>
      </c>
      <c r="B18" t="s">
        <v>101</v>
      </c>
      <c r="C18">
        <v>31319221</v>
      </c>
      <c r="D18" t="s">
        <v>3138</v>
      </c>
      <c r="E18" t="s">
        <v>3139</v>
      </c>
      <c r="F18" t="s">
        <v>3140</v>
      </c>
      <c r="G18" t="s">
        <v>3121</v>
      </c>
      <c r="H18" t="s">
        <v>3141</v>
      </c>
      <c r="I18" t="s">
        <v>3142</v>
      </c>
      <c r="J18" t="s">
        <v>3112</v>
      </c>
      <c r="K18" t="s">
        <v>3143</v>
      </c>
      <c r="L18" t="s">
        <v>3144</v>
      </c>
      <c r="M18" t="s">
        <v>3145</v>
      </c>
      <c r="N18" t="s">
        <v>3146</v>
      </c>
      <c r="O18" t="s">
        <v>3147</v>
      </c>
      <c r="P18" t="s">
        <v>3117</v>
      </c>
      <c r="Q18" t="s">
        <v>124</v>
      </c>
      <c r="R18" t="b">
        <v>0</v>
      </c>
      <c r="S18" t="s">
        <v>2981</v>
      </c>
    </row>
    <row r="19" spans="1:19" ht="11.25" customHeight="1">
      <c r="A19">
        <v>2655</v>
      </c>
      <c r="B19" t="s">
        <v>101</v>
      </c>
      <c r="C19">
        <v>31419990</v>
      </c>
      <c r="D19" t="s">
        <v>3148</v>
      </c>
      <c r="E19" t="s">
        <v>3149</v>
      </c>
      <c r="F19" t="s">
        <v>3150</v>
      </c>
      <c r="G19" t="s">
        <v>3151</v>
      </c>
      <c r="H19" t="s">
        <v>3152</v>
      </c>
      <c r="I19" t="s">
        <v>3153</v>
      </c>
      <c r="J19" t="s">
        <v>3112</v>
      </c>
      <c r="K19" t="s">
        <v>3154</v>
      </c>
      <c r="L19" t="s">
        <v>3154</v>
      </c>
      <c r="M19" t="s">
        <v>3155</v>
      </c>
      <c r="N19" t="s">
        <v>3156</v>
      </c>
      <c r="O19" t="s">
        <v>3157</v>
      </c>
      <c r="P19" t="s">
        <v>3117</v>
      </c>
      <c r="Q19" t="s">
        <v>3158</v>
      </c>
      <c r="R19" t="b">
        <v>0</v>
      </c>
      <c r="S19" t="s">
        <v>2981</v>
      </c>
    </row>
    <row r="20" spans="1:19" ht="11.25" customHeight="1">
      <c r="A20">
        <v>2655</v>
      </c>
      <c r="B20" t="s">
        <v>101</v>
      </c>
      <c r="C20">
        <v>31343443</v>
      </c>
      <c r="D20" t="s">
        <v>3159</v>
      </c>
      <c r="E20" t="s">
        <v>3160</v>
      </c>
      <c r="F20" t="s">
        <v>3161</v>
      </c>
      <c r="G20" t="s">
        <v>3064</v>
      </c>
      <c r="H20" t="s">
        <v>3162</v>
      </c>
      <c r="I20" t="s">
        <v>3163</v>
      </c>
      <c r="J20" t="s">
        <v>3112</v>
      </c>
      <c r="K20" t="s">
        <v>3164</v>
      </c>
      <c r="L20" t="s">
        <v>3164</v>
      </c>
      <c r="N20" t="s">
        <v>3165</v>
      </c>
      <c r="O20" t="s">
        <v>3166</v>
      </c>
      <c r="P20" t="s">
        <v>144</v>
      </c>
      <c r="R20" t="b">
        <v>0</v>
      </c>
      <c r="S20" t="s">
        <v>2981</v>
      </c>
    </row>
    <row r="21" spans="1:19" ht="11.25" customHeight="1">
      <c r="A21">
        <v>2655</v>
      </c>
      <c r="B21" t="s">
        <v>101</v>
      </c>
      <c r="C21">
        <v>31367841</v>
      </c>
      <c r="D21" t="s">
        <v>3167</v>
      </c>
      <c r="E21" t="s">
        <v>3168</v>
      </c>
      <c r="F21" t="s">
        <v>3169</v>
      </c>
      <c r="G21" t="s">
        <v>3170</v>
      </c>
      <c r="H21" t="s">
        <v>3171</v>
      </c>
      <c r="I21" t="s">
        <v>3172</v>
      </c>
      <c r="J21" t="s">
        <v>127</v>
      </c>
      <c r="K21" t="s">
        <v>3173</v>
      </c>
      <c r="L21" t="s">
        <v>3173</v>
      </c>
      <c r="M21" t="s">
        <v>124</v>
      </c>
      <c r="N21" t="s">
        <v>3174</v>
      </c>
      <c r="O21" t="s">
        <v>3175</v>
      </c>
      <c r="P21" t="s">
        <v>3117</v>
      </c>
      <c r="Q21" t="s">
        <v>124</v>
      </c>
      <c r="R21" t="b">
        <v>0</v>
      </c>
      <c r="S21" t="s">
        <v>2981</v>
      </c>
    </row>
    <row r="22" spans="1:19" ht="11.25" customHeight="1">
      <c r="A22">
        <v>2655</v>
      </c>
      <c r="B22" t="s">
        <v>101</v>
      </c>
      <c r="C22">
        <v>31087651</v>
      </c>
      <c r="D22" t="s">
        <v>3176</v>
      </c>
      <c r="E22" t="s">
        <v>3177</v>
      </c>
      <c r="F22" t="s">
        <v>3178</v>
      </c>
      <c r="G22" t="s">
        <v>3179</v>
      </c>
      <c r="H22" t="s">
        <v>3180</v>
      </c>
      <c r="I22" t="s">
        <v>3181</v>
      </c>
      <c r="J22" t="s">
        <v>3112</v>
      </c>
      <c r="K22" t="s">
        <v>3182</v>
      </c>
      <c r="L22" t="s">
        <v>3182</v>
      </c>
      <c r="M22" t="s">
        <v>3183</v>
      </c>
      <c r="N22" t="s">
        <v>3184</v>
      </c>
      <c r="O22" t="s">
        <v>3185</v>
      </c>
      <c r="R22" t="b">
        <v>0</v>
      </c>
      <c r="S22" t="s">
        <v>2981</v>
      </c>
    </row>
    <row r="23" spans="1:19" ht="11.25" customHeight="1">
      <c r="A23">
        <v>2655</v>
      </c>
      <c r="B23" t="s">
        <v>101</v>
      </c>
      <c r="C23">
        <v>31367862</v>
      </c>
      <c r="D23" t="s">
        <v>3186</v>
      </c>
      <c r="E23" t="s">
        <v>3187</v>
      </c>
      <c r="F23" t="s">
        <v>3188</v>
      </c>
      <c r="G23" t="s">
        <v>3170</v>
      </c>
      <c r="H23" t="s">
        <v>3189</v>
      </c>
      <c r="I23" t="s">
        <v>3190</v>
      </c>
      <c r="J23" t="s">
        <v>3112</v>
      </c>
      <c r="K23" t="s">
        <v>3191</v>
      </c>
      <c r="L23" t="s">
        <v>3191</v>
      </c>
      <c r="M23" t="s">
        <v>124</v>
      </c>
      <c r="N23" t="s">
        <v>3192</v>
      </c>
      <c r="O23" t="s">
        <v>3193</v>
      </c>
      <c r="P23" t="s">
        <v>3117</v>
      </c>
      <c r="Q23" t="s">
        <v>124</v>
      </c>
      <c r="R23" t="b">
        <v>0</v>
      </c>
      <c r="S23" t="s">
        <v>2981</v>
      </c>
    </row>
    <row r="24" spans="1:19" ht="11.25" customHeight="1">
      <c r="A24">
        <v>2655</v>
      </c>
      <c r="B24" t="s">
        <v>101</v>
      </c>
      <c r="C24">
        <v>26486390</v>
      </c>
      <c r="D24" t="s">
        <v>3194</v>
      </c>
      <c r="E24" t="s">
        <v>3195</v>
      </c>
      <c r="F24" t="s">
        <v>3196</v>
      </c>
      <c r="G24" t="s">
        <v>3197</v>
      </c>
      <c r="H24" t="s">
        <v>3198</v>
      </c>
      <c r="I24" t="s">
        <v>3199</v>
      </c>
      <c r="J24" t="s">
        <v>127</v>
      </c>
      <c r="K24" t="s">
        <v>3200</v>
      </c>
      <c r="L24" t="s">
        <v>3200</v>
      </c>
      <c r="M24" t="s">
        <v>3201</v>
      </c>
      <c r="N24" t="s">
        <v>3202</v>
      </c>
      <c r="O24" t="s">
        <v>3203</v>
      </c>
      <c r="P24" t="s">
        <v>3204</v>
      </c>
      <c r="Q24" t="s">
        <v>124</v>
      </c>
      <c r="R24" t="b">
        <v>0</v>
      </c>
      <c r="S24" t="s">
        <v>2981</v>
      </c>
    </row>
    <row r="25" spans="1:19" ht="11.25" customHeight="1">
      <c r="A25">
        <v>2655</v>
      </c>
      <c r="B25" t="s">
        <v>101</v>
      </c>
      <c r="C25">
        <v>27977465</v>
      </c>
      <c r="D25" t="s">
        <v>111</v>
      </c>
      <c r="E25" t="s">
        <v>114</v>
      </c>
      <c r="F25" t="s">
        <v>120</v>
      </c>
      <c r="G25" t="s">
        <v>122</v>
      </c>
      <c r="H25" t="s">
        <v>118</v>
      </c>
      <c r="I25" t="s">
        <v>124</v>
      </c>
      <c r="K25" t="s">
        <v>130</v>
      </c>
      <c r="L25" t="s">
        <v>130</v>
      </c>
      <c r="M25" t="s">
        <v>135</v>
      </c>
      <c r="N25" t="s">
        <v>3205</v>
      </c>
      <c r="O25" t="s">
        <v>3206</v>
      </c>
      <c r="P25" t="s">
        <v>144</v>
      </c>
      <c r="Q25" t="s">
        <v>124</v>
      </c>
      <c r="R25" t="b">
        <v>0</v>
      </c>
      <c r="S25" t="s">
        <v>2981</v>
      </c>
    </row>
    <row r="26" spans="1:19" ht="11.25" customHeight="1">
      <c r="A26">
        <v>2655</v>
      </c>
      <c r="B26" t="s">
        <v>101</v>
      </c>
      <c r="C26">
        <v>31003143</v>
      </c>
      <c r="D26" t="s">
        <v>3207</v>
      </c>
      <c r="E26" t="s">
        <v>3208</v>
      </c>
      <c r="F26" t="s">
        <v>3209</v>
      </c>
      <c r="G26" t="s">
        <v>122</v>
      </c>
      <c r="H26" t="s">
        <v>3210</v>
      </c>
      <c r="I26" t="s">
        <v>3211</v>
      </c>
      <c r="J26" t="s">
        <v>127</v>
      </c>
      <c r="K26" t="s">
        <v>3212</v>
      </c>
      <c r="L26" t="s">
        <v>3213</v>
      </c>
      <c r="M26" t="s">
        <v>3214</v>
      </c>
      <c r="N26" t="s">
        <v>3215</v>
      </c>
      <c r="O26" t="s">
        <v>3216</v>
      </c>
      <c r="P26" t="s">
        <v>3117</v>
      </c>
      <c r="Q26" t="s">
        <v>124</v>
      </c>
      <c r="R26" t="b">
        <v>1</v>
      </c>
      <c r="S26" t="s">
        <v>2981</v>
      </c>
    </row>
    <row r="27" spans="1:19" ht="11.25" customHeight="1">
      <c r="A27">
        <v>2655</v>
      </c>
      <c r="B27" t="s">
        <v>101</v>
      </c>
      <c r="C27">
        <v>31308226</v>
      </c>
      <c r="D27" t="s">
        <v>3217</v>
      </c>
      <c r="E27" t="s">
        <v>3218</v>
      </c>
      <c r="F27" t="s">
        <v>3219</v>
      </c>
      <c r="G27" t="s">
        <v>3220</v>
      </c>
      <c r="H27" t="s">
        <v>3221</v>
      </c>
      <c r="I27" t="s">
        <v>3222</v>
      </c>
      <c r="J27" t="s">
        <v>127</v>
      </c>
      <c r="K27" t="s">
        <v>3223</v>
      </c>
      <c r="L27" t="s">
        <v>3223</v>
      </c>
      <c r="M27" t="s">
        <v>3224</v>
      </c>
      <c r="N27" t="s">
        <v>3225</v>
      </c>
      <c r="O27" t="s">
        <v>3226</v>
      </c>
      <c r="P27" t="s">
        <v>144</v>
      </c>
      <c r="Q27" t="s">
        <v>124</v>
      </c>
      <c r="R27" t="b">
        <v>1</v>
      </c>
      <c r="S27" t="s">
        <v>2981</v>
      </c>
    </row>
    <row r="28" spans="1:19" ht="11.25" customHeight="1">
      <c r="A28">
        <v>2655</v>
      </c>
      <c r="B28" t="s">
        <v>101</v>
      </c>
      <c r="C28">
        <v>31284269</v>
      </c>
      <c r="D28" t="s">
        <v>3227</v>
      </c>
      <c r="E28" t="s">
        <v>3228</v>
      </c>
      <c r="F28" t="s">
        <v>3229</v>
      </c>
      <c r="G28" t="s">
        <v>3179</v>
      </c>
      <c r="H28" t="s">
        <v>3230</v>
      </c>
      <c r="I28" t="s">
        <v>3231</v>
      </c>
      <c r="J28" t="s">
        <v>127</v>
      </c>
      <c r="K28" t="s">
        <v>3232</v>
      </c>
      <c r="L28" t="s">
        <v>3233</v>
      </c>
      <c r="M28" t="s">
        <v>3234</v>
      </c>
      <c r="N28" t="s">
        <v>3235</v>
      </c>
      <c r="O28" t="s">
        <v>3236</v>
      </c>
      <c r="P28" t="s">
        <v>124</v>
      </c>
      <c r="Q28" t="s">
        <v>124</v>
      </c>
      <c r="R28" t="b">
        <v>0</v>
      </c>
      <c r="S28" t="s">
        <v>2981</v>
      </c>
    </row>
    <row r="29" spans="1:19" ht="11.25" customHeight="1">
      <c r="A29">
        <v>2655</v>
      </c>
      <c r="B29" t="s">
        <v>101</v>
      </c>
      <c r="C29">
        <v>31241680</v>
      </c>
      <c r="D29" t="s">
        <v>3237</v>
      </c>
      <c r="E29" t="s">
        <v>3238</v>
      </c>
      <c r="F29" t="s">
        <v>3239</v>
      </c>
      <c r="G29" t="s">
        <v>3151</v>
      </c>
      <c r="H29" t="s">
        <v>3240</v>
      </c>
      <c r="I29" t="s">
        <v>3241</v>
      </c>
      <c r="J29" t="s">
        <v>127</v>
      </c>
      <c r="K29" t="s">
        <v>3242</v>
      </c>
      <c r="L29" t="s">
        <v>3242</v>
      </c>
      <c r="M29" t="s">
        <v>3243</v>
      </c>
      <c r="N29" t="s">
        <v>3244</v>
      </c>
      <c r="O29" t="s">
        <v>3245</v>
      </c>
      <c r="P29" t="s">
        <v>144</v>
      </c>
      <c r="Q29" t="s">
        <v>3246</v>
      </c>
      <c r="R29" t="b">
        <v>0</v>
      </c>
      <c r="S29" t="s">
        <v>2981</v>
      </c>
    </row>
    <row r="30" spans="1:19" ht="11.25" customHeight="1">
      <c r="A30">
        <v>2655</v>
      </c>
      <c r="B30" t="s">
        <v>101</v>
      </c>
      <c r="C30">
        <v>31579664</v>
      </c>
      <c r="D30" t="s">
        <v>3247</v>
      </c>
      <c r="E30" t="s">
        <v>3248</v>
      </c>
      <c r="F30" t="s">
        <v>3249</v>
      </c>
      <c r="G30" t="s">
        <v>3064</v>
      </c>
      <c r="H30" t="s">
        <v>3250</v>
      </c>
      <c r="I30" t="s">
        <v>3251</v>
      </c>
      <c r="K30" t="s">
        <v>3252</v>
      </c>
      <c r="L30" t="s">
        <v>3253</v>
      </c>
      <c r="M30" t="s">
        <v>3254</v>
      </c>
      <c r="N30" t="s">
        <v>124</v>
      </c>
      <c r="O30" t="s">
        <v>3255</v>
      </c>
      <c r="P30" t="s">
        <v>3117</v>
      </c>
      <c r="Q30" t="s">
        <v>3256</v>
      </c>
      <c r="R30" t="b">
        <v>1</v>
      </c>
      <c r="S30" t="s">
        <v>2981</v>
      </c>
    </row>
    <row r="31" spans="1:19" ht="11.25" customHeight="1">
      <c r="A31">
        <v>2655</v>
      </c>
      <c r="B31" t="s">
        <v>101</v>
      </c>
      <c r="C31">
        <v>26322895</v>
      </c>
      <c r="D31" t="s">
        <v>3257</v>
      </c>
      <c r="E31" t="s">
        <v>3258</v>
      </c>
      <c r="F31" t="s">
        <v>3259</v>
      </c>
      <c r="G31" t="s">
        <v>2985</v>
      </c>
      <c r="H31" t="s">
        <v>3260</v>
      </c>
      <c r="I31" t="s">
        <v>3261</v>
      </c>
      <c r="J31" t="s">
        <v>3055</v>
      </c>
      <c r="K31" t="s">
        <v>3262</v>
      </c>
      <c r="L31" t="s">
        <v>3262</v>
      </c>
      <c r="M31" t="s">
        <v>3263</v>
      </c>
      <c r="N31" t="s">
        <v>3264</v>
      </c>
      <c r="O31" t="s">
        <v>3265</v>
      </c>
      <c r="P31" t="s">
        <v>3060</v>
      </c>
      <c r="Q31" t="s">
        <v>3266</v>
      </c>
      <c r="R31" t="b">
        <v>0</v>
      </c>
      <c r="S31" t="s">
        <v>2981</v>
      </c>
    </row>
    <row r="32" spans="1:19" ht="11.25" customHeight="1">
      <c r="A32">
        <v>2655</v>
      </c>
      <c r="B32" t="s">
        <v>101</v>
      </c>
      <c r="C32">
        <v>28119331</v>
      </c>
      <c r="D32" t="s">
        <v>3267</v>
      </c>
      <c r="E32" t="s">
        <v>3268</v>
      </c>
      <c r="F32" t="s">
        <v>3269</v>
      </c>
      <c r="G32" t="s">
        <v>2985</v>
      </c>
      <c r="H32" t="s">
        <v>3270</v>
      </c>
      <c r="I32" t="s">
        <v>124</v>
      </c>
      <c r="J32" t="s">
        <v>3271</v>
      </c>
      <c r="K32" t="s">
        <v>3272</v>
      </c>
      <c r="L32" t="s">
        <v>3272</v>
      </c>
      <c r="M32" t="s">
        <v>3273</v>
      </c>
      <c r="N32" t="s">
        <v>124</v>
      </c>
      <c r="O32" t="s">
        <v>3274</v>
      </c>
      <c r="P32" t="s">
        <v>144</v>
      </c>
      <c r="Q32" t="s">
        <v>124</v>
      </c>
      <c r="R32" t="b">
        <v>1</v>
      </c>
      <c r="S32" t="s">
        <v>2981</v>
      </c>
    </row>
    <row r="33" spans="1:19" ht="11.25" customHeight="1">
      <c r="A33">
        <v>2655</v>
      </c>
      <c r="B33" t="s">
        <v>101</v>
      </c>
      <c r="C33">
        <v>31775146</v>
      </c>
      <c r="D33" t="s">
        <v>3275</v>
      </c>
      <c r="E33" t="s">
        <v>3276</v>
      </c>
      <c r="F33" t="s">
        <v>3277</v>
      </c>
      <c r="G33" t="s">
        <v>3278</v>
      </c>
      <c r="H33" t="s">
        <v>3279</v>
      </c>
      <c r="I33" t="s">
        <v>3280</v>
      </c>
      <c r="K33" t="s">
        <v>3281</v>
      </c>
      <c r="L33" t="s">
        <v>3281</v>
      </c>
      <c r="M33" t="s">
        <v>3282</v>
      </c>
      <c r="N33" t="s">
        <v>3283</v>
      </c>
      <c r="O33" t="s">
        <v>3284</v>
      </c>
      <c r="P33" t="s">
        <v>144</v>
      </c>
      <c r="Q33" t="s">
        <v>124</v>
      </c>
      <c r="R33" t="b">
        <v>1</v>
      </c>
      <c r="S33" t="s">
        <v>2981</v>
      </c>
    </row>
    <row r="34" spans="1:19" ht="11.25" customHeight="1">
      <c r="A34">
        <v>2655</v>
      </c>
      <c r="B34" t="s">
        <v>101</v>
      </c>
      <c r="C34">
        <v>28869965</v>
      </c>
      <c r="D34" t="s">
        <v>3285</v>
      </c>
      <c r="E34" t="s">
        <v>3286</v>
      </c>
      <c r="F34" t="s">
        <v>3287</v>
      </c>
      <c r="G34" t="s">
        <v>3109</v>
      </c>
      <c r="H34" t="s">
        <v>3288</v>
      </c>
      <c r="I34" t="s">
        <v>124</v>
      </c>
      <c r="J34" t="s">
        <v>3271</v>
      </c>
      <c r="K34" t="s">
        <v>3289</v>
      </c>
      <c r="L34" t="s">
        <v>3289</v>
      </c>
      <c r="M34" t="s">
        <v>3290</v>
      </c>
      <c r="N34" t="s">
        <v>3291</v>
      </c>
      <c r="O34" t="s">
        <v>3292</v>
      </c>
      <c r="P34" t="s">
        <v>3060</v>
      </c>
      <c r="Q34" t="s">
        <v>3293</v>
      </c>
      <c r="R34" t="b">
        <v>0</v>
      </c>
      <c r="S34" t="s">
        <v>2981</v>
      </c>
    </row>
    <row r="35" spans="1:19" ht="11.25" customHeight="1">
      <c r="A35">
        <v>2655</v>
      </c>
      <c r="B35" t="s">
        <v>101</v>
      </c>
      <c r="C35">
        <v>31356597</v>
      </c>
      <c r="D35" t="s">
        <v>3294</v>
      </c>
      <c r="E35" t="s">
        <v>3295</v>
      </c>
      <c r="F35" t="s">
        <v>3296</v>
      </c>
      <c r="G35" t="s">
        <v>3179</v>
      </c>
      <c r="H35" t="s">
        <v>3297</v>
      </c>
      <c r="I35" t="s">
        <v>3298</v>
      </c>
      <c r="J35" t="s">
        <v>3271</v>
      </c>
      <c r="K35" t="s">
        <v>3299</v>
      </c>
      <c r="L35" t="s">
        <v>3299</v>
      </c>
      <c r="M35" t="s">
        <v>3300</v>
      </c>
      <c r="N35" t="s">
        <v>3301</v>
      </c>
      <c r="O35" t="s">
        <v>3302</v>
      </c>
      <c r="P35" t="s">
        <v>3060</v>
      </c>
      <c r="Q35" t="s">
        <v>124</v>
      </c>
      <c r="R35" t="b">
        <v>0</v>
      </c>
      <c r="S35" t="s">
        <v>2981</v>
      </c>
    </row>
    <row r="36" spans="1:19" ht="11.25" customHeight="1">
      <c r="A36">
        <v>2655</v>
      </c>
      <c r="B36" t="s">
        <v>101</v>
      </c>
      <c r="C36">
        <v>28136671</v>
      </c>
      <c r="D36" t="s">
        <v>3303</v>
      </c>
      <c r="E36" t="s">
        <v>3304</v>
      </c>
      <c r="F36" t="s">
        <v>3305</v>
      </c>
      <c r="G36" t="s">
        <v>3306</v>
      </c>
      <c r="H36" t="s">
        <v>3307</v>
      </c>
      <c r="I36" t="s">
        <v>3308</v>
      </c>
      <c r="J36" t="s">
        <v>3271</v>
      </c>
      <c r="K36" t="s">
        <v>3309</v>
      </c>
      <c r="L36" t="s">
        <v>3310</v>
      </c>
      <c r="M36" t="s">
        <v>3311</v>
      </c>
      <c r="N36" t="s">
        <v>3312</v>
      </c>
      <c r="O36" t="s">
        <v>3313</v>
      </c>
      <c r="P36" t="s">
        <v>2993</v>
      </c>
      <c r="Q36" t="s">
        <v>124</v>
      </c>
      <c r="R36" t="b">
        <v>1</v>
      </c>
      <c r="S36" t="s">
        <v>2981</v>
      </c>
    </row>
    <row r="37" spans="1:19" ht="11.25" customHeight="1">
      <c r="A37">
        <v>2655</v>
      </c>
      <c r="B37" t="s">
        <v>101</v>
      </c>
      <c r="C37">
        <v>30854705</v>
      </c>
      <c r="D37" t="s">
        <v>3314</v>
      </c>
      <c r="E37" t="s">
        <v>3315</v>
      </c>
      <c r="F37" t="s">
        <v>3316</v>
      </c>
      <c r="G37" t="s">
        <v>3008</v>
      </c>
      <c r="H37" t="s">
        <v>3317</v>
      </c>
      <c r="I37" t="s">
        <v>3318</v>
      </c>
      <c r="J37" t="s">
        <v>3271</v>
      </c>
      <c r="K37" t="s">
        <v>3319</v>
      </c>
      <c r="L37" t="s">
        <v>3319</v>
      </c>
      <c r="M37" t="s">
        <v>3320</v>
      </c>
      <c r="N37" t="s">
        <v>3321</v>
      </c>
      <c r="O37" t="s">
        <v>3322</v>
      </c>
      <c r="P37" t="s">
        <v>3060</v>
      </c>
      <c r="Q37" t="s">
        <v>215</v>
      </c>
      <c r="R37" t="b">
        <v>0</v>
      </c>
      <c r="S37" t="s">
        <v>2981</v>
      </c>
    </row>
    <row r="38" spans="1:19" ht="11.25" customHeight="1">
      <c r="A38">
        <v>2655</v>
      </c>
      <c r="B38" t="s">
        <v>101</v>
      </c>
      <c r="C38">
        <v>31656254</v>
      </c>
      <c r="D38" t="s">
        <v>3323</v>
      </c>
      <c r="E38" t="s">
        <v>3324</v>
      </c>
      <c r="F38" t="s">
        <v>3325</v>
      </c>
      <c r="G38" t="s">
        <v>3326</v>
      </c>
      <c r="H38" t="s">
        <v>3327</v>
      </c>
      <c r="I38" t="s">
        <v>3328</v>
      </c>
      <c r="K38" t="s">
        <v>3329</v>
      </c>
      <c r="L38" t="s">
        <v>3330</v>
      </c>
      <c r="M38" t="s">
        <v>3331</v>
      </c>
      <c r="N38" t="s">
        <v>3332</v>
      </c>
      <c r="O38" t="s">
        <v>3333</v>
      </c>
      <c r="P38" t="s">
        <v>3117</v>
      </c>
      <c r="Q38" t="s">
        <v>3334</v>
      </c>
      <c r="R38" t="b">
        <v>0</v>
      </c>
      <c r="S38" t="s">
        <v>2981</v>
      </c>
    </row>
    <row r="39" spans="1:19" ht="11.25" customHeight="1">
      <c r="A39">
        <v>2655</v>
      </c>
      <c r="B39" t="s">
        <v>101</v>
      </c>
      <c r="C39">
        <v>31424033</v>
      </c>
      <c r="D39" t="s">
        <v>3335</v>
      </c>
      <c r="E39" t="s">
        <v>3336</v>
      </c>
      <c r="F39" t="s">
        <v>3337</v>
      </c>
      <c r="G39" t="s">
        <v>3338</v>
      </c>
      <c r="H39" t="s">
        <v>3339</v>
      </c>
      <c r="I39" t="s">
        <v>124</v>
      </c>
      <c r="J39" t="s">
        <v>3271</v>
      </c>
      <c r="K39" t="s">
        <v>124</v>
      </c>
      <c r="L39" t="s">
        <v>124</v>
      </c>
      <c r="M39" t="s">
        <v>124</v>
      </c>
      <c r="N39" t="s">
        <v>124</v>
      </c>
      <c r="O39" t="s">
        <v>124</v>
      </c>
      <c r="P39" t="s">
        <v>124</v>
      </c>
      <c r="Q39" t="s">
        <v>124</v>
      </c>
      <c r="R39" t="b">
        <v>0</v>
      </c>
      <c r="S39" t="s">
        <v>2981</v>
      </c>
    </row>
    <row r="40" spans="1:19" ht="11.25" customHeight="1">
      <c r="A40">
        <v>2655</v>
      </c>
      <c r="B40" t="s">
        <v>101</v>
      </c>
      <c r="C40">
        <v>26428026</v>
      </c>
      <c r="D40" t="s">
        <v>3340</v>
      </c>
      <c r="E40" t="s">
        <v>3341</v>
      </c>
      <c r="F40" t="s">
        <v>3342</v>
      </c>
      <c r="G40" t="s">
        <v>3343</v>
      </c>
      <c r="H40" t="s">
        <v>3344</v>
      </c>
      <c r="I40" t="s">
        <v>124</v>
      </c>
      <c r="K40" t="s">
        <v>3345</v>
      </c>
      <c r="L40" t="s">
        <v>3345</v>
      </c>
      <c r="M40" t="s">
        <v>3346</v>
      </c>
      <c r="N40" t="s">
        <v>3347</v>
      </c>
      <c r="O40" t="s">
        <v>3348</v>
      </c>
      <c r="P40" t="s">
        <v>3117</v>
      </c>
      <c r="Q40" t="s">
        <v>124</v>
      </c>
      <c r="R40" t="b">
        <v>1</v>
      </c>
      <c r="S40" t="s">
        <v>2981</v>
      </c>
    </row>
    <row r="41" spans="1:19" ht="11.25" customHeight="1">
      <c r="A41">
        <v>2655</v>
      </c>
      <c r="B41" t="s">
        <v>101</v>
      </c>
      <c r="C41">
        <v>28151808</v>
      </c>
      <c r="D41" t="s">
        <v>3349</v>
      </c>
      <c r="E41" t="s">
        <v>3350</v>
      </c>
      <c r="F41" t="s">
        <v>3351</v>
      </c>
      <c r="G41" t="s">
        <v>3064</v>
      </c>
      <c r="H41" t="s">
        <v>3352</v>
      </c>
      <c r="I41" t="s">
        <v>3353</v>
      </c>
      <c r="J41" t="s">
        <v>3271</v>
      </c>
      <c r="K41" t="s">
        <v>3354</v>
      </c>
      <c r="L41" t="s">
        <v>3355</v>
      </c>
      <c r="M41" t="s">
        <v>3356</v>
      </c>
      <c r="N41" t="s">
        <v>3357</v>
      </c>
      <c r="O41" t="s">
        <v>3358</v>
      </c>
      <c r="P41" t="s">
        <v>3060</v>
      </c>
      <c r="Q41" t="s">
        <v>124</v>
      </c>
      <c r="R41" t="b">
        <v>1</v>
      </c>
      <c r="S41" t="s">
        <v>2981</v>
      </c>
    </row>
    <row r="42" spans="1:19" ht="11.25" customHeight="1">
      <c r="A42">
        <v>2655</v>
      </c>
      <c r="B42" t="s">
        <v>101</v>
      </c>
      <c r="C42">
        <v>31739633</v>
      </c>
      <c r="D42" t="s">
        <v>3359</v>
      </c>
      <c r="E42" t="s">
        <v>3360</v>
      </c>
      <c r="F42" t="s">
        <v>3361</v>
      </c>
      <c r="G42" t="s">
        <v>3362</v>
      </c>
      <c r="H42" t="s">
        <v>3363</v>
      </c>
      <c r="I42" t="s">
        <v>3364</v>
      </c>
      <c r="K42" t="s">
        <v>3365</v>
      </c>
      <c r="L42" t="s">
        <v>3365</v>
      </c>
      <c r="M42" t="s">
        <v>3366</v>
      </c>
      <c r="N42" t="s">
        <v>3367</v>
      </c>
      <c r="O42" t="s">
        <v>3368</v>
      </c>
      <c r="P42" t="s">
        <v>144</v>
      </c>
      <c r="Q42" t="s">
        <v>124</v>
      </c>
      <c r="R42" t="b">
        <v>0</v>
      </c>
      <c r="S42" t="s">
        <v>2981</v>
      </c>
    </row>
    <row r="43" spans="1:19" ht="11.25" customHeight="1">
      <c r="A43">
        <v>2655</v>
      </c>
      <c r="B43" t="s">
        <v>101</v>
      </c>
      <c r="C43">
        <v>31541617</v>
      </c>
      <c r="D43" t="s">
        <v>3369</v>
      </c>
      <c r="E43" t="s">
        <v>3370</v>
      </c>
      <c r="F43" t="s">
        <v>3371</v>
      </c>
      <c r="G43" t="s">
        <v>3372</v>
      </c>
      <c r="H43" t="s">
        <v>3373</v>
      </c>
      <c r="I43" t="s">
        <v>3374</v>
      </c>
      <c r="K43" t="s">
        <v>3375</v>
      </c>
      <c r="L43" t="s">
        <v>3375</v>
      </c>
      <c r="M43" t="s">
        <v>3376</v>
      </c>
      <c r="N43" t="s">
        <v>3377</v>
      </c>
      <c r="O43" t="s">
        <v>3378</v>
      </c>
      <c r="P43" t="s">
        <v>144</v>
      </c>
      <c r="Q43" t="s">
        <v>124</v>
      </c>
      <c r="R43" t="b">
        <v>1</v>
      </c>
      <c r="S43" t="s">
        <v>2981</v>
      </c>
    </row>
    <row r="44" spans="1:19" ht="11.25" customHeight="1">
      <c r="A44">
        <v>2655</v>
      </c>
      <c r="B44" t="s">
        <v>101</v>
      </c>
      <c r="C44">
        <v>26356987</v>
      </c>
      <c r="D44" t="s">
        <v>3379</v>
      </c>
      <c r="E44" t="s">
        <v>3380</v>
      </c>
      <c r="F44" t="s">
        <v>3381</v>
      </c>
      <c r="G44" t="s">
        <v>3382</v>
      </c>
      <c r="H44" t="s">
        <v>3383</v>
      </c>
      <c r="I44" t="s">
        <v>3384</v>
      </c>
      <c r="J44" t="s">
        <v>3271</v>
      </c>
      <c r="K44" t="s">
        <v>3385</v>
      </c>
      <c r="L44" t="s">
        <v>3385</v>
      </c>
      <c r="M44" t="s">
        <v>3386</v>
      </c>
      <c r="N44" t="s">
        <v>3387</v>
      </c>
      <c r="O44" t="s">
        <v>3388</v>
      </c>
      <c r="P44" t="s">
        <v>144</v>
      </c>
      <c r="Q44" t="s">
        <v>3389</v>
      </c>
      <c r="R44" t="b">
        <v>0</v>
      </c>
      <c r="S44" t="s">
        <v>2981</v>
      </c>
    </row>
    <row r="45" spans="1:19" ht="11.25" customHeight="1">
      <c r="A45">
        <v>2655</v>
      </c>
      <c r="B45" t="s">
        <v>101</v>
      </c>
      <c r="C45">
        <v>26356891</v>
      </c>
      <c r="D45" t="s">
        <v>3390</v>
      </c>
      <c r="E45" t="s">
        <v>3391</v>
      </c>
      <c r="F45" t="s">
        <v>3392</v>
      </c>
      <c r="G45" t="s">
        <v>122</v>
      </c>
      <c r="H45" t="s">
        <v>3393</v>
      </c>
      <c r="I45" t="s">
        <v>3394</v>
      </c>
      <c r="J45" t="s">
        <v>3271</v>
      </c>
      <c r="K45" t="s">
        <v>3395</v>
      </c>
      <c r="L45" t="s">
        <v>3395</v>
      </c>
      <c r="M45" t="s">
        <v>3396</v>
      </c>
      <c r="N45" t="s">
        <v>3397</v>
      </c>
      <c r="O45" t="s">
        <v>3398</v>
      </c>
      <c r="P45" t="s">
        <v>3117</v>
      </c>
      <c r="Q45" t="s">
        <v>124</v>
      </c>
      <c r="R45" t="b">
        <v>0</v>
      </c>
      <c r="S45" t="s">
        <v>2981</v>
      </c>
    </row>
    <row r="46" spans="1:19" ht="11.25" customHeight="1">
      <c r="A46">
        <v>2655</v>
      </c>
      <c r="B46" t="s">
        <v>101</v>
      </c>
      <c r="C46">
        <v>31241637</v>
      </c>
      <c r="D46" t="s">
        <v>3399</v>
      </c>
      <c r="E46" t="s">
        <v>3400</v>
      </c>
      <c r="F46" t="s">
        <v>3401</v>
      </c>
      <c r="G46" t="s">
        <v>3220</v>
      </c>
      <c r="H46" t="s">
        <v>3402</v>
      </c>
      <c r="I46" t="s">
        <v>3403</v>
      </c>
      <c r="J46" t="s">
        <v>3271</v>
      </c>
      <c r="K46" t="s">
        <v>3404</v>
      </c>
      <c r="L46" t="s">
        <v>3404</v>
      </c>
      <c r="M46" t="s">
        <v>3405</v>
      </c>
      <c r="N46" t="s">
        <v>124</v>
      </c>
      <c r="O46" t="s">
        <v>3406</v>
      </c>
      <c r="P46" t="s">
        <v>144</v>
      </c>
      <c r="Q46" t="s">
        <v>124</v>
      </c>
      <c r="R46" t="b">
        <v>0</v>
      </c>
      <c r="S46" t="s">
        <v>2981</v>
      </c>
    </row>
    <row r="47" spans="1:19" ht="11.25" customHeight="1">
      <c r="A47">
        <v>2655</v>
      </c>
      <c r="B47" t="s">
        <v>101</v>
      </c>
      <c r="C47">
        <v>26356937</v>
      </c>
      <c r="D47" t="s">
        <v>3407</v>
      </c>
      <c r="E47" t="s">
        <v>3408</v>
      </c>
      <c r="F47" t="s">
        <v>3409</v>
      </c>
      <c r="G47" t="s">
        <v>3278</v>
      </c>
      <c r="H47" t="s">
        <v>3410</v>
      </c>
      <c r="I47" t="s">
        <v>3411</v>
      </c>
      <c r="J47" t="s">
        <v>3271</v>
      </c>
      <c r="K47" t="s">
        <v>3412</v>
      </c>
      <c r="L47" t="s">
        <v>3412</v>
      </c>
      <c r="M47" t="s">
        <v>3413</v>
      </c>
      <c r="N47" t="s">
        <v>3414</v>
      </c>
      <c r="O47" t="s">
        <v>3415</v>
      </c>
      <c r="P47" t="s">
        <v>144</v>
      </c>
      <c r="Q47" t="s">
        <v>3416</v>
      </c>
      <c r="R47" t="b">
        <v>0</v>
      </c>
      <c r="S47" t="s">
        <v>2981</v>
      </c>
    </row>
    <row r="48" spans="1:19" ht="11.25" customHeight="1">
      <c r="A48">
        <v>2655</v>
      </c>
      <c r="B48" t="s">
        <v>101</v>
      </c>
      <c r="C48">
        <v>31770754</v>
      </c>
      <c r="D48" t="s">
        <v>3417</v>
      </c>
      <c r="E48" t="s">
        <v>3418</v>
      </c>
      <c r="F48" t="s">
        <v>3419</v>
      </c>
      <c r="G48" t="s">
        <v>3362</v>
      </c>
      <c r="H48" t="s">
        <v>3420</v>
      </c>
      <c r="I48" t="s">
        <v>3421</v>
      </c>
      <c r="K48" t="s">
        <v>3422</v>
      </c>
      <c r="L48" t="s">
        <v>3423</v>
      </c>
      <c r="M48" t="s">
        <v>3424</v>
      </c>
      <c r="N48" t="s">
        <v>3425</v>
      </c>
      <c r="O48" t="s">
        <v>3426</v>
      </c>
      <c r="P48" t="s">
        <v>3117</v>
      </c>
      <c r="Q48" t="s">
        <v>124</v>
      </c>
      <c r="R48" t="b">
        <v>1</v>
      </c>
      <c r="S48" t="s">
        <v>2981</v>
      </c>
    </row>
    <row r="49" spans="1:19" ht="11.25" customHeight="1">
      <c r="A49">
        <v>2655</v>
      </c>
      <c r="B49" t="s">
        <v>101</v>
      </c>
      <c r="C49">
        <v>31528492</v>
      </c>
      <c r="D49" t="s">
        <v>3427</v>
      </c>
      <c r="E49" t="s">
        <v>3428</v>
      </c>
      <c r="F49" t="s">
        <v>3429</v>
      </c>
      <c r="G49" t="s">
        <v>3220</v>
      </c>
      <c r="H49" t="s">
        <v>3430</v>
      </c>
      <c r="I49" t="s">
        <v>3431</v>
      </c>
      <c r="K49" t="s">
        <v>3432</v>
      </c>
      <c r="L49" t="s">
        <v>3432</v>
      </c>
      <c r="M49" t="s">
        <v>3433</v>
      </c>
      <c r="N49" t="s">
        <v>3434</v>
      </c>
      <c r="O49" t="s">
        <v>3435</v>
      </c>
      <c r="P49" t="s">
        <v>2993</v>
      </c>
      <c r="Q49" t="s">
        <v>124</v>
      </c>
      <c r="R49" t="b">
        <v>0</v>
      </c>
      <c r="S49" t="s">
        <v>2981</v>
      </c>
    </row>
    <row r="50" spans="1:19" ht="11.25" customHeight="1">
      <c r="A50">
        <v>2655</v>
      </c>
      <c r="B50" t="s">
        <v>101</v>
      </c>
      <c r="C50">
        <v>28270293</v>
      </c>
      <c r="D50" t="s">
        <v>3436</v>
      </c>
      <c r="E50" t="s">
        <v>3437</v>
      </c>
      <c r="F50" t="s">
        <v>3438</v>
      </c>
      <c r="G50" t="s">
        <v>122</v>
      </c>
      <c r="H50" t="s">
        <v>3439</v>
      </c>
      <c r="I50" t="s">
        <v>3440</v>
      </c>
      <c r="J50" t="s">
        <v>3271</v>
      </c>
      <c r="K50" t="s">
        <v>3441</v>
      </c>
      <c r="L50" t="s">
        <v>3441</v>
      </c>
      <c r="M50" t="s">
        <v>3442</v>
      </c>
      <c r="N50" t="s">
        <v>3443</v>
      </c>
      <c r="O50" t="s">
        <v>3444</v>
      </c>
      <c r="P50" t="s">
        <v>3060</v>
      </c>
      <c r="Q50" t="s">
        <v>124</v>
      </c>
      <c r="R50" t="b">
        <v>0</v>
      </c>
      <c r="S50" t="s">
        <v>2981</v>
      </c>
    </row>
    <row r="51" spans="1:19" ht="11.25" customHeight="1">
      <c r="A51">
        <v>2655</v>
      </c>
      <c r="B51" t="s">
        <v>101</v>
      </c>
      <c r="C51">
        <v>28873362</v>
      </c>
      <c r="D51" t="s">
        <v>3445</v>
      </c>
      <c r="E51" t="s">
        <v>3446</v>
      </c>
      <c r="F51" t="s">
        <v>3447</v>
      </c>
      <c r="G51" t="s">
        <v>2985</v>
      </c>
      <c r="H51" t="s">
        <v>3448</v>
      </c>
      <c r="I51" t="s">
        <v>3449</v>
      </c>
      <c r="J51" t="s">
        <v>3271</v>
      </c>
      <c r="K51" t="s">
        <v>3450</v>
      </c>
      <c r="L51" t="s">
        <v>3450</v>
      </c>
      <c r="M51" t="s">
        <v>3451</v>
      </c>
      <c r="N51" t="s">
        <v>3452</v>
      </c>
      <c r="O51" t="s">
        <v>3453</v>
      </c>
      <c r="P51" t="s">
        <v>3117</v>
      </c>
      <c r="Q51" t="s">
        <v>3454</v>
      </c>
      <c r="R51" t="b">
        <v>0</v>
      </c>
      <c r="S51" t="s">
        <v>2981</v>
      </c>
    </row>
    <row r="52" spans="1:19" ht="11.25" customHeight="1">
      <c r="A52">
        <v>2655</v>
      </c>
      <c r="B52" t="s">
        <v>101</v>
      </c>
      <c r="C52">
        <v>28976681</v>
      </c>
      <c r="D52" t="s">
        <v>3455</v>
      </c>
      <c r="E52" t="s">
        <v>3456</v>
      </c>
      <c r="F52" t="s">
        <v>3457</v>
      </c>
      <c r="G52" t="s">
        <v>122</v>
      </c>
      <c r="H52" t="s">
        <v>3458</v>
      </c>
      <c r="I52" t="s">
        <v>3459</v>
      </c>
      <c r="J52" t="s">
        <v>3271</v>
      </c>
      <c r="K52" t="s">
        <v>3460</v>
      </c>
      <c r="L52" t="s">
        <v>3460</v>
      </c>
      <c r="M52" t="s">
        <v>3461</v>
      </c>
      <c r="N52" t="s">
        <v>124</v>
      </c>
      <c r="O52" t="s">
        <v>3462</v>
      </c>
      <c r="P52" t="s">
        <v>3117</v>
      </c>
      <c r="Q52" t="s">
        <v>124</v>
      </c>
      <c r="R52" t="b">
        <v>1</v>
      </c>
      <c r="S52" t="s">
        <v>2981</v>
      </c>
    </row>
    <row r="53" spans="1:19" ht="11.25" customHeight="1">
      <c r="A53">
        <v>2655</v>
      </c>
      <c r="B53" t="s">
        <v>101</v>
      </c>
      <c r="C53">
        <v>30992391</v>
      </c>
      <c r="D53" t="s">
        <v>3463</v>
      </c>
      <c r="E53" t="s">
        <v>3464</v>
      </c>
      <c r="F53" t="s">
        <v>3465</v>
      </c>
      <c r="G53" t="s">
        <v>3109</v>
      </c>
      <c r="H53" t="s">
        <v>3466</v>
      </c>
      <c r="I53" t="s">
        <v>3467</v>
      </c>
      <c r="J53" t="s">
        <v>3271</v>
      </c>
      <c r="K53" t="s">
        <v>3468</v>
      </c>
      <c r="L53" t="s">
        <v>3469</v>
      </c>
      <c r="M53" t="s">
        <v>3470</v>
      </c>
      <c r="N53" t="s">
        <v>3471</v>
      </c>
      <c r="O53" t="s">
        <v>3472</v>
      </c>
      <c r="P53" t="s">
        <v>3117</v>
      </c>
      <c r="Q53" t="s">
        <v>3473</v>
      </c>
      <c r="R53" t="b">
        <v>0</v>
      </c>
      <c r="S53" t="s">
        <v>2981</v>
      </c>
    </row>
    <row r="54" spans="1:19" ht="11.25" customHeight="1">
      <c r="A54">
        <v>2655</v>
      </c>
      <c r="B54" t="s">
        <v>101</v>
      </c>
      <c r="C54">
        <v>26853991</v>
      </c>
      <c r="D54" t="s">
        <v>3474</v>
      </c>
      <c r="E54" t="s">
        <v>3475</v>
      </c>
      <c r="F54" t="s">
        <v>3476</v>
      </c>
      <c r="G54" t="s">
        <v>3477</v>
      </c>
      <c r="H54" t="s">
        <v>3478</v>
      </c>
      <c r="I54" t="s">
        <v>3479</v>
      </c>
      <c r="J54" t="s">
        <v>2973</v>
      </c>
      <c r="K54" t="s">
        <v>124</v>
      </c>
      <c r="L54" t="s">
        <v>3480</v>
      </c>
      <c r="M54" t="s">
        <v>3481</v>
      </c>
      <c r="N54" t="s">
        <v>3482</v>
      </c>
      <c r="O54" t="s">
        <v>3483</v>
      </c>
      <c r="P54" t="s">
        <v>3026</v>
      </c>
      <c r="Q54" t="s">
        <v>124</v>
      </c>
      <c r="R54" t="b">
        <v>0</v>
      </c>
      <c r="S54" t="s">
        <v>2981</v>
      </c>
    </row>
    <row r="55" spans="1:19" ht="11.25" customHeight="1">
      <c r="A55">
        <v>2655</v>
      </c>
      <c r="B55" t="s">
        <v>101</v>
      </c>
      <c r="C55">
        <v>30808511</v>
      </c>
      <c r="D55" t="s">
        <v>3484</v>
      </c>
      <c r="E55" t="s">
        <v>3484</v>
      </c>
      <c r="F55" t="s">
        <v>3485</v>
      </c>
      <c r="G55" t="s">
        <v>3486</v>
      </c>
      <c r="H55" t="s">
        <v>3487</v>
      </c>
      <c r="I55" t="s">
        <v>3488</v>
      </c>
      <c r="J55" t="s">
        <v>3489</v>
      </c>
      <c r="K55" t="s">
        <v>3490</v>
      </c>
      <c r="L55" t="s">
        <v>3491</v>
      </c>
      <c r="M55" t="s">
        <v>3492</v>
      </c>
      <c r="N55" t="s">
        <v>124</v>
      </c>
      <c r="O55" t="s">
        <v>3493</v>
      </c>
      <c r="P55" t="s">
        <v>3117</v>
      </c>
      <c r="Q55" t="s">
        <v>3494</v>
      </c>
      <c r="R55" t="b">
        <v>0</v>
      </c>
      <c r="S55" t="s">
        <v>2981</v>
      </c>
    </row>
    <row r="56" spans="1:19" ht="11.25" customHeight="1">
      <c r="A56">
        <v>2655</v>
      </c>
      <c r="B56" t="s">
        <v>101</v>
      </c>
      <c r="C56">
        <v>26987067</v>
      </c>
      <c r="D56" t="s">
        <v>3495</v>
      </c>
      <c r="E56" t="s">
        <v>124</v>
      </c>
      <c r="F56" t="s">
        <v>3485</v>
      </c>
      <c r="G56" t="s">
        <v>3496</v>
      </c>
      <c r="H56" t="s">
        <v>3487</v>
      </c>
      <c r="I56" t="s">
        <v>124</v>
      </c>
      <c r="J56" t="s">
        <v>3055</v>
      </c>
      <c r="K56" t="s">
        <v>3497</v>
      </c>
      <c r="L56" t="s">
        <v>3498</v>
      </c>
      <c r="M56" t="s">
        <v>124</v>
      </c>
      <c r="N56" t="s">
        <v>124</v>
      </c>
      <c r="O56" t="s">
        <v>124</v>
      </c>
      <c r="P56" t="s">
        <v>124</v>
      </c>
      <c r="Q56" t="s">
        <v>124</v>
      </c>
      <c r="R56" t="b">
        <v>0</v>
      </c>
      <c r="S56" t="s">
        <v>2981</v>
      </c>
    </row>
    <row r="57" spans="1:19" ht="11.25" customHeight="1">
      <c r="A57">
        <v>2655</v>
      </c>
      <c r="B57" t="s">
        <v>101</v>
      </c>
      <c r="C57">
        <v>26520873</v>
      </c>
      <c r="D57" t="s">
        <v>3499</v>
      </c>
      <c r="E57" t="s">
        <v>3500</v>
      </c>
      <c r="F57" t="s">
        <v>3485</v>
      </c>
      <c r="G57" t="s">
        <v>3501</v>
      </c>
      <c r="H57" t="s">
        <v>3487</v>
      </c>
      <c r="I57" t="s">
        <v>3502</v>
      </c>
      <c r="J57" t="s">
        <v>3489</v>
      </c>
      <c r="K57" t="s">
        <v>3503</v>
      </c>
      <c r="L57" t="s">
        <v>3504</v>
      </c>
      <c r="M57" t="s">
        <v>3505</v>
      </c>
      <c r="N57" t="s">
        <v>3506</v>
      </c>
      <c r="O57" t="s">
        <v>3507</v>
      </c>
      <c r="P57" t="s">
        <v>3117</v>
      </c>
      <c r="Q57" t="s">
        <v>3508</v>
      </c>
      <c r="R57" t="b">
        <v>0</v>
      </c>
      <c r="S57" t="s">
        <v>2981</v>
      </c>
    </row>
    <row r="58" spans="1:19" ht="11.25" customHeight="1">
      <c r="A58">
        <v>2655</v>
      </c>
      <c r="B58" t="s">
        <v>101</v>
      </c>
      <c r="C58">
        <v>30984255</v>
      </c>
      <c r="D58" t="s">
        <v>3509</v>
      </c>
      <c r="E58" t="s">
        <v>3510</v>
      </c>
      <c r="F58" t="s">
        <v>3511</v>
      </c>
      <c r="G58" t="s">
        <v>3064</v>
      </c>
      <c r="H58" t="s">
        <v>3512</v>
      </c>
      <c r="I58" t="s">
        <v>3513</v>
      </c>
      <c r="J58" t="s">
        <v>3514</v>
      </c>
      <c r="K58" t="s">
        <v>3515</v>
      </c>
      <c r="L58" t="s">
        <v>3515</v>
      </c>
      <c r="M58" t="s">
        <v>3516</v>
      </c>
      <c r="N58" t="s">
        <v>3517</v>
      </c>
      <c r="O58" t="s">
        <v>3518</v>
      </c>
      <c r="P58" t="s">
        <v>3519</v>
      </c>
      <c r="Q58" t="s">
        <v>124</v>
      </c>
      <c r="R58" t="b">
        <v>0</v>
      </c>
      <c r="S58" t="s">
        <v>2981</v>
      </c>
    </row>
    <row r="59" spans="1:19" ht="11.25" customHeight="1">
      <c r="A59">
        <v>2655</v>
      </c>
      <c r="B59" t="s">
        <v>101</v>
      </c>
      <c r="C59">
        <v>28976938</v>
      </c>
      <c r="D59" t="s">
        <v>2967</v>
      </c>
      <c r="E59" t="s">
        <v>2968</v>
      </c>
      <c r="F59" t="s">
        <v>2969</v>
      </c>
      <c r="G59" t="s">
        <v>2970</v>
      </c>
      <c r="H59" t="s">
        <v>2971</v>
      </c>
      <c r="I59" t="s">
        <v>2972</v>
      </c>
      <c r="J59" t="s">
        <v>2973</v>
      </c>
      <c r="K59" t="s">
        <v>2974</v>
      </c>
      <c r="L59" t="s">
        <v>2975</v>
      </c>
      <c r="M59" t="s">
        <v>2976</v>
      </c>
      <c r="N59" t="s">
        <v>2977</v>
      </c>
      <c r="O59" t="s">
        <v>2978</v>
      </c>
      <c r="P59" t="s">
        <v>2979</v>
      </c>
      <c r="Q59" t="s">
        <v>2980</v>
      </c>
      <c r="R59" t="b">
        <v>0</v>
      </c>
      <c r="S59" t="s">
        <v>3520</v>
      </c>
    </row>
    <row r="60" spans="1:19" ht="11.25" customHeight="1">
      <c r="A60">
        <v>2655</v>
      </c>
      <c r="B60" t="s">
        <v>101</v>
      </c>
      <c r="C60">
        <v>26356915</v>
      </c>
      <c r="D60" t="s">
        <v>3521</v>
      </c>
      <c r="E60" t="s">
        <v>3522</v>
      </c>
      <c r="F60" t="s">
        <v>3523</v>
      </c>
      <c r="G60" t="s">
        <v>3197</v>
      </c>
      <c r="H60" t="s">
        <v>3524</v>
      </c>
      <c r="I60" t="s">
        <v>3525</v>
      </c>
      <c r="J60" t="s">
        <v>2973</v>
      </c>
      <c r="K60" t="s">
        <v>3526</v>
      </c>
      <c r="L60" t="s">
        <v>3526</v>
      </c>
      <c r="M60" t="s">
        <v>3527</v>
      </c>
      <c r="N60" t="s">
        <v>3528</v>
      </c>
      <c r="O60" t="s">
        <v>3529</v>
      </c>
      <c r="P60" t="s">
        <v>3060</v>
      </c>
      <c r="Q60" t="s">
        <v>215</v>
      </c>
      <c r="R60" t="b">
        <v>0</v>
      </c>
      <c r="S60" t="s">
        <v>3520</v>
      </c>
    </row>
    <row r="61" spans="1:19" ht="11.25" customHeight="1">
      <c r="A61">
        <v>2655</v>
      </c>
      <c r="B61" t="s">
        <v>101</v>
      </c>
      <c r="C61">
        <v>27857950</v>
      </c>
      <c r="D61" t="s">
        <v>3530</v>
      </c>
      <c r="E61" t="s">
        <v>3531</v>
      </c>
      <c r="F61" t="s">
        <v>3532</v>
      </c>
      <c r="G61" t="s">
        <v>3382</v>
      </c>
      <c r="H61" t="s">
        <v>3533</v>
      </c>
      <c r="I61" t="s">
        <v>124</v>
      </c>
      <c r="J61" t="s">
        <v>2973</v>
      </c>
      <c r="K61" t="s">
        <v>3534</v>
      </c>
      <c r="L61" t="s">
        <v>3534</v>
      </c>
      <c r="M61" t="s">
        <v>3535</v>
      </c>
      <c r="N61" t="s">
        <v>3536</v>
      </c>
      <c r="O61" t="s">
        <v>3537</v>
      </c>
      <c r="P61" t="s">
        <v>144</v>
      </c>
      <c r="Q61" t="s">
        <v>124</v>
      </c>
      <c r="R61" t="b">
        <v>1</v>
      </c>
      <c r="S61" t="s">
        <v>3520</v>
      </c>
    </row>
    <row r="62" spans="1:19" ht="11.25" customHeight="1">
      <c r="A62">
        <v>2655</v>
      </c>
      <c r="B62" t="s">
        <v>101</v>
      </c>
      <c r="C62">
        <v>26356963</v>
      </c>
      <c r="D62" t="s">
        <v>3005</v>
      </c>
      <c r="E62" t="s">
        <v>3006</v>
      </c>
      <c r="F62" t="s">
        <v>3007</v>
      </c>
      <c r="G62" t="s">
        <v>3008</v>
      </c>
      <c r="H62" t="s">
        <v>3009</v>
      </c>
      <c r="I62" t="s">
        <v>124</v>
      </c>
      <c r="J62" t="s">
        <v>2973</v>
      </c>
      <c r="K62" t="s">
        <v>3010</v>
      </c>
      <c r="L62" t="s">
        <v>3010</v>
      </c>
      <c r="M62" t="s">
        <v>3011</v>
      </c>
      <c r="N62" t="s">
        <v>3012</v>
      </c>
      <c r="O62" t="s">
        <v>3013</v>
      </c>
      <c r="P62" t="s">
        <v>3014</v>
      </c>
      <c r="Q62" t="s">
        <v>124</v>
      </c>
      <c r="R62" t="b">
        <v>0</v>
      </c>
      <c r="S62" t="s">
        <v>3520</v>
      </c>
    </row>
    <row r="63" spans="1:19" ht="11.25" customHeight="1">
      <c r="A63">
        <v>2655</v>
      </c>
      <c r="B63" t="s">
        <v>101</v>
      </c>
      <c r="C63">
        <v>26322889</v>
      </c>
      <c r="D63" t="s">
        <v>3015</v>
      </c>
      <c r="E63" t="s">
        <v>3016</v>
      </c>
      <c r="F63" t="s">
        <v>3017</v>
      </c>
      <c r="G63" t="s">
        <v>3018</v>
      </c>
      <c r="H63" t="s">
        <v>3019</v>
      </c>
      <c r="I63" t="s">
        <v>3020</v>
      </c>
      <c r="J63" t="s">
        <v>2973</v>
      </c>
      <c r="K63" t="s">
        <v>3021</v>
      </c>
      <c r="L63" t="s">
        <v>3022</v>
      </c>
      <c r="M63" t="s">
        <v>3023</v>
      </c>
      <c r="N63" t="s">
        <v>3024</v>
      </c>
      <c r="O63" t="s">
        <v>3025</v>
      </c>
      <c r="P63" t="s">
        <v>3026</v>
      </c>
      <c r="Q63" t="s">
        <v>3027</v>
      </c>
      <c r="R63" t="b">
        <v>0</v>
      </c>
      <c r="S63" t="s">
        <v>3520</v>
      </c>
    </row>
    <row r="64" spans="1:19" ht="11.25" customHeight="1">
      <c r="A64">
        <v>2655</v>
      </c>
      <c r="B64" t="s">
        <v>101</v>
      </c>
      <c r="C64">
        <v>31833446</v>
      </c>
      <c r="D64" t="s">
        <v>3538</v>
      </c>
      <c r="E64" t="s">
        <v>3539</v>
      </c>
      <c r="F64" t="s">
        <v>3540</v>
      </c>
      <c r="G64" t="s">
        <v>2985</v>
      </c>
      <c r="H64" t="s">
        <v>3541</v>
      </c>
      <c r="I64" t="s">
        <v>124</v>
      </c>
      <c r="K64" t="s">
        <v>124</v>
      </c>
      <c r="L64" t="s">
        <v>3542</v>
      </c>
      <c r="M64" t="s">
        <v>124</v>
      </c>
      <c r="N64" t="s">
        <v>124</v>
      </c>
      <c r="O64" t="s">
        <v>3543</v>
      </c>
      <c r="P64" t="s">
        <v>2993</v>
      </c>
      <c r="Q64" t="s">
        <v>124</v>
      </c>
      <c r="R64" t="b">
        <v>0</v>
      </c>
      <c r="S64" t="s">
        <v>3520</v>
      </c>
    </row>
    <row r="65" spans="1:19" ht="11.25" customHeight="1">
      <c r="A65">
        <v>2655</v>
      </c>
      <c r="B65" t="s">
        <v>101</v>
      </c>
      <c r="C65">
        <v>27820148</v>
      </c>
      <c r="D65" t="s">
        <v>3544</v>
      </c>
      <c r="E65" t="s">
        <v>3545</v>
      </c>
      <c r="F65" t="s">
        <v>3546</v>
      </c>
      <c r="G65" t="s">
        <v>3278</v>
      </c>
      <c r="H65" t="s">
        <v>3547</v>
      </c>
      <c r="I65" t="s">
        <v>3548</v>
      </c>
      <c r="J65" t="s">
        <v>2973</v>
      </c>
      <c r="K65" t="s">
        <v>3549</v>
      </c>
      <c r="L65" t="s">
        <v>3549</v>
      </c>
      <c r="M65" t="s">
        <v>3550</v>
      </c>
      <c r="N65" t="s">
        <v>3551</v>
      </c>
      <c r="O65" t="s">
        <v>3552</v>
      </c>
      <c r="P65" t="s">
        <v>3553</v>
      </c>
      <c r="Q65" t="s">
        <v>3554</v>
      </c>
      <c r="R65" t="b">
        <v>0</v>
      </c>
      <c r="S65" t="s">
        <v>3520</v>
      </c>
    </row>
    <row r="66" spans="1:19" ht="11.25" customHeight="1">
      <c r="A66">
        <v>2655</v>
      </c>
      <c r="B66" t="s">
        <v>101</v>
      </c>
      <c r="C66">
        <v>26322867</v>
      </c>
      <c r="D66" t="s">
        <v>3081</v>
      </c>
      <c r="E66" t="s">
        <v>3082</v>
      </c>
      <c r="F66" t="s">
        <v>3083</v>
      </c>
      <c r="G66" t="s">
        <v>3018</v>
      </c>
      <c r="H66" t="s">
        <v>3084</v>
      </c>
      <c r="I66" t="s">
        <v>3085</v>
      </c>
      <c r="J66" t="s">
        <v>2973</v>
      </c>
      <c r="K66" t="s">
        <v>3086</v>
      </c>
      <c r="L66" t="s">
        <v>3086</v>
      </c>
      <c r="M66" t="s">
        <v>3087</v>
      </c>
      <c r="N66" t="s">
        <v>3088</v>
      </c>
      <c r="O66" t="s">
        <v>3089</v>
      </c>
      <c r="P66" t="s">
        <v>3060</v>
      </c>
      <c r="Q66" t="s">
        <v>3090</v>
      </c>
      <c r="R66" t="b">
        <v>0</v>
      </c>
      <c r="S66" t="s">
        <v>3520</v>
      </c>
    </row>
    <row r="67" spans="1:19" ht="11.25" customHeight="1">
      <c r="A67">
        <v>2655</v>
      </c>
      <c r="B67" t="s">
        <v>101</v>
      </c>
      <c r="C67">
        <v>26824396</v>
      </c>
      <c r="D67" t="s">
        <v>3100</v>
      </c>
      <c r="E67" t="s">
        <v>3101</v>
      </c>
      <c r="F67" t="s">
        <v>3063</v>
      </c>
      <c r="G67" t="s">
        <v>3102</v>
      </c>
      <c r="H67" t="s">
        <v>3065</v>
      </c>
      <c r="I67" t="s">
        <v>124</v>
      </c>
      <c r="J67" t="s">
        <v>3055</v>
      </c>
      <c r="K67" t="s">
        <v>3103</v>
      </c>
      <c r="L67" t="s">
        <v>3103</v>
      </c>
      <c r="M67" t="s">
        <v>3104</v>
      </c>
      <c r="N67" t="s">
        <v>124</v>
      </c>
      <c r="O67" t="s">
        <v>3105</v>
      </c>
      <c r="P67" t="s">
        <v>3099</v>
      </c>
      <c r="Q67" t="s">
        <v>124</v>
      </c>
      <c r="R67" t="b">
        <v>0</v>
      </c>
      <c r="S67" t="s">
        <v>3520</v>
      </c>
    </row>
    <row r="68" spans="1:19" ht="11.25" customHeight="1">
      <c r="A68">
        <v>2655</v>
      </c>
      <c r="B68" t="s">
        <v>101</v>
      </c>
      <c r="C68">
        <v>30365193</v>
      </c>
      <c r="D68" t="s">
        <v>3555</v>
      </c>
      <c r="E68" t="s">
        <v>3556</v>
      </c>
      <c r="F68" t="s">
        <v>3557</v>
      </c>
      <c r="G68" t="s">
        <v>2985</v>
      </c>
      <c r="H68" t="s">
        <v>3558</v>
      </c>
      <c r="I68" t="s">
        <v>124</v>
      </c>
      <c r="J68" t="s">
        <v>3559</v>
      </c>
      <c r="K68" t="s">
        <v>3560</v>
      </c>
      <c r="L68" t="s">
        <v>3560</v>
      </c>
      <c r="M68" t="s">
        <v>124</v>
      </c>
      <c r="N68" t="s">
        <v>124</v>
      </c>
      <c r="O68" t="s">
        <v>3561</v>
      </c>
      <c r="P68" t="s">
        <v>3562</v>
      </c>
      <c r="Q68" t="s">
        <v>124</v>
      </c>
      <c r="R68" t="b">
        <v>0</v>
      </c>
      <c r="S68" t="s">
        <v>3520</v>
      </c>
    </row>
    <row r="69" spans="1:19" ht="11.25" customHeight="1">
      <c r="A69">
        <v>2655</v>
      </c>
      <c r="B69" t="s">
        <v>101</v>
      </c>
      <c r="C69">
        <v>31232672</v>
      </c>
      <c r="D69" t="s">
        <v>3106</v>
      </c>
      <c r="E69" t="s">
        <v>3107</v>
      </c>
      <c r="F69" t="s">
        <v>3108</v>
      </c>
      <c r="G69" t="s">
        <v>3109</v>
      </c>
      <c r="H69" t="s">
        <v>3110</v>
      </c>
      <c r="I69" t="s">
        <v>3111</v>
      </c>
      <c r="J69" t="s">
        <v>3112</v>
      </c>
      <c r="K69" t="s">
        <v>3113</v>
      </c>
      <c r="L69" t="s">
        <v>3113</v>
      </c>
      <c r="M69" t="s">
        <v>3114</v>
      </c>
      <c r="N69" t="s">
        <v>3115</v>
      </c>
      <c r="O69" t="s">
        <v>3116</v>
      </c>
      <c r="P69" t="s">
        <v>3117</v>
      </c>
      <c r="Q69" t="s">
        <v>124</v>
      </c>
      <c r="R69" t="b">
        <v>0</v>
      </c>
      <c r="S69" t="s">
        <v>3520</v>
      </c>
    </row>
    <row r="70" spans="1:19" ht="11.25" customHeight="1">
      <c r="A70">
        <v>2655</v>
      </c>
      <c r="B70" t="s">
        <v>101</v>
      </c>
      <c r="C70">
        <v>27978231</v>
      </c>
      <c r="D70" t="s">
        <v>3563</v>
      </c>
      <c r="E70" t="s">
        <v>3564</v>
      </c>
      <c r="F70" t="s">
        <v>3565</v>
      </c>
      <c r="G70" t="s">
        <v>3179</v>
      </c>
      <c r="H70" t="s">
        <v>3566</v>
      </c>
      <c r="I70" t="s">
        <v>3567</v>
      </c>
      <c r="J70" t="s">
        <v>3112</v>
      </c>
      <c r="K70" t="s">
        <v>3568</v>
      </c>
      <c r="L70" t="s">
        <v>3569</v>
      </c>
      <c r="M70" t="s">
        <v>3570</v>
      </c>
      <c r="N70" t="s">
        <v>124</v>
      </c>
      <c r="O70" t="s">
        <v>3571</v>
      </c>
      <c r="P70" t="s">
        <v>3117</v>
      </c>
      <c r="Q70" t="s">
        <v>124</v>
      </c>
      <c r="R70" t="b">
        <v>0</v>
      </c>
      <c r="S70" t="s">
        <v>3520</v>
      </c>
    </row>
    <row r="71" spans="1:19" ht="11.25" customHeight="1">
      <c r="A71">
        <v>2655</v>
      </c>
      <c r="B71" t="s">
        <v>101</v>
      </c>
      <c r="C71">
        <v>30808700</v>
      </c>
      <c r="D71" t="s">
        <v>3128</v>
      </c>
      <c r="E71" t="s">
        <v>3129</v>
      </c>
      <c r="F71" t="s">
        <v>3130</v>
      </c>
      <c r="G71" t="s">
        <v>3064</v>
      </c>
      <c r="H71" t="s">
        <v>3131</v>
      </c>
      <c r="I71" t="s">
        <v>3132</v>
      </c>
      <c r="J71" t="s">
        <v>127</v>
      </c>
      <c r="K71" t="s">
        <v>3133</v>
      </c>
      <c r="L71" t="s">
        <v>3134</v>
      </c>
      <c r="M71" t="s">
        <v>3135</v>
      </c>
      <c r="N71" t="s">
        <v>3136</v>
      </c>
      <c r="O71" t="s">
        <v>3137</v>
      </c>
      <c r="P71" t="s">
        <v>144</v>
      </c>
      <c r="Q71" t="s">
        <v>124</v>
      </c>
      <c r="R71" t="b">
        <v>1</v>
      </c>
      <c r="S71" t="s">
        <v>3520</v>
      </c>
    </row>
    <row r="72" spans="1:19" ht="11.25" customHeight="1">
      <c r="A72">
        <v>2655</v>
      </c>
      <c r="B72" t="s">
        <v>101</v>
      </c>
      <c r="C72">
        <v>31319221</v>
      </c>
      <c r="D72" t="s">
        <v>3138</v>
      </c>
      <c r="E72" t="s">
        <v>3139</v>
      </c>
      <c r="F72" t="s">
        <v>3140</v>
      </c>
      <c r="G72" t="s">
        <v>3121</v>
      </c>
      <c r="H72" t="s">
        <v>3141</v>
      </c>
      <c r="I72" t="s">
        <v>3142</v>
      </c>
      <c r="J72" t="s">
        <v>3112</v>
      </c>
      <c r="K72" t="s">
        <v>3143</v>
      </c>
      <c r="L72" t="s">
        <v>3144</v>
      </c>
      <c r="M72" t="s">
        <v>3145</v>
      </c>
      <c r="N72" t="s">
        <v>3146</v>
      </c>
      <c r="O72" t="s">
        <v>3147</v>
      </c>
      <c r="P72" t="s">
        <v>3117</v>
      </c>
      <c r="Q72" t="s">
        <v>124</v>
      </c>
      <c r="R72" t="b">
        <v>0</v>
      </c>
      <c r="S72" t="s">
        <v>3520</v>
      </c>
    </row>
    <row r="73" spans="1:19" ht="11.25" customHeight="1">
      <c r="A73">
        <v>2655</v>
      </c>
      <c r="B73" t="s">
        <v>101</v>
      </c>
      <c r="C73">
        <v>31419990</v>
      </c>
      <c r="D73" t="s">
        <v>3148</v>
      </c>
      <c r="E73" t="s">
        <v>3149</v>
      </c>
      <c r="F73" t="s">
        <v>3150</v>
      </c>
      <c r="G73" t="s">
        <v>3151</v>
      </c>
      <c r="H73" t="s">
        <v>3152</v>
      </c>
      <c r="I73" t="s">
        <v>3153</v>
      </c>
      <c r="J73" t="s">
        <v>3112</v>
      </c>
      <c r="K73" t="s">
        <v>3154</v>
      </c>
      <c r="L73" t="s">
        <v>3154</v>
      </c>
      <c r="M73" t="s">
        <v>3155</v>
      </c>
      <c r="N73" t="s">
        <v>3156</v>
      </c>
      <c r="O73" t="s">
        <v>3157</v>
      </c>
      <c r="P73" t="s">
        <v>3117</v>
      </c>
      <c r="Q73" t="s">
        <v>3158</v>
      </c>
      <c r="R73" t="b">
        <v>0</v>
      </c>
      <c r="S73" t="s">
        <v>3520</v>
      </c>
    </row>
    <row r="74" spans="1:19" ht="11.25" customHeight="1">
      <c r="A74">
        <v>2655</v>
      </c>
      <c r="B74" t="s">
        <v>101</v>
      </c>
      <c r="C74">
        <v>31343443</v>
      </c>
      <c r="D74" t="s">
        <v>3159</v>
      </c>
      <c r="E74" t="s">
        <v>3160</v>
      </c>
      <c r="F74" t="s">
        <v>3161</v>
      </c>
      <c r="G74" t="s">
        <v>3064</v>
      </c>
      <c r="H74" t="s">
        <v>3162</v>
      </c>
      <c r="I74" t="s">
        <v>3163</v>
      </c>
      <c r="J74" t="s">
        <v>3112</v>
      </c>
      <c r="K74" t="s">
        <v>3164</v>
      </c>
      <c r="L74" t="s">
        <v>3164</v>
      </c>
      <c r="N74" t="s">
        <v>3165</v>
      </c>
      <c r="O74" t="s">
        <v>3166</v>
      </c>
      <c r="P74" t="s">
        <v>144</v>
      </c>
      <c r="R74" t="b">
        <v>0</v>
      </c>
      <c r="S74" t="s">
        <v>3520</v>
      </c>
    </row>
    <row r="75" spans="1:19" ht="11.25" customHeight="1">
      <c r="A75">
        <v>2655</v>
      </c>
      <c r="B75" t="s">
        <v>101</v>
      </c>
      <c r="C75">
        <v>31367841</v>
      </c>
      <c r="D75" t="s">
        <v>3167</v>
      </c>
      <c r="E75" t="s">
        <v>3168</v>
      </c>
      <c r="F75" t="s">
        <v>3169</v>
      </c>
      <c r="G75" t="s">
        <v>3170</v>
      </c>
      <c r="H75" t="s">
        <v>3171</v>
      </c>
      <c r="I75" t="s">
        <v>3172</v>
      </c>
      <c r="J75" t="s">
        <v>127</v>
      </c>
      <c r="K75" t="s">
        <v>3173</v>
      </c>
      <c r="L75" t="s">
        <v>3173</v>
      </c>
      <c r="M75" t="s">
        <v>124</v>
      </c>
      <c r="N75" t="s">
        <v>3174</v>
      </c>
      <c r="O75" t="s">
        <v>3175</v>
      </c>
      <c r="P75" t="s">
        <v>3117</v>
      </c>
      <c r="Q75" t="s">
        <v>124</v>
      </c>
      <c r="R75" t="b">
        <v>0</v>
      </c>
      <c r="S75" t="s">
        <v>3520</v>
      </c>
    </row>
    <row r="76" spans="1:19" ht="11.25" customHeight="1">
      <c r="A76">
        <v>2655</v>
      </c>
      <c r="B76" t="s">
        <v>101</v>
      </c>
      <c r="C76">
        <v>31087651</v>
      </c>
      <c r="D76" t="s">
        <v>3176</v>
      </c>
      <c r="E76" t="s">
        <v>3177</v>
      </c>
      <c r="F76" t="s">
        <v>3178</v>
      </c>
      <c r="G76" t="s">
        <v>3179</v>
      </c>
      <c r="H76" t="s">
        <v>3180</v>
      </c>
      <c r="I76" t="s">
        <v>3181</v>
      </c>
      <c r="J76" t="s">
        <v>3112</v>
      </c>
      <c r="K76" t="s">
        <v>3182</v>
      </c>
      <c r="L76" t="s">
        <v>3182</v>
      </c>
      <c r="M76" t="s">
        <v>3183</v>
      </c>
      <c r="N76" t="s">
        <v>3184</v>
      </c>
      <c r="O76" t="s">
        <v>3185</v>
      </c>
      <c r="R76" t="b">
        <v>0</v>
      </c>
      <c r="S76" t="s">
        <v>3520</v>
      </c>
    </row>
    <row r="77" spans="1:19" ht="11.25" customHeight="1">
      <c r="A77">
        <v>2655</v>
      </c>
      <c r="B77" t="s">
        <v>101</v>
      </c>
      <c r="C77">
        <v>31367862</v>
      </c>
      <c r="D77" t="s">
        <v>3186</v>
      </c>
      <c r="E77" t="s">
        <v>3187</v>
      </c>
      <c r="F77" t="s">
        <v>3188</v>
      </c>
      <c r="G77" t="s">
        <v>3170</v>
      </c>
      <c r="H77" t="s">
        <v>3189</v>
      </c>
      <c r="I77" t="s">
        <v>3190</v>
      </c>
      <c r="J77" t="s">
        <v>3112</v>
      </c>
      <c r="K77" t="s">
        <v>3191</v>
      </c>
      <c r="L77" t="s">
        <v>3191</v>
      </c>
      <c r="M77" t="s">
        <v>124</v>
      </c>
      <c r="N77" t="s">
        <v>3192</v>
      </c>
      <c r="O77" t="s">
        <v>3193</v>
      </c>
      <c r="P77" t="s">
        <v>3117</v>
      </c>
      <c r="Q77" t="s">
        <v>124</v>
      </c>
      <c r="R77" t="b">
        <v>0</v>
      </c>
      <c r="S77" t="s">
        <v>3520</v>
      </c>
    </row>
    <row r="78" spans="1:19" ht="11.25" customHeight="1">
      <c r="A78">
        <v>2655</v>
      </c>
      <c r="B78" t="s">
        <v>101</v>
      </c>
      <c r="C78">
        <v>31329806</v>
      </c>
      <c r="D78" t="s">
        <v>3572</v>
      </c>
      <c r="E78" t="s">
        <v>3573</v>
      </c>
      <c r="F78" t="s">
        <v>3574</v>
      </c>
      <c r="G78" t="s">
        <v>3008</v>
      </c>
      <c r="H78" t="s">
        <v>3575</v>
      </c>
      <c r="I78" t="s">
        <v>3576</v>
      </c>
      <c r="J78" t="s">
        <v>127</v>
      </c>
      <c r="K78" t="s">
        <v>3577</v>
      </c>
      <c r="L78" t="s">
        <v>3577</v>
      </c>
      <c r="M78" t="s">
        <v>3578</v>
      </c>
      <c r="N78" t="s">
        <v>3579</v>
      </c>
      <c r="O78" t="s">
        <v>3580</v>
      </c>
      <c r="P78" t="s">
        <v>3117</v>
      </c>
      <c r="Q78" t="s">
        <v>124</v>
      </c>
      <c r="R78" t="b">
        <v>0</v>
      </c>
      <c r="S78" t="s">
        <v>3520</v>
      </c>
    </row>
    <row r="79" spans="1:19" ht="11.25" customHeight="1">
      <c r="A79">
        <v>2655</v>
      </c>
      <c r="B79" t="s">
        <v>101</v>
      </c>
      <c r="C79">
        <v>31003143</v>
      </c>
      <c r="D79" t="s">
        <v>3207</v>
      </c>
      <c r="E79" t="s">
        <v>3208</v>
      </c>
      <c r="F79" t="s">
        <v>3209</v>
      </c>
      <c r="G79" t="s">
        <v>122</v>
      </c>
      <c r="H79" t="s">
        <v>3210</v>
      </c>
      <c r="I79" t="s">
        <v>3211</v>
      </c>
      <c r="J79" t="s">
        <v>127</v>
      </c>
      <c r="K79" t="s">
        <v>3212</v>
      </c>
      <c r="L79" t="s">
        <v>3213</v>
      </c>
      <c r="M79" t="s">
        <v>3214</v>
      </c>
      <c r="N79" t="s">
        <v>3215</v>
      </c>
      <c r="O79" t="s">
        <v>3216</v>
      </c>
      <c r="P79" t="s">
        <v>3117</v>
      </c>
      <c r="Q79" t="s">
        <v>124</v>
      </c>
      <c r="R79" t="b">
        <v>1</v>
      </c>
      <c r="S79" t="s">
        <v>3520</v>
      </c>
    </row>
    <row r="80" spans="1:19" ht="11.25" customHeight="1">
      <c r="A80">
        <v>2655</v>
      </c>
      <c r="B80" t="s">
        <v>101</v>
      </c>
      <c r="C80">
        <v>31308226</v>
      </c>
      <c r="D80" t="s">
        <v>3217</v>
      </c>
      <c r="E80" t="s">
        <v>3218</v>
      </c>
      <c r="F80" t="s">
        <v>3219</v>
      </c>
      <c r="G80" t="s">
        <v>3220</v>
      </c>
      <c r="H80" t="s">
        <v>3221</v>
      </c>
      <c r="I80" t="s">
        <v>3222</v>
      </c>
      <c r="J80" t="s">
        <v>127</v>
      </c>
      <c r="K80" t="s">
        <v>3223</v>
      </c>
      <c r="L80" t="s">
        <v>3223</v>
      </c>
      <c r="M80" t="s">
        <v>3224</v>
      </c>
      <c r="N80" t="s">
        <v>3225</v>
      </c>
      <c r="O80" t="s">
        <v>3226</v>
      </c>
      <c r="P80" t="s">
        <v>144</v>
      </c>
      <c r="Q80" t="s">
        <v>124</v>
      </c>
      <c r="R80" t="b">
        <v>1</v>
      </c>
      <c r="S80" t="s">
        <v>3520</v>
      </c>
    </row>
    <row r="81" spans="1:19" ht="11.25" customHeight="1">
      <c r="A81">
        <v>2655</v>
      </c>
      <c r="B81" t="s">
        <v>101</v>
      </c>
      <c r="C81">
        <v>31284269</v>
      </c>
      <c r="D81" t="s">
        <v>3227</v>
      </c>
      <c r="E81" t="s">
        <v>3228</v>
      </c>
      <c r="F81" t="s">
        <v>3229</v>
      </c>
      <c r="G81" t="s">
        <v>3179</v>
      </c>
      <c r="H81" t="s">
        <v>3230</v>
      </c>
      <c r="I81" t="s">
        <v>3231</v>
      </c>
      <c r="J81" t="s">
        <v>127</v>
      </c>
      <c r="K81" t="s">
        <v>3232</v>
      </c>
      <c r="L81" t="s">
        <v>3233</v>
      </c>
      <c r="M81" t="s">
        <v>3234</v>
      </c>
      <c r="N81" t="s">
        <v>3235</v>
      </c>
      <c r="O81" t="s">
        <v>3236</v>
      </c>
      <c r="P81" t="s">
        <v>124</v>
      </c>
      <c r="Q81" t="s">
        <v>124</v>
      </c>
      <c r="R81" t="b">
        <v>0</v>
      </c>
      <c r="S81" t="s">
        <v>3520</v>
      </c>
    </row>
    <row r="82" spans="1:19" ht="11.25" customHeight="1">
      <c r="A82">
        <v>2655</v>
      </c>
      <c r="B82" t="s">
        <v>101</v>
      </c>
      <c r="C82">
        <v>31241680</v>
      </c>
      <c r="D82" t="s">
        <v>3237</v>
      </c>
      <c r="E82" t="s">
        <v>3238</v>
      </c>
      <c r="F82" t="s">
        <v>3239</v>
      </c>
      <c r="G82" t="s">
        <v>3151</v>
      </c>
      <c r="H82" t="s">
        <v>3240</v>
      </c>
      <c r="I82" t="s">
        <v>3241</v>
      </c>
      <c r="J82" t="s">
        <v>127</v>
      </c>
      <c r="K82" t="s">
        <v>3242</v>
      </c>
      <c r="L82" t="s">
        <v>3242</v>
      </c>
      <c r="M82" t="s">
        <v>3243</v>
      </c>
      <c r="N82" t="s">
        <v>3244</v>
      </c>
      <c r="O82" t="s">
        <v>3245</v>
      </c>
      <c r="P82" t="s">
        <v>144</v>
      </c>
      <c r="Q82" t="s">
        <v>3246</v>
      </c>
      <c r="R82" t="b">
        <v>0</v>
      </c>
      <c r="S82" t="s">
        <v>3520</v>
      </c>
    </row>
    <row r="83" spans="1:19" ht="11.25" customHeight="1">
      <c r="A83">
        <v>2655</v>
      </c>
      <c r="B83" t="s">
        <v>101</v>
      </c>
      <c r="C83">
        <v>31579664</v>
      </c>
      <c r="D83" t="s">
        <v>3247</v>
      </c>
      <c r="E83" t="s">
        <v>3248</v>
      </c>
      <c r="F83" t="s">
        <v>3249</v>
      </c>
      <c r="G83" t="s">
        <v>3064</v>
      </c>
      <c r="H83" t="s">
        <v>3250</v>
      </c>
      <c r="I83" t="s">
        <v>3251</v>
      </c>
      <c r="K83" t="s">
        <v>3252</v>
      </c>
      <c r="L83" t="s">
        <v>3253</v>
      </c>
      <c r="M83" t="s">
        <v>3254</v>
      </c>
      <c r="N83" t="s">
        <v>124</v>
      </c>
      <c r="O83" t="s">
        <v>3255</v>
      </c>
      <c r="P83" t="s">
        <v>3117</v>
      </c>
      <c r="Q83" t="s">
        <v>3256</v>
      </c>
      <c r="R83" t="b">
        <v>1</v>
      </c>
      <c r="S83" t="s">
        <v>3520</v>
      </c>
    </row>
    <row r="84" spans="1:19" ht="11.25" customHeight="1">
      <c r="A84">
        <v>2655</v>
      </c>
      <c r="B84" t="s">
        <v>101</v>
      </c>
      <c r="C84">
        <v>26322895</v>
      </c>
      <c r="D84" t="s">
        <v>3257</v>
      </c>
      <c r="E84" t="s">
        <v>3258</v>
      </c>
      <c r="F84" t="s">
        <v>3259</v>
      </c>
      <c r="G84" t="s">
        <v>2985</v>
      </c>
      <c r="H84" t="s">
        <v>3260</v>
      </c>
      <c r="I84" t="s">
        <v>3261</v>
      </c>
      <c r="J84" t="s">
        <v>3055</v>
      </c>
      <c r="K84" t="s">
        <v>3262</v>
      </c>
      <c r="L84" t="s">
        <v>3262</v>
      </c>
      <c r="M84" t="s">
        <v>3263</v>
      </c>
      <c r="N84" t="s">
        <v>3264</v>
      </c>
      <c r="O84" t="s">
        <v>3265</v>
      </c>
      <c r="P84" t="s">
        <v>3060</v>
      </c>
      <c r="Q84" t="s">
        <v>3266</v>
      </c>
      <c r="R84" t="b">
        <v>0</v>
      </c>
      <c r="S84" t="s">
        <v>3520</v>
      </c>
    </row>
    <row r="85" spans="1:19" ht="11.25" customHeight="1">
      <c r="A85">
        <v>2655</v>
      </c>
      <c r="B85" t="s">
        <v>101</v>
      </c>
      <c r="C85">
        <v>27784286</v>
      </c>
      <c r="D85" t="s">
        <v>3581</v>
      </c>
      <c r="E85" t="s">
        <v>3582</v>
      </c>
      <c r="F85" t="s">
        <v>3583</v>
      </c>
      <c r="G85" t="s">
        <v>3220</v>
      </c>
      <c r="H85" t="s">
        <v>3584</v>
      </c>
      <c r="I85" t="s">
        <v>3585</v>
      </c>
      <c r="K85" t="s">
        <v>3586</v>
      </c>
      <c r="L85" t="s">
        <v>3586</v>
      </c>
      <c r="M85" t="s">
        <v>3587</v>
      </c>
      <c r="N85" t="s">
        <v>3588</v>
      </c>
      <c r="O85" t="s">
        <v>3589</v>
      </c>
      <c r="P85" t="s">
        <v>3060</v>
      </c>
      <c r="Q85" t="s">
        <v>3590</v>
      </c>
      <c r="R85" t="b">
        <v>0</v>
      </c>
      <c r="S85" t="s">
        <v>3520</v>
      </c>
    </row>
    <row r="86" spans="1:19" ht="11.25" customHeight="1">
      <c r="A86">
        <v>2655</v>
      </c>
      <c r="B86" t="s">
        <v>101</v>
      </c>
      <c r="C86">
        <v>26428076</v>
      </c>
      <c r="D86" t="s">
        <v>3591</v>
      </c>
      <c r="E86" t="s">
        <v>3592</v>
      </c>
      <c r="F86" t="s">
        <v>3593</v>
      </c>
      <c r="G86" t="s">
        <v>122</v>
      </c>
      <c r="H86" t="s">
        <v>3594</v>
      </c>
      <c r="I86" t="s">
        <v>124</v>
      </c>
      <c r="K86" t="s">
        <v>3595</v>
      </c>
      <c r="L86" t="s">
        <v>3595</v>
      </c>
      <c r="M86" t="s">
        <v>3596</v>
      </c>
      <c r="N86" t="s">
        <v>3597</v>
      </c>
      <c r="O86" t="s">
        <v>124</v>
      </c>
      <c r="P86" t="s">
        <v>124</v>
      </c>
      <c r="Q86" t="s">
        <v>124</v>
      </c>
      <c r="R86" t="b">
        <v>0</v>
      </c>
      <c r="S86" t="s">
        <v>3520</v>
      </c>
    </row>
    <row r="87" spans="1:19" ht="11.25" customHeight="1">
      <c r="A87">
        <v>2655</v>
      </c>
      <c r="B87" t="s">
        <v>101</v>
      </c>
      <c r="C87">
        <v>28954370</v>
      </c>
      <c r="D87" t="s">
        <v>3598</v>
      </c>
      <c r="E87" t="s">
        <v>3599</v>
      </c>
      <c r="F87" t="s">
        <v>3600</v>
      </c>
      <c r="G87" t="s">
        <v>122</v>
      </c>
      <c r="H87" t="s">
        <v>3601</v>
      </c>
      <c r="I87" t="s">
        <v>3602</v>
      </c>
      <c r="J87" t="s">
        <v>3271</v>
      </c>
      <c r="K87" t="s">
        <v>3603</v>
      </c>
      <c r="L87" t="s">
        <v>3603</v>
      </c>
      <c r="M87" t="s">
        <v>3604</v>
      </c>
      <c r="N87" t="s">
        <v>3605</v>
      </c>
      <c r="O87" t="s">
        <v>3606</v>
      </c>
      <c r="P87" t="s">
        <v>3117</v>
      </c>
      <c r="Q87" t="s">
        <v>124</v>
      </c>
      <c r="R87" t="b">
        <v>1</v>
      </c>
      <c r="S87" t="s">
        <v>3520</v>
      </c>
    </row>
    <row r="88" spans="1:19" ht="11.25" customHeight="1">
      <c r="A88">
        <v>2655</v>
      </c>
      <c r="B88" t="s">
        <v>101</v>
      </c>
      <c r="C88">
        <v>31774016</v>
      </c>
      <c r="D88" t="s">
        <v>3607</v>
      </c>
      <c r="E88" t="s">
        <v>3608</v>
      </c>
      <c r="F88" t="s">
        <v>3609</v>
      </c>
      <c r="G88" t="s">
        <v>3220</v>
      </c>
      <c r="H88" t="s">
        <v>3610</v>
      </c>
      <c r="I88" t="s">
        <v>3611</v>
      </c>
      <c r="K88" t="s">
        <v>3612</v>
      </c>
      <c r="L88" t="s">
        <v>3613</v>
      </c>
      <c r="M88" t="s">
        <v>3614</v>
      </c>
      <c r="N88" t="s">
        <v>3615</v>
      </c>
      <c r="O88" t="s">
        <v>3616</v>
      </c>
      <c r="P88" t="s">
        <v>2993</v>
      </c>
      <c r="Q88" t="s">
        <v>124</v>
      </c>
      <c r="R88" t="b">
        <v>1</v>
      </c>
      <c r="S88" t="s">
        <v>3520</v>
      </c>
    </row>
    <row r="89" spans="1:19" ht="11.25" customHeight="1">
      <c r="A89">
        <v>2655</v>
      </c>
      <c r="B89" t="s">
        <v>101</v>
      </c>
      <c r="C89">
        <v>28869965</v>
      </c>
      <c r="D89" t="s">
        <v>3285</v>
      </c>
      <c r="E89" t="s">
        <v>3286</v>
      </c>
      <c r="F89" t="s">
        <v>3287</v>
      </c>
      <c r="G89" t="s">
        <v>3109</v>
      </c>
      <c r="H89" t="s">
        <v>3288</v>
      </c>
      <c r="I89" t="s">
        <v>124</v>
      </c>
      <c r="J89" t="s">
        <v>3271</v>
      </c>
      <c r="K89" t="s">
        <v>3289</v>
      </c>
      <c r="L89" t="s">
        <v>3289</v>
      </c>
      <c r="M89" t="s">
        <v>3290</v>
      </c>
      <c r="N89" t="s">
        <v>3291</v>
      </c>
      <c r="O89" t="s">
        <v>3292</v>
      </c>
      <c r="P89" t="s">
        <v>3060</v>
      </c>
      <c r="Q89" t="s">
        <v>3293</v>
      </c>
      <c r="R89" t="b">
        <v>0</v>
      </c>
      <c r="S89" t="s">
        <v>3520</v>
      </c>
    </row>
    <row r="90" spans="1:19" ht="11.25" customHeight="1">
      <c r="A90">
        <v>2655</v>
      </c>
      <c r="B90" t="s">
        <v>101</v>
      </c>
      <c r="C90">
        <v>28113313</v>
      </c>
      <c r="D90" t="s">
        <v>3617</v>
      </c>
      <c r="E90" t="s">
        <v>3618</v>
      </c>
      <c r="F90" t="s">
        <v>3619</v>
      </c>
      <c r="G90" t="s">
        <v>3306</v>
      </c>
      <c r="H90" t="s">
        <v>3620</v>
      </c>
      <c r="I90" t="s">
        <v>124</v>
      </c>
      <c r="J90" t="s">
        <v>3271</v>
      </c>
      <c r="K90" t="s">
        <v>3621</v>
      </c>
      <c r="L90" t="s">
        <v>3622</v>
      </c>
      <c r="M90" t="s">
        <v>124</v>
      </c>
      <c r="N90" t="s">
        <v>124</v>
      </c>
      <c r="O90" t="s">
        <v>3313</v>
      </c>
      <c r="P90" t="s">
        <v>2993</v>
      </c>
      <c r="Q90" t="s">
        <v>124</v>
      </c>
      <c r="R90" t="b">
        <v>1</v>
      </c>
      <c r="S90" t="s">
        <v>3520</v>
      </c>
    </row>
    <row r="91" spans="1:19" ht="11.25" customHeight="1">
      <c r="A91">
        <v>2655</v>
      </c>
      <c r="B91" t="s">
        <v>101</v>
      </c>
      <c r="C91">
        <v>26428030</v>
      </c>
      <c r="D91" t="s">
        <v>3623</v>
      </c>
      <c r="E91" t="s">
        <v>3624</v>
      </c>
      <c r="F91" t="s">
        <v>3625</v>
      </c>
      <c r="G91" t="s">
        <v>122</v>
      </c>
      <c r="H91" t="s">
        <v>3626</v>
      </c>
      <c r="I91" t="s">
        <v>124</v>
      </c>
      <c r="K91" t="s">
        <v>3627</v>
      </c>
      <c r="L91" t="s">
        <v>3627</v>
      </c>
      <c r="M91" t="s">
        <v>3628</v>
      </c>
      <c r="N91" t="s">
        <v>3629</v>
      </c>
      <c r="O91" t="s">
        <v>124</v>
      </c>
      <c r="P91" t="s">
        <v>124</v>
      </c>
      <c r="Q91" t="s">
        <v>124</v>
      </c>
      <c r="R91" t="b">
        <v>0</v>
      </c>
      <c r="S91" t="s">
        <v>3520</v>
      </c>
    </row>
    <row r="92" spans="1:19" ht="11.25" customHeight="1">
      <c r="A92">
        <v>2655</v>
      </c>
      <c r="B92" t="s">
        <v>101</v>
      </c>
      <c r="C92">
        <v>31356597</v>
      </c>
      <c r="D92" t="s">
        <v>3294</v>
      </c>
      <c r="E92" t="s">
        <v>3295</v>
      </c>
      <c r="F92" t="s">
        <v>3296</v>
      </c>
      <c r="G92" t="s">
        <v>3179</v>
      </c>
      <c r="H92" t="s">
        <v>3297</v>
      </c>
      <c r="I92" t="s">
        <v>3298</v>
      </c>
      <c r="J92" t="s">
        <v>3271</v>
      </c>
      <c r="K92" t="s">
        <v>3299</v>
      </c>
      <c r="L92" t="s">
        <v>3299</v>
      </c>
      <c r="M92" t="s">
        <v>3300</v>
      </c>
      <c r="N92" t="s">
        <v>3301</v>
      </c>
      <c r="O92" t="s">
        <v>3302</v>
      </c>
      <c r="P92" t="s">
        <v>3060</v>
      </c>
      <c r="Q92" t="s">
        <v>124</v>
      </c>
      <c r="R92" t="b">
        <v>0</v>
      </c>
      <c r="S92" t="s">
        <v>3520</v>
      </c>
    </row>
    <row r="93" spans="1:19" ht="11.25" customHeight="1">
      <c r="A93">
        <v>2655</v>
      </c>
      <c r="B93" t="s">
        <v>101</v>
      </c>
      <c r="C93">
        <v>28136671</v>
      </c>
      <c r="D93" t="s">
        <v>3303</v>
      </c>
      <c r="E93" t="s">
        <v>3304</v>
      </c>
      <c r="F93" t="s">
        <v>3305</v>
      </c>
      <c r="G93" t="s">
        <v>3306</v>
      </c>
      <c r="H93" t="s">
        <v>3307</v>
      </c>
      <c r="I93" t="s">
        <v>3308</v>
      </c>
      <c r="J93" t="s">
        <v>3271</v>
      </c>
      <c r="K93" t="s">
        <v>3309</v>
      </c>
      <c r="L93" t="s">
        <v>3310</v>
      </c>
      <c r="M93" t="s">
        <v>3311</v>
      </c>
      <c r="N93" t="s">
        <v>3312</v>
      </c>
      <c r="O93" t="s">
        <v>3313</v>
      </c>
      <c r="P93" t="s">
        <v>2993</v>
      </c>
      <c r="Q93" t="s">
        <v>124</v>
      </c>
      <c r="R93" t="b">
        <v>1</v>
      </c>
      <c r="S93" t="s">
        <v>3520</v>
      </c>
    </row>
    <row r="94" spans="1:19" ht="11.25" customHeight="1">
      <c r="A94">
        <v>2655</v>
      </c>
      <c r="B94" t="s">
        <v>101</v>
      </c>
      <c r="C94">
        <v>27838991</v>
      </c>
      <c r="D94" t="s">
        <v>3630</v>
      </c>
      <c r="E94" t="s">
        <v>3631</v>
      </c>
      <c r="F94" t="s">
        <v>3632</v>
      </c>
      <c r="G94" t="s">
        <v>3008</v>
      </c>
      <c r="H94" t="s">
        <v>3633</v>
      </c>
      <c r="I94" t="s">
        <v>3634</v>
      </c>
      <c r="J94" t="s">
        <v>3271</v>
      </c>
      <c r="K94" t="s">
        <v>3635</v>
      </c>
      <c r="L94" t="s">
        <v>3636</v>
      </c>
      <c r="M94" t="s">
        <v>3637</v>
      </c>
      <c r="N94" t="s">
        <v>3638</v>
      </c>
      <c r="O94" t="s">
        <v>3639</v>
      </c>
      <c r="P94" t="s">
        <v>3060</v>
      </c>
      <c r="Q94" t="s">
        <v>124</v>
      </c>
      <c r="R94" t="b">
        <v>0</v>
      </c>
      <c r="S94" t="s">
        <v>3520</v>
      </c>
    </row>
    <row r="95" spans="1:19" ht="11.25" customHeight="1">
      <c r="A95">
        <v>2655</v>
      </c>
      <c r="B95" t="s">
        <v>101</v>
      </c>
      <c r="C95">
        <v>26428026</v>
      </c>
      <c r="D95" t="s">
        <v>3340</v>
      </c>
      <c r="E95" t="s">
        <v>3341</v>
      </c>
      <c r="F95" t="s">
        <v>3342</v>
      </c>
      <c r="G95" t="s">
        <v>3343</v>
      </c>
      <c r="H95" t="s">
        <v>3344</v>
      </c>
      <c r="I95" t="s">
        <v>124</v>
      </c>
      <c r="K95" t="s">
        <v>3345</v>
      </c>
      <c r="L95" t="s">
        <v>3345</v>
      </c>
      <c r="M95" t="s">
        <v>3346</v>
      </c>
      <c r="N95" t="s">
        <v>3347</v>
      </c>
      <c r="O95" t="s">
        <v>3348</v>
      </c>
      <c r="P95" t="s">
        <v>3117</v>
      </c>
      <c r="Q95" t="s">
        <v>124</v>
      </c>
      <c r="R95" t="b">
        <v>1</v>
      </c>
      <c r="S95" t="s">
        <v>3520</v>
      </c>
    </row>
    <row r="96" spans="1:19" ht="11.25" customHeight="1">
      <c r="A96">
        <v>2655</v>
      </c>
      <c r="B96" t="s">
        <v>101</v>
      </c>
      <c r="C96">
        <v>31739633</v>
      </c>
      <c r="D96" t="s">
        <v>3359</v>
      </c>
      <c r="E96" t="s">
        <v>3360</v>
      </c>
      <c r="F96" t="s">
        <v>3361</v>
      </c>
      <c r="G96" t="s">
        <v>3362</v>
      </c>
      <c r="H96" t="s">
        <v>3363</v>
      </c>
      <c r="I96" t="s">
        <v>3364</v>
      </c>
      <c r="K96" t="s">
        <v>3365</v>
      </c>
      <c r="L96" t="s">
        <v>3365</v>
      </c>
      <c r="M96" t="s">
        <v>3366</v>
      </c>
      <c r="N96" t="s">
        <v>3367</v>
      </c>
      <c r="O96" t="s">
        <v>3368</v>
      </c>
      <c r="P96" t="s">
        <v>144</v>
      </c>
      <c r="Q96" t="s">
        <v>124</v>
      </c>
      <c r="R96" t="b">
        <v>0</v>
      </c>
      <c r="S96" t="s">
        <v>3520</v>
      </c>
    </row>
    <row r="97" spans="1:19" ht="11.25" customHeight="1">
      <c r="A97">
        <v>2655</v>
      </c>
      <c r="B97" t="s">
        <v>101</v>
      </c>
      <c r="C97">
        <v>31541617</v>
      </c>
      <c r="D97" t="s">
        <v>3369</v>
      </c>
      <c r="E97" t="s">
        <v>3370</v>
      </c>
      <c r="F97" t="s">
        <v>3371</v>
      </c>
      <c r="G97" t="s">
        <v>3372</v>
      </c>
      <c r="H97" t="s">
        <v>3373</v>
      </c>
      <c r="I97" t="s">
        <v>3374</v>
      </c>
      <c r="K97" t="s">
        <v>3375</v>
      </c>
      <c r="L97" t="s">
        <v>3375</v>
      </c>
      <c r="M97" t="s">
        <v>3376</v>
      </c>
      <c r="N97" t="s">
        <v>3377</v>
      </c>
      <c r="O97" t="s">
        <v>3378</v>
      </c>
      <c r="P97" t="s">
        <v>144</v>
      </c>
      <c r="Q97" t="s">
        <v>124</v>
      </c>
      <c r="R97" t="b">
        <v>1</v>
      </c>
      <c r="S97" t="s">
        <v>3520</v>
      </c>
    </row>
    <row r="98" spans="1:19" ht="11.25" customHeight="1">
      <c r="A98">
        <v>2655</v>
      </c>
      <c r="B98" t="s">
        <v>101</v>
      </c>
      <c r="C98">
        <v>31834877</v>
      </c>
      <c r="D98" t="s">
        <v>3640</v>
      </c>
      <c r="E98" t="s">
        <v>3640</v>
      </c>
      <c r="F98" t="s">
        <v>3641</v>
      </c>
      <c r="G98" t="s">
        <v>2998</v>
      </c>
      <c r="H98" t="s">
        <v>3642</v>
      </c>
      <c r="I98" t="s">
        <v>3643</v>
      </c>
      <c r="K98" t="s">
        <v>3644</v>
      </c>
      <c r="L98" t="s">
        <v>3645</v>
      </c>
      <c r="M98" t="s">
        <v>124</v>
      </c>
      <c r="N98" t="s">
        <v>3646</v>
      </c>
      <c r="O98" t="s">
        <v>3647</v>
      </c>
      <c r="P98" t="s">
        <v>2993</v>
      </c>
      <c r="Q98" t="s">
        <v>3648</v>
      </c>
      <c r="R98" t="b">
        <v>0</v>
      </c>
      <c r="S98" t="s">
        <v>3520</v>
      </c>
    </row>
    <row r="99" spans="1:19" ht="11.25" customHeight="1">
      <c r="A99">
        <v>2655</v>
      </c>
      <c r="B99" t="s">
        <v>101</v>
      </c>
      <c r="C99">
        <v>26356891</v>
      </c>
      <c r="D99" t="s">
        <v>3390</v>
      </c>
      <c r="E99" t="s">
        <v>3391</v>
      </c>
      <c r="F99" t="s">
        <v>3392</v>
      </c>
      <c r="G99" t="s">
        <v>122</v>
      </c>
      <c r="H99" t="s">
        <v>3393</v>
      </c>
      <c r="I99" t="s">
        <v>3394</v>
      </c>
      <c r="J99" t="s">
        <v>3271</v>
      </c>
      <c r="K99" t="s">
        <v>3395</v>
      </c>
      <c r="L99" t="s">
        <v>3395</v>
      </c>
      <c r="M99" t="s">
        <v>3396</v>
      </c>
      <c r="N99" t="s">
        <v>3397</v>
      </c>
      <c r="O99" t="s">
        <v>3398</v>
      </c>
      <c r="P99" t="s">
        <v>3117</v>
      </c>
      <c r="Q99" t="s">
        <v>124</v>
      </c>
      <c r="R99" t="b">
        <v>0</v>
      </c>
      <c r="S99" t="s">
        <v>3520</v>
      </c>
    </row>
    <row r="100" spans="1:19" ht="11.25" customHeight="1">
      <c r="A100">
        <v>2655</v>
      </c>
      <c r="B100" t="s">
        <v>101</v>
      </c>
      <c r="C100">
        <v>31241637</v>
      </c>
      <c r="D100" t="s">
        <v>3399</v>
      </c>
      <c r="E100" t="s">
        <v>3400</v>
      </c>
      <c r="F100" t="s">
        <v>3401</v>
      </c>
      <c r="G100" t="s">
        <v>3220</v>
      </c>
      <c r="H100" t="s">
        <v>3402</v>
      </c>
      <c r="I100" t="s">
        <v>3403</v>
      </c>
      <c r="J100" t="s">
        <v>3271</v>
      </c>
      <c r="K100" t="s">
        <v>3404</v>
      </c>
      <c r="L100" t="s">
        <v>3404</v>
      </c>
      <c r="M100" t="s">
        <v>3405</v>
      </c>
      <c r="N100" t="s">
        <v>124</v>
      </c>
      <c r="O100" t="s">
        <v>3406</v>
      </c>
      <c r="P100" t="s">
        <v>144</v>
      </c>
      <c r="Q100" t="s">
        <v>124</v>
      </c>
      <c r="R100" t="b">
        <v>0</v>
      </c>
      <c r="S100" t="s">
        <v>3520</v>
      </c>
    </row>
    <row r="101" spans="1:19" ht="11.25" customHeight="1">
      <c r="A101">
        <v>2655</v>
      </c>
      <c r="B101" t="s">
        <v>101</v>
      </c>
      <c r="C101">
        <v>28819708</v>
      </c>
      <c r="D101" t="s">
        <v>3649</v>
      </c>
      <c r="E101" t="s">
        <v>3650</v>
      </c>
      <c r="F101" t="s">
        <v>3651</v>
      </c>
      <c r="G101" t="s">
        <v>3121</v>
      </c>
      <c r="H101" t="s">
        <v>3652</v>
      </c>
      <c r="I101" t="s">
        <v>3653</v>
      </c>
      <c r="J101" t="s">
        <v>3271</v>
      </c>
      <c r="K101" t="s">
        <v>3654</v>
      </c>
      <c r="L101" t="s">
        <v>3654</v>
      </c>
      <c r="M101" t="s">
        <v>124</v>
      </c>
      <c r="N101" t="s">
        <v>3655</v>
      </c>
      <c r="O101" t="s">
        <v>3656</v>
      </c>
      <c r="P101" t="s">
        <v>3117</v>
      </c>
      <c r="Q101" t="s">
        <v>124</v>
      </c>
      <c r="R101" t="b">
        <v>0</v>
      </c>
      <c r="S101" t="s">
        <v>3520</v>
      </c>
    </row>
    <row r="102" spans="1:19" ht="11.25" customHeight="1">
      <c r="A102">
        <v>2655</v>
      </c>
      <c r="B102" t="s">
        <v>101</v>
      </c>
      <c r="C102">
        <v>26356937</v>
      </c>
      <c r="D102" t="s">
        <v>3407</v>
      </c>
      <c r="E102" t="s">
        <v>3408</v>
      </c>
      <c r="F102" t="s">
        <v>3409</v>
      </c>
      <c r="G102" t="s">
        <v>3278</v>
      </c>
      <c r="H102" t="s">
        <v>3410</v>
      </c>
      <c r="I102" t="s">
        <v>3411</v>
      </c>
      <c r="J102" t="s">
        <v>3271</v>
      </c>
      <c r="K102" t="s">
        <v>3412</v>
      </c>
      <c r="L102" t="s">
        <v>3412</v>
      </c>
      <c r="M102" t="s">
        <v>3413</v>
      </c>
      <c r="N102" t="s">
        <v>3414</v>
      </c>
      <c r="O102" t="s">
        <v>3415</v>
      </c>
      <c r="P102" t="s">
        <v>144</v>
      </c>
      <c r="Q102" t="s">
        <v>3416</v>
      </c>
      <c r="R102" t="b">
        <v>0</v>
      </c>
      <c r="S102" t="s">
        <v>3520</v>
      </c>
    </row>
    <row r="103" spans="1:19" ht="11.25" customHeight="1">
      <c r="A103">
        <v>2655</v>
      </c>
      <c r="B103" t="s">
        <v>101</v>
      </c>
      <c r="C103">
        <v>31770754</v>
      </c>
      <c r="D103" t="s">
        <v>3417</v>
      </c>
      <c r="E103" t="s">
        <v>3418</v>
      </c>
      <c r="F103" t="s">
        <v>3419</v>
      </c>
      <c r="G103" t="s">
        <v>3362</v>
      </c>
      <c r="H103" t="s">
        <v>3420</v>
      </c>
      <c r="I103" t="s">
        <v>3421</v>
      </c>
      <c r="K103" t="s">
        <v>3422</v>
      </c>
      <c r="L103" t="s">
        <v>3423</v>
      </c>
      <c r="M103" t="s">
        <v>3424</v>
      </c>
      <c r="N103" t="s">
        <v>3425</v>
      </c>
      <c r="O103" t="s">
        <v>3426</v>
      </c>
      <c r="P103" t="s">
        <v>3117</v>
      </c>
      <c r="Q103" t="s">
        <v>124</v>
      </c>
      <c r="R103" t="b">
        <v>1</v>
      </c>
      <c r="S103" t="s">
        <v>3520</v>
      </c>
    </row>
    <row r="104" spans="1:19" ht="11.25" customHeight="1">
      <c r="A104">
        <v>2655</v>
      </c>
      <c r="B104" t="s">
        <v>101</v>
      </c>
      <c r="C104">
        <v>31528492</v>
      </c>
      <c r="D104" t="s">
        <v>3427</v>
      </c>
      <c r="E104" t="s">
        <v>3428</v>
      </c>
      <c r="F104" t="s">
        <v>3429</v>
      </c>
      <c r="G104" t="s">
        <v>3220</v>
      </c>
      <c r="H104" t="s">
        <v>3430</v>
      </c>
      <c r="I104" t="s">
        <v>3431</v>
      </c>
      <c r="K104" t="s">
        <v>3432</v>
      </c>
      <c r="L104" t="s">
        <v>3432</v>
      </c>
      <c r="M104" t="s">
        <v>3433</v>
      </c>
      <c r="N104" t="s">
        <v>3434</v>
      </c>
      <c r="O104" t="s">
        <v>3435</v>
      </c>
      <c r="P104" t="s">
        <v>2993</v>
      </c>
      <c r="Q104" t="s">
        <v>124</v>
      </c>
      <c r="R104" t="b">
        <v>0</v>
      </c>
      <c r="S104" t="s">
        <v>3520</v>
      </c>
    </row>
    <row r="105" spans="1:19" ht="11.25" customHeight="1">
      <c r="A105">
        <v>2655</v>
      </c>
      <c r="B105" t="s">
        <v>101</v>
      </c>
      <c r="C105">
        <v>28270293</v>
      </c>
      <c r="D105" t="s">
        <v>3436</v>
      </c>
      <c r="E105" t="s">
        <v>3437</v>
      </c>
      <c r="F105" t="s">
        <v>3438</v>
      </c>
      <c r="G105" t="s">
        <v>122</v>
      </c>
      <c r="H105" t="s">
        <v>3439</v>
      </c>
      <c r="I105" t="s">
        <v>3440</v>
      </c>
      <c r="J105" t="s">
        <v>3271</v>
      </c>
      <c r="K105" t="s">
        <v>3441</v>
      </c>
      <c r="L105" t="s">
        <v>3441</v>
      </c>
      <c r="M105" t="s">
        <v>3442</v>
      </c>
      <c r="N105" t="s">
        <v>3443</v>
      </c>
      <c r="O105" t="s">
        <v>3444</v>
      </c>
      <c r="P105" t="s">
        <v>3060</v>
      </c>
      <c r="Q105" t="s">
        <v>124</v>
      </c>
      <c r="R105" t="b">
        <v>0</v>
      </c>
      <c r="S105" t="s">
        <v>3520</v>
      </c>
    </row>
    <row r="106" spans="1:19" ht="11.25" customHeight="1">
      <c r="A106">
        <v>2655</v>
      </c>
      <c r="B106" t="s">
        <v>101</v>
      </c>
      <c r="C106">
        <v>28873362</v>
      </c>
      <c r="D106" t="s">
        <v>3445</v>
      </c>
      <c r="E106" t="s">
        <v>3446</v>
      </c>
      <c r="F106" t="s">
        <v>3447</v>
      </c>
      <c r="G106" t="s">
        <v>2985</v>
      </c>
      <c r="H106" t="s">
        <v>3448</v>
      </c>
      <c r="I106" t="s">
        <v>3449</v>
      </c>
      <c r="J106" t="s">
        <v>3271</v>
      </c>
      <c r="K106" t="s">
        <v>3450</v>
      </c>
      <c r="L106" t="s">
        <v>3450</v>
      </c>
      <c r="M106" t="s">
        <v>3451</v>
      </c>
      <c r="N106" t="s">
        <v>3452</v>
      </c>
      <c r="O106" t="s">
        <v>3453</v>
      </c>
      <c r="P106" t="s">
        <v>3117</v>
      </c>
      <c r="Q106" t="s">
        <v>3454</v>
      </c>
      <c r="R106" t="b">
        <v>0</v>
      </c>
      <c r="S106" t="s">
        <v>3520</v>
      </c>
    </row>
    <row r="107" spans="1:19" ht="11.25" customHeight="1">
      <c r="A107">
        <v>2655</v>
      </c>
      <c r="B107" t="s">
        <v>101</v>
      </c>
      <c r="C107">
        <v>28976681</v>
      </c>
      <c r="D107" t="s">
        <v>3455</v>
      </c>
      <c r="E107" t="s">
        <v>3456</v>
      </c>
      <c r="F107" t="s">
        <v>3457</v>
      </c>
      <c r="G107" t="s">
        <v>122</v>
      </c>
      <c r="H107" t="s">
        <v>3458</v>
      </c>
      <c r="I107" t="s">
        <v>3459</v>
      </c>
      <c r="J107" t="s">
        <v>3271</v>
      </c>
      <c r="K107" t="s">
        <v>3460</v>
      </c>
      <c r="L107" t="s">
        <v>3460</v>
      </c>
      <c r="M107" t="s">
        <v>3461</v>
      </c>
      <c r="N107" t="s">
        <v>124</v>
      </c>
      <c r="O107" t="s">
        <v>3462</v>
      </c>
      <c r="P107" t="s">
        <v>3117</v>
      </c>
      <c r="Q107" t="s">
        <v>124</v>
      </c>
      <c r="R107" t="b">
        <v>1</v>
      </c>
      <c r="S107" t="s">
        <v>3520</v>
      </c>
    </row>
    <row r="108" spans="1:19" ht="11.25" customHeight="1">
      <c r="A108">
        <v>2655</v>
      </c>
      <c r="B108" t="s">
        <v>101</v>
      </c>
      <c r="C108">
        <v>26853991</v>
      </c>
      <c r="D108" t="s">
        <v>3474</v>
      </c>
      <c r="E108" t="s">
        <v>3475</v>
      </c>
      <c r="F108" t="s">
        <v>3476</v>
      </c>
      <c r="G108" t="s">
        <v>3477</v>
      </c>
      <c r="H108" t="s">
        <v>3478</v>
      </c>
      <c r="I108" t="s">
        <v>3479</v>
      </c>
      <c r="J108" t="s">
        <v>2973</v>
      </c>
      <c r="K108" t="s">
        <v>124</v>
      </c>
      <c r="L108" t="s">
        <v>3480</v>
      </c>
      <c r="M108" t="s">
        <v>3481</v>
      </c>
      <c r="N108" t="s">
        <v>3482</v>
      </c>
      <c r="O108" t="s">
        <v>3483</v>
      </c>
      <c r="P108" t="s">
        <v>3026</v>
      </c>
      <c r="Q108" t="s">
        <v>124</v>
      </c>
      <c r="R108" t="b">
        <v>0</v>
      </c>
      <c r="S108" t="s">
        <v>3520</v>
      </c>
    </row>
    <row r="109" spans="1:19" ht="11.25" customHeight="1">
      <c r="A109">
        <v>2655</v>
      </c>
      <c r="B109" t="s">
        <v>101</v>
      </c>
      <c r="C109">
        <v>30808511</v>
      </c>
      <c r="D109" t="s">
        <v>3484</v>
      </c>
      <c r="E109" t="s">
        <v>3484</v>
      </c>
      <c r="F109" t="s">
        <v>3485</v>
      </c>
      <c r="G109" t="s">
        <v>3486</v>
      </c>
      <c r="H109" t="s">
        <v>3487</v>
      </c>
      <c r="I109" t="s">
        <v>3488</v>
      </c>
      <c r="J109" t="s">
        <v>3489</v>
      </c>
      <c r="K109" t="s">
        <v>3490</v>
      </c>
      <c r="L109" t="s">
        <v>3491</v>
      </c>
      <c r="M109" t="s">
        <v>3492</v>
      </c>
      <c r="N109" t="s">
        <v>124</v>
      </c>
      <c r="O109" t="s">
        <v>3493</v>
      </c>
      <c r="P109" t="s">
        <v>3117</v>
      </c>
      <c r="Q109" t="s">
        <v>3494</v>
      </c>
      <c r="R109" t="b">
        <v>0</v>
      </c>
      <c r="S109" t="s">
        <v>3520</v>
      </c>
    </row>
    <row r="110" spans="1:19" ht="11.25" customHeight="1">
      <c r="A110">
        <v>2655</v>
      </c>
      <c r="B110" t="s">
        <v>101</v>
      </c>
      <c r="C110">
        <v>26520873</v>
      </c>
      <c r="D110" t="s">
        <v>3499</v>
      </c>
      <c r="E110" t="s">
        <v>3500</v>
      </c>
      <c r="F110" t="s">
        <v>3485</v>
      </c>
      <c r="G110" t="s">
        <v>3501</v>
      </c>
      <c r="H110" t="s">
        <v>3487</v>
      </c>
      <c r="I110" t="s">
        <v>3502</v>
      </c>
      <c r="J110" t="s">
        <v>3489</v>
      </c>
      <c r="K110" t="s">
        <v>3503</v>
      </c>
      <c r="L110" t="s">
        <v>3504</v>
      </c>
      <c r="M110" t="s">
        <v>3505</v>
      </c>
      <c r="N110" t="s">
        <v>3506</v>
      </c>
      <c r="O110" t="s">
        <v>3507</v>
      </c>
      <c r="P110" t="s">
        <v>3117</v>
      </c>
      <c r="Q110" t="s">
        <v>3508</v>
      </c>
      <c r="R110" t="b">
        <v>0</v>
      </c>
      <c r="S110" t="s">
        <v>3520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9DF8-FA99-CDD8-BDD8-EA2C42A4CE38}">
  <sheetPr>
    <tabColor rgb="FFFFCC99"/>
  </sheetPr>
  <dimension ref="A1:DE53"/>
  <sheetViews>
    <sheetView showGridLines="0" workbookViewId="0"/>
  </sheetViews>
  <sheetFormatPr defaultRowHeight="11.25" customHeight="1"/>
  <cols>
    <col min="1" max="1" width="23.140625" style="4" customWidth="1"/>
  </cols>
  <sheetData>
    <row r="1" spans="1:109" ht="11.25" customHeight="1">
      <c r="A1" s="4" t="s">
        <v>3657</v>
      </c>
      <c r="B1" t="s">
        <v>3658</v>
      </c>
      <c r="C1" t="s">
        <v>3659</v>
      </c>
      <c r="D1" t="s">
        <v>3660</v>
      </c>
      <c r="E1" t="s">
        <v>3661</v>
      </c>
      <c r="F1" t="s">
        <v>3662</v>
      </c>
      <c r="G1" t="s">
        <v>3663</v>
      </c>
      <c r="H1" t="s">
        <v>3664</v>
      </c>
      <c r="I1" t="s">
        <v>3665</v>
      </c>
      <c r="J1" t="s">
        <v>3666</v>
      </c>
      <c r="K1" t="s">
        <v>3667</v>
      </c>
      <c r="L1" t="s">
        <v>3668</v>
      </c>
      <c r="M1" t="s">
        <v>3669</v>
      </c>
      <c r="N1" t="s">
        <v>3670</v>
      </c>
      <c r="O1" t="s">
        <v>3671</v>
      </c>
      <c r="P1" t="s">
        <v>3672</v>
      </c>
      <c r="Q1" t="s">
        <v>3673</v>
      </c>
      <c r="R1" t="s">
        <v>3674</v>
      </c>
      <c r="S1" t="s">
        <v>3675</v>
      </c>
      <c r="T1" t="s">
        <v>3676</v>
      </c>
      <c r="U1" t="s">
        <v>3677</v>
      </c>
      <c r="V1" t="s">
        <v>3678</v>
      </c>
      <c r="W1" t="s">
        <v>3679</v>
      </c>
      <c r="X1" t="s">
        <v>346</v>
      </c>
      <c r="Y1" t="s">
        <v>3680</v>
      </c>
      <c r="Z1" t="s">
        <v>3681</v>
      </c>
      <c r="AA1" t="s">
        <v>3682</v>
      </c>
      <c r="AB1" t="s">
        <v>3683</v>
      </c>
      <c r="AC1" t="s">
        <v>3684</v>
      </c>
      <c r="AD1" t="s">
        <v>3685</v>
      </c>
      <c r="AE1" t="s">
        <v>3686</v>
      </c>
      <c r="AF1" t="s">
        <v>3687</v>
      </c>
      <c r="AG1" t="s">
        <v>3688</v>
      </c>
      <c r="AH1" t="s">
        <v>3689</v>
      </c>
      <c r="AI1" t="s">
        <v>3690</v>
      </c>
      <c r="AJ1" t="s">
        <v>3691</v>
      </c>
      <c r="AK1" t="s">
        <v>3692</v>
      </c>
      <c r="AL1" t="s">
        <v>3693</v>
      </c>
      <c r="AM1" t="s">
        <v>3694</v>
      </c>
      <c r="AN1" t="s">
        <v>3695</v>
      </c>
      <c r="AO1" t="s">
        <v>3696</v>
      </c>
      <c r="AP1" t="s">
        <v>3697</v>
      </c>
      <c r="AQ1" t="s">
        <v>3698</v>
      </c>
      <c r="AR1" t="s">
        <v>3699</v>
      </c>
      <c r="AS1" t="s">
        <v>3700</v>
      </c>
      <c r="AT1" t="s">
        <v>3701</v>
      </c>
      <c r="AU1" t="s">
        <v>3702</v>
      </c>
      <c r="AV1" t="s">
        <v>3703</v>
      </c>
      <c r="AW1" t="s">
        <v>3704</v>
      </c>
      <c r="AX1" t="s">
        <v>3705</v>
      </c>
      <c r="AY1" t="s">
        <v>3706</v>
      </c>
      <c r="AZ1" t="s">
        <v>3707</v>
      </c>
      <c r="BA1" t="s">
        <v>3708</v>
      </c>
      <c r="BB1" t="s">
        <v>3709</v>
      </c>
      <c r="BC1" t="s">
        <v>3710</v>
      </c>
      <c r="BD1" t="s">
        <v>3711</v>
      </c>
      <c r="BE1" t="s">
        <v>3712</v>
      </c>
      <c r="BF1" t="s">
        <v>3713</v>
      </c>
      <c r="BG1" t="s">
        <v>3714</v>
      </c>
      <c r="BH1" t="s">
        <v>3715</v>
      </c>
      <c r="BI1" t="s">
        <v>3716</v>
      </c>
      <c r="BJ1" t="s">
        <v>3717</v>
      </c>
      <c r="BK1" t="s">
        <v>3718</v>
      </c>
      <c r="BL1" t="s">
        <v>3719</v>
      </c>
      <c r="BM1" t="s">
        <v>3720</v>
      </c>
      <c r="BN1" t="s">
        <v>3721</v>
      </c>
      <c r="BO1" t="s">
        <v>3722</v>
      </c>
      <c r="BP1" t="s">
        <v>3723</v>
      </c>
      <c r="BQ1" t="s">
        <v>3724</v>
      </c>
      <c r="BR1" t="s">
        <v>3725</v>
      </c>
      <c r="BS1" t="s">
        <v>3726</v>
      </c>
      <c r="BT1" t="s">
        <v>3727</v>
      </c>
      <c r="BU1" t="s">
        <v>3728</v>
      </c>
      <c r="BV1" t="s">
        <v>3729</v>
      </c>
      <c r="BW1" t="s">
        <v>3730</v>
      </c>
      <c r="BX1" t="s">
        <v>3731</v>
      </c>
      <c r="BY1" t="s">
        <v>3732</v>
      </c>
      <c r="BZ1" t="s">
        <v>3733</v>
      </c>
      <c r="CA1" t="s">
        <v>3734</v>
      </c>
      <c r="CB1" t="s">
        <v>3735</v>
      </c>
      <c r="CC1" t="s">
        <v>3736</v>
      </c>
      <c r="CD1" t="s">
        <v>3737</v>
      </c>
      <c r="CE1" t="s">
        <v>3738</v>
      </c>
      <c r="CF1" t="s">
        <v>3739</v>
      </c>
      <c r="CG1" t="s">
        <v>3740</v>
      </c>
      <c r="CH1" t="s">
        <v>3741</v>
      </c>
      <c r="CI1" t="s">
        <v>3742</v>
      </c>
      <c r="CJ1" t="s">
        <v>3743</v>
      </c>
      <c r="CK1" t="s">
        <v>3744</v>
      </c>
      <c r="CL1" t="s">
        <v>3745</v>
      </c>
      <c r="CM1" t="s">
        <v>3746</v>
      </c>
      <c r="CN1" t="s">
        <v>3747</v>
      </c>
      <c r="CO1" t="s">
        <v>3748</v>
      </c>
      <c r="CP1" t="s">
        <v>3749</v>
      </c>
      <c r="CQ1" t="s">
        <v>3750</v>
      </c>
      <c r="CR1" t="s">
        <v>3751</v>
      </c>
      <c r="CS1" t="s">
        <v>3752</v>
      </c>
      <c r="CT1" t="s">
        <v>3753</v>
      </c>
      <c r="CU1" t="s">
        <v>3754</v>
      </c>
      <c r="CV1" t="s">
        <v>3755</v>
      </c>
      <c r="CW1" t="s">
        <v>3756</v>
      </c>
      <c r="CX1" t="s">
        <v>3757</v>
      </c>
      <c r="CY1" t="s">
        <v>3758</v>
      </c>
      <c r="CZ1" t="s">
        <v>3759</v>
      </c>
      <c r="DA1" t="s">
        <v>3760</v>
      </c>
      <c r="DB1" t="s">
        <v>3761</v>
      </c>
      <c r="DC1" t="s">
        <v>3762</v>
      </c>
      <c r="DD1" t="s">
        <v>1639</v>
      </c>
      <c r="DE1" t="s">
        <v>3763</v>
      </c>
    </row>
    <row r="2" spans="1:109" ht="11.25" customHeight="1">
      <c r="A2" s="4" t="s">
        <v>124</v>
      </c>
      <c r="B2" t="s">
        <v>124</v>
      </c>
      <c r="C2" t="s">
        <v>124</v>
      </c>
      <c r="D2" t="s">
        <v>124</v>
      </c>
      <c r="E2" t="s">
        <v>124</v>
      </c>
      <c r="F2" t="s">
        <v>124</v>
      </c>
      <c r="G2" t="s">
        <v>124</v>
      </c>
      <c r="H2" t="s">
        <v>124</v>
      </c>
      <c r="I2" t="s">
        <v>3764</v>
      </c>
      <c r="J2" t="s">
        <v>124</v>
      </c>
      <c r="K2" t="s">
        <v>124</v>
      </c>
      <c r="L2" t="s">
        <v>124</v>
      </c>
      <c r="M2" t="s">
        <v>124</v>
      </c>
      <c r="N2" t="s">
        <v>124</v>
      </c>
      <c r="O2" t="s">
        <v>124</v>
      </c>
      <c r="P2" t="s">
        <v>124</v>
      </c>
      <c r="Q2" t="s">
        <v>124</v>
      </c>
      <c r="R2" t="s">
        <v>427</v>
      </c>
      <c r="S2" t="s">
        <v>124</v>
      </c>
      <c r="T2" t="s">
        <v>124</v>
      </c>
      <c r="U2" t="s">
        <v>101</v>
      </c>
      <c r="V2" t="s">
        <v>124</v>
      </c>
      <c r="W2" t="s">
        <v>124</v>
      </c>
      <c r="X2" t="s">
        <v>3765</v>
      </c>
      <c r="Y2" t="s">
        <v>124</v>
      </c>
      <c r="Z2" t="s">
        <v>215</v>
      </c>
      <c r="AA2" t="s">
        <v>215</v>
      </c>
      <c r="AB2" t="s">
        <v>150</v>
      </c>
      <c r="AC2" t="s">
        <v>341</v>
      </c>
      <c r="AD2" t="s">
        <v>341</v>
      </c>
      <c r="AE2" t="s">
        <v>342</v>
      </c>
      <c r="AF2" t="s">
        <v>3766</v>
      </c>
      <c r="AG2" t="s">
        <v>3767</v>
      </c>
      <c r="AH2" t="s">
        <v>362</v>
      </c>
      <c r="AI2" t="s">
        <v>362</v>
      </c>
      <c r="AJ2" t="s">
        <v>124</v>
      </c>
      <c r="AK2" t="s">
        <v>124</v>
      </c>
      <c r="AL2" t="s">
        <v>124</v>
      </c>
      <c r="AM2" t="s">
        <v>124</v>
      </c>
      <c r="AN2" t="s">
        <v>124</v>
      </c>
      <c r="AO2" t="s">
        <v>124</v>
      </c>
      <c r="AP2" t="s">
        <v>124</v>
      </c>
      <c r="AQ2" t="s">
        <v>124</v>
      </c>
      <c r="AR2" t="s">
        <v>124</v>
      </c>
      <c r="AS2" t="s">
        <v>124</v>
      </c>
      <c r="AT2" t="s">
        <v>124</v>
      </c>
      <c r="AU2" t="s">
        <v>124</v>
      </c>
      <c r="AV2" t="s">
        <v>124</v>
      </c>
      <c r="AW2" t="s">
        <v>124</v>
      </c>
      <c r="AX2" t="s">
        <v>124</v>
      </c>
      <c r="AY2" t="s">
        <v>124</v>
      </c>
      <c r="AZ2" t="s">
        <v>124</v>
      </c>
      <c r="BA2" t="s">
        <v>124</v>
      </c>
      <c r="BB2" t="s">
        <v>124</v>
      </c>
      <c r="BC2" t="s">
        <v>124</v>
      </c>
      <c r="BD2" t="s">
        <v>124</v>
      </c>
      <c r="BE2" t="s">
        <v>3768</v>
      </c>
      <c r="BF2" t="s">
        <v>3769</v>
      </c>
      <c r="BG2" t="s">
        <v>111</v>
      </c>
      <c r="BH2" t="s">
        <v>3770</v>
      </c>
      <c r="BI2" t="s">
        <v>122</v>
      </c>
      <c r="BJ2" t="s">
        <v>124</v>
      </c>
      <c r="BK2" t="s">
        <v>3771</v>
      </c>
      <c r="BL2" t="s">
        <v>341</v>
      </c>
      <c r="BM2" t="s">
        <v>341</v>
      </c>
      <c r="BN2" t="s">
        <v>3772</v>
      </c>
      <c r="BO2" t="s">
        <v>3766</v>
      </c>
      <c r="BP2" t="s">
        <v>3773</v>
      </c>
      <c r="BQ2" t="s">
        <v>3774</v>
      </c>
      <c r="BR2" t="s">
        <v>319</v>
      </c>
      <c r="BS2" t="s">
        <v>124</v>
      </c>
      <c r="BT2" t="s">
        <v>3775</v>
      </c>
      <c r="BU2" t="s">
        <v>3776</v>
      </c>
      <c r="BV2" t="s">
        <v>3776</v>
      </c>
      <c r="BW2" t="s">
        <v>3777</v>
      </c>
      <c r="BX2" t="s">
        <v>3777</v>
      </c>
      <c r="BY2" t="s">
        <v>3777</v>
      </c>
      <c r="BZ2" t="s">
        <v>3777</v>
      </c>
      <c r="CA2" t="s">
        <v>3777</v>
      </c>
      <c r="CB2" t="s">
        <v>124</v>
      </c>
      <c r="CC2" t="s">
        <v>124</v>
      </c>
      <c r="CD2" t="s">
        <v>124</v>
      </c>
      <c r="CE2" t="s">
        <v>124</v>
      </c>
      <c r="CF2" t="s">
        <v>124</v>
      </c>
      <c r="CG2" t="s">
        <v>3777</v>
      </c>
      <c r="CH2" t="s">
        <v>124</v>
      </c>
      <c r="CI2" t="s">
        <v>124</v>
      </c>
      <c r="CJ2" t="s">
        <v>124</v>
      </c>
      <c r="CK2" t="s">
        <v>124</v>
      </c>
      <c r="CL2" t="s">
        <v>124</v>
      </c>
      <c r="CM2" t="s">
        <v>3776</v>
      </c>
      <c r="CN2" t="s">
        <v>3776</v>
      </c>
      <c r="CO2" t="s">
        <v>124</v>
      </c>
      <c r="CP2" t="s">
        <v>124</v>
      </c>
      <c r="CQ2" t="s">
        <v>124</v>
      </c>
      <c r="CR2" t="s">
        <v>124</v>
      </c>
      <c r="CS2" t="s">
        <v>3778</v>
      </c>
      <c r="CT2" t="s">
        <v>3779</v>
      </c>
      <c r="CU2" t="s">
        <v>3780</v>
      </c>
      <c r="CV2" t="s">
        <v>429</v>
      </c>
      <c r="CW2" t="s">
        <v>3781</v>
      </c>
      <c r="CX2" t="s">
        <v>430</v>
      </c>
      <c r="CY2" t="s">
        <v>429</v>
      </c>
      <c r="CZ2" t="s">
        <v>431</v>
      </c>
      <c r="DA2" t="s">
        <v>432</v>
      </c>
      <c r="DB2" t="s">
        <v>3782</v>
      </c>
      <c r="DC2" t="s">
        <v>362</v>
      </c>
      <c r="DD2" t="s">
        <v>278</v>
      </c>
      <c r="DE2" t="s">
        <v>428</v>
      </c>
    </row>
    <row r="3" spans="1:109" ht="11.25" customHeight="1">
      <c r="A3" s="4" t="s">
        <v>124</v>
      </c>
      <c r="B3" t="s">
        <v>124</v>
      </c>
      <c r="C3" t="s">
        <v>124</v>
      </c>
      <c r="D3" t="s">
        <v>124</v>
      </c>
      <c r="E3" t="s">
        <v>124</v>
      </c>
      <c r="F3" t="s">
        <v>124</v>
      </c>
      <c r="G3" t="s">
        <v>124</v>
      </c>
      <c r="H3" t="s">
        <v>124</v>
      </c>
      <c r="I3" t="s">
        <v>3764</v>
      </c>
      <c r="J3" t="s">
        <v>124</v>
      </c>
      <c r="K3" t="s">
        <v>124</v>
      </c>
      <c r="L3" t="s">
        <v>124</v>
      </c>
      <c r="M3" t="s">
        <v>124</v>
      </c>
      <c r="N3" t="s">
        <v>124</v>
      </c>
      <c r="O3" t="s">
        <v>124</v>
      </c>
      <c r="P3" t="s">
        <v>124</v>
      </c>
      <c r="Q3" t="s">
        <v>124</v>
      </c>
      <c r="R3" t="s">
        <v>434</v>
      </c>
      <c r="S3" t="s">
        <v>124</v>
      </c>
      <c r="T3" t="s">
        <v>124</v>
      </c>
      <c r="U3" t="s">
        <v>101</v>
      </c>
      <c r="V3" t="s">
        <v>124</v>
      </c>
      <c r="W3" t="s">
        <v>124</v>
      </c>
      <c r="X3" t="s">
        <v>3765</v>
      </c>
      <c r="Y3" t="s">
        <v>124</v>
      </c>
      <c r="Z3" t="s">
        <v>215</v>
      </c>
      <c r="AA3" t="s">
        <v>215</v>
      </c>
      <c r="AB3" t="s">
        <v>150</v>
      </c>
      <c r="AC3" t="s">
        <v>341</v>
      </c>
      <c r="AD3" t="s">
        <v>341</v>
      </c>
      <c r="AE3" t="s">
        <v>342</v>
      </c>
      <c r="AF3" t="s">
        <v>3766</v>
      </c>
      <c r="AG3" t="s">
        <v>3767</v>
      </c>
      <c r="AH3" t="s">
        <v>362</v>
      </c>
      <c r="AI3" t="s">
        <v>362</v>
      </c>
      <c r="AJ3" t="s">
        <v>124</v>
      </c>
      <c r="AK3" t="s">
        <v>124</v>
      </c>
      <c r="AL3" t="s">
        <v>124</v>
      </c>
      <c r="AM3" t="s">
        <v>124</v>
      </c>
      <c r="AN3" t="s">
        <v>124</v>
      </c>
      <c r="AO3" t="s">
        <v>124</v>
      </c>
      <c r="AP3" t="s">
        <v>124</v>
      </c>
      <c r="AQ3" t="s">
        <v>124</v>
      </c>
      <c r="AR3" t="s">
        <v>124</v>
      </c>
      <c r="AS3" t="s">
        <v>124</v>
      </c>
      <c r="AT3" t="s">
        <v>124</v>
      </c>
      <c r="AU3" t="s">
        <v>124</v>
      </c>
      <c r="AV3" t="s">
        <v>124</v>
      </c>
      <c r="AW3" t="s">
        <v>124</v>
      </c>
      <c r="AX3" t="s">
        <v>124</v>
      </c>
      <c r="AY3" t="s">
        <v>124</v>
      </c>
      <c r="AZ3" t="s">
        <v>124</v>
      </c>
      <c r="BA3" t="s">
        <v>124</v>
      </c>
      <c r="BB3" t="s">
        <v>124</v>
      </c>
      <c r="BC3" t="s">
        <v>124</v>
      </c>
      <c r="BD3" t="s">
        <v>124</v>
      </c>
      <c r="BE3" t="s">
        <v>3783</v>
      </c>
      <c r="BF3" t="s">
        <v>3784</v>
      </c>
      <c r="BG3" t="s">
        <v>111</v>
      </c>
      <c r="BH3" t="s">
        <v>3770</v>
      </c>
      <c r="BI3" t="s">
        <v>122</v>
      </c>
      <c r="BJ3" t="s">
        <v>124</v>
      </c>
      <c r="BK3" t="s">
        <v>3785</v>
      </c>
      <c r="BL3" t="s">
        <v>2483</v>
      </c>
      <c r="BM3" t="s">
        <v>2483</v>
      </c>
      <c r="BN3" t="s">
        <v>3786</v>
      </c>
      <c r="BO3" t="s">
        <v>3787</v>
      </c>
      <c r="BP3" t="s">
        <v>3788</v>
      </c>
      <c r="BQ3" t="s">
        <v>362</v>
      </c>
      <c r="BR3" t="s">
        <v>362</v>
      </c>
      <c r="BS3" t="s">
        <v>124</v>
      </c>
      <c r="BT3" t="s">
        <v>3775</v>
      </c>
      <c r="BU3" t="s">
        <v>3789</v>
      </c>
      <c r="BV3" t="s">
        <v>3777</v>
      </c>
      <c r="BW3" t="s">
        <v>3777</v>
      </c>
      <c r="BX3" t="s">
        <v>3777</v>
      </c>
      <c r="BY3" t="s">
        <v>3789</v>
      </c>
      <c r="BZ3" t="s">
        <v>3777</v>
      </c>
      <c r="CA3" t="s">
        <v>3777</v>
      </c>
      <c r="CB3" t="s">
        <v>124</v>
      </c>
      <c r="CC3" t="s">
        <v>124</v>
      </c>
      <c r="CD3" t="s">
        <v>124</v>
      </c>
      <c r="CE3" t="s">
        <v>124</v>
      </c>
      <c r="CF3" t="s">
        <v>124</v>
      </c>
      <c r="CG3" t="s">
        <v>3777</v>
      </c>
      <c r="CH3" t="s">
        <v>124</v>
      </c>
      <c r="CI3" t="s">
        <v>124</v>
      </c>
      <c r="CJ3" t="s">
        <v>124</v>
      </c>
      <c r="CK3" t="s">
        <v>124</v>
      </c>
      <c r="CL3" t="s">
        <v>124</v>
      </c>
      <c r="CM3" t="s">
        <v>3789</v>
      </c>
      <c r="CN3" t="s">
        <v>124</v>
      </c>
      <c r="CO3" t="s">
        <v>124</v>
      </c>
      <c r="CP3" t="s">
        <v>124</v>
      </c>
      <c r="CQ3" t="s">
        <v>3789</v>
      </c>
      <c r="CR3" t="s">
        <v>124</v>
      </c>
      <c r="CS3" t="s">
        <v>3778</v>
      </c>
      <c r="CT3" t="s">
        <v>3779</v>
      </c>
      <c r="CU3" t="s">
        <v>3780</v>
      </c>
      <c r="CV3" t="s">
        <v>429</v>
      </c>
      <c r="CW3" t="s">
        <v>3781</v>
      </c>
      <c r="CX3" t="s">
        <v>430</v>
      </c>
      <c r="CY3" t="s">
        <v>429</v>
      </c>
      <c r="CZ3" t="s">
        <v>431</v>
      </c>
      <c r="DA3" t="s">
        <v>432</v>
      </c>
      <c r="DB3" t="s">
        <v>3782</v>
      </c>
      <c r="DC3" t="s">
        <v>362</v>
      </c>
      <c r="DD3" t="s">
        <v>278</v>
      </c>
      <c r="DE3" t="s">
        <v>428</v>
      </c>
    </row>
    <row r="4" spans="1:109" ht="11.25" customHeight="1">
      <c r="A4" s="4" t="s">
        <v>124</v>
      </c>
      <c r="B4" t="s">
        <v>124</v>
      </c>
      <c r="C4" t="s">
        <v>124</v>
      </c>
      <c r="D4" t="s">
        <v>124</v>
      </c>
      <c r="E4" t="s">
        <v>124</v>
      </c>
      <c r="F4" t="s">
        <v>124</v>
      </c>
      <c r="G4" t="s">
        <v>124</v>
      </c>
      <c r="H4" t="s">
        <v>124</v>
      </c>
      <c r="I4" t="s">
        <v>3764</v>
      </c>
      <c r="J4" t="s">
        <v>124</v>
      </c>
      <c r="K4" t="s">
        <v>124</v>
      </c>
      <c r="L4" t="s">
        <v>124</v>
      </c>
      <c r="M4" t="s">
        <v>124</v>
      </c>
      <c r="N4" t="s">
        <v>124</v>
      </c>
      <c r="O4" t="s">
        <v>124</v>
      </c>
      <c r="P4" t="s">
        <v>124</v>
      </c>
      <c r="Q4" t="s">
        <v>124</v>
      </c>
      <c r="R4" t="s">
        <v>436</v>
      </c>
      <c r="S4" t="s">
        <v>124</v>
      </c>
      <c r="T4" t="s">
        <v>124</v>
      </c>
      <c r="U4" t="s">
        <v>101</v>
      </c>
      <c r="V4" t="s">
        <v>124</v>
      </c>
      <c r="W4" t="s">
        <v>124</v>
      </c>
      <c r="X4" t="s">
        <v>3765</v>
      </c>
      <c r="Y4" t="s">
        <v>124</v>
      </c>
      <c r="Z4" t="s">
        <v>215</v>
      </c>
      <c r="AA4" t="s">
        <v>215</v>
      </c>
      <c r="AB4" t="s">
        <v>150</v>
      </c>
      <c r="AC4" t="s">
        <v>341</v>
      </c>
      <c r="AD4" t="s">
        <v>341</v>
      </c>
      <c r="AE4" t="s">
        <v>342</v>
      </c>
      <c r="AF4" t="s">
        <v>3766</v>
      </c>
      <c r="AG4" t="s">
        <v>3767</v>
      </c>
      <c r="AH4" t="s">
        <v>362</v>
      </c>
      <c r="AI4" t="s">
        <v>362</v>
      </c>
      <c r="AJ4" t="s">
        <v>124</v>
      </c>
      <c r="AK4" t="s">
        <v>124</v>
      </c>
      <c r="AL4" t="s">
        <v>124</v>
      </c>
      <c r="AM4" t="s">
        <v>124</v>
      </c>
      <c r="AN4" t="s">
        <v>124</v>
      </c>
      <c r="AO4" t="s">
        <v>124</v>
      </c>
      <c r="AP4" t="s">
        <v>124</v>
      </c>
      <c r="AQ4" t="s">
        <v>124</v>
      </c>
      <c r="AR4" t="s">
        <v>124</v>
      </c>
      <c r="AS4" t="s">
        <v>124</v>
      </c>
      <c r="AT4" t="s">
        <v>124</v>
      </c>
      <c r="AU4" t="s">
        <v>124</v>
      </c>
      <c r="AV4" t="s">
        <v>124</v>
      </c>
      <c r="AW4" t="s">
        <v>124</v>
      </c>
      <c r="AX4" t="s">
        <v>124</v>
      </c>
      <c r="AY4" t="s">
        <v>124</v>
      </c>
      <c r="AZ4" t="s">
        <v>124</v>
      </c>
      <c r="BA4" t="s">
        <v>124</v>
      </c>
      <c r="BB4" t="s">
        <v>124</v>
      </c>
      <c r="BC4" t="s">
        <v>124</v>
      </c>
      <c r="BD4" t="s">
        <v>124</v>
      </c>
      <c r="BE4" t="s">
        <v>3790</v>
      </c>
      <c r="BF4" t="s">
        <v>3791</v>
      </c>
      <c r="BG4" t="s">
        <v>111</v>
      </c>
      <c r="BH4" t="s">
        <v>3770</v>
      </c>
      <c r="BI4" t="s">
        <v>122</v>
      </c>
      <c r="BJ4" t="s">
        <v>124</v>
      </c>
      <c r="BK4" t="s">
        <v>3785</v>
      </c>
      <c r="BL4" t="s">
        <v>2483</v>
      </c>
      <c r="BM4" t="s">
        <v>2483</v>
      </c>
      <c r="BN4" t="s">
        <v>3786</v>
      </c>
      <c r="BO4" t="s">
        <v>3787</v>
      </c>
      <c r="BP4" t="s">
        <v>3788</v>
      </c>
      <c r="BQ4" t="s">
        <v>362</v>
      </c>
      <c r="BR4" t="s">
        <v>362</v>
      </c>
      <c r="BS4" t="s">
        <v>124</v>
      </c>
      <c r="BT4" t="s">
        <v>3775</v>
      </c>
      <c r="BU4" t="s">
        <v>3792</v>
      </c>
      <c r="BV4" t="s">
        <v>3792</v>
      </c>
      <c r="BW4" t="s">
        <v>3777</v>
      </c>
      <c r="BX4" t="s">
        <v>3777</v>
      </c>
      <c r="BY4" t="s">
        <v>3777</v>
      </c>
      <c r="BZ4" t="s">
        <v>3777</v>
      </c>
      <c r="CA4" t="s">
        <v>3777</v>
      </c>
      <c r="CB4" t="s">
        <v>124</v>
      </c>
      <c r="CC4" t="s">
        <v>124</v>
      </c>
      <c r="CD4" t="s">
        <v>124</v>
      </c>
      <c r="CE4" t="s">
        <v>124</v>
      </c>
      <c r="CF4" t="s">
        <v>124</v>
      </c>
      <c r="CG4" t="s">
        <v>3777</v>
      </c>
      <c r="CH4" t="s">
        <v>124</v>
      </c>
      <c r="CI4" t="s">
        <v>124</v>
      </c>
      <c r="CJ4" t="s">
        <v>124</v>
      </c>
      <c r="CK4" t="s">
        <v>124</v>
      </c>
      <c r="CL4" t="s">
        <v>124</v>
      </c>
      <c r="CM4" t="s">
        <v>3792</v>
      </c>
      <c r="CN4" t="s">
        <v>3792</v>
      </c>
      <c r="CO4" t="s">
        <v>124</v>
      </c>
      <c r="CP4" t="s">
        <v>124</v>
      </c>
      <c r="CQ4" t="s">
        <v>124</v>
      </c>
      <c r="CR4" t="s">
        <v>124</v>
      </c>
      <c r="CS4" t="s">
        <v>3778</v>
      </c>
      <c r="CT4" t="s">
        <v>3779</v>
      </c>
      <c r="CU4" t="s">
        <v>3780</v>
      </c>
      <c r="CV4" t="s">
        <v>429</v>
      </c>
      <c r="CW4" t="s">
        <v>3781</v>
      </c>
      <c r="CX4" t="s">
        <v>430</v>
      </c>
      <c r="CY4" t="s">
        <v>429</v>
      </c>
      <c r="CZ4" t="s">
        <v>431</v>
      </c>
      <c r="DA4" t="s">
        <v>432</v>
      </c>
      <c r="DB4" t="s">
        <v>3782</v>
      </c>
      <c r="DC4" t="s">
        <v>362</v>
      </c>
      <c r="DD4" t="s">
        <v>278</v>
      </c>
      <c r="DE4" t="s">
        <v>428</v>
      </c>
    </row>
    <row r="5" spans="1:109" ht="11.25" customHeight="1">
      <c r="A5" s="4" t="s">
        <v>124</v>
      </c>
      <c r="B5" t="s">
        <v>124</v>
      </c>
      <c r="C5" t="s">
        <v>124</v>
      </c>
      <c r="D5" t="s">
        <v>124</v>
      </c>
      <c r="E5" t="s">
        <v>124</v>
      </c>
      <c r="F5" t="s">
        <v>124</v>
      </c>
      <c r="G5" t="s">
        <v>124</v>
      </c>
      <c r="H5" t="s">
        <v>124</v>
      </c>
      <c r="I5" t="s">
        <v>3764</v>
      </c>
      <c r="J5" t="s">
        <v>124</v>
      </c>
      <c r="K5" t="s">
        <v>124</v>
      </c>
      <c r="L5" t="s">
        <v>124</v>
      </c>
      <c r="M5" t="s">
        <v>124</v>
      </c>
      <c r="N5" t="s">
        <v>124</v>
      </c>
      <c r="O5" t="s">
        <v>124</v>
      </c>
      <c r="P5" t="s">
        <v>124</v>
      </c>
      <c r="Q5" t="s">
        <v>124</v>
      </c>
      <c r="R5" t="s">
        <v>466</v>
      </c>
      <c r="S5" t="s">
        <v>124</v>
      </c>
      <c r="T5" t="s">
        <v>124</v>
      </c>
      <c r="U5" t="s">
        <v>101</v>
      </c>
      <c r="V5" t="s">
        <v>124</v>
      </c>
      <c r="W5" t="s">
        <v>124</v>
      </c>
      <c r="X5" t="s">
        <v>3765</v>
      </c>
      <c r="Y5" t="s">
        <v>124</v>
      </c>
      <c r="Z5" t="s">
        <v>215</v>
      </c>
      <c r="AA5" t="s">
        <v>215</v>
      </c>
      <c r="AB5" t="s">
        <v>150</v>
      </c>
      <c r="AC5" t="s">
        <v>2483</v>
      </c>
      <c r="AD5" t="s">
        <v>2483</v>
      </c>
      <c r="AE5" t="s">
        <v>2484</v>
      </c>
      <c r="AF5" t="s">
        <v>3787</v>
      </c>
      <c r="AG5" t="s">
        <v>3793</v>
      </c>
      <c r="AH5" t="s">
        <v>362</v>
      </c>
      <c r="AI5" t="s">
        <v>362</v>
      </c>
      <c r="AJ5" t="s">
        <v>124</v>
      </c>
      <c r="AK5" t="s">
        <v>124</v>
      </c>
      <c r="AL5" t="s">
        <v>124</v>
      </c>
      <c r="AM5" t="s">
        <v>124</v>
      </c>
      <c r="AN5" t="s">
        <v>124</v>
      </c>
      <c r="AO5" t="s">
        <v>124</v>
      </c>
      <c r="AP5" t="s">
        <v>124</v>
      </c>
      <c r="AQ5" t="s">
        <v>124</v>
      </c>
      <c r="AR5" t="s">
        <v>124</v>
      </c>
      <c r="AS5" t="s">
        <v>124</v>
      </c>
      <c r="AT5" t="s">
        <v>124</v>
      </c>
      <c r="AU5" t="s">
        <v>124</v>
      </c>
      <c r="AV5" t="s">
        <v>124</v>
      </c>
      <c r="AW5" t="s">
        <v>124</v>
      </c>
      <c r="AX5" t="s">
        <v>124</v>
      </c>
      <c r="AY5" t="s">
        <v>124</v>
      </c>
      <c r="AZ5" t="s">
        <v>124</v>
      </c>
      <c r="BA5" t="s">
        <v>124</v>
      </c>
      <c r="BB5" t="s">
        <v>124</v>
      </c>
      <c r="BC5" t="s">
        <v>124</v>
      </c>
      <c r="BD5" t="s">
        <v>124</v>
      </c>
      <c r="BE5" t="s">
        <v>3783</v>
      </c>
      <c r="BF5" t="s">
        <v>3784</v>
      </c>
      <c r="BG5" t="s">
        <v>111</v>
      </c>
      <c r="BH5" t="s">
        <v>3770</v>
      </c>
      <c r="BI5" t="s">
        <v>122</v>
      </c>
      <c r="BJ5" t="s">
        <v>124</v>
      </c>
      <c r="BK5" t="s">
        <v>3785</v>
      </c>
      <c r="BL5" t="s">
        <v>2483</v>
      </c>
      <c r="BM5" t="s">
        <v>2483</v>
      </c>
      <c r="BN5" t="s">
        <v>3786</v>
      </c>
      <c r="BO5" t="s">
        <v>3787</v>
      </c>
      <c r="BP5" t="s">
        <v>3788</v>
      </c>
      <c r="BQ5" t="s">
        <v>362</v>
      </c>
      <c r="BR5" t="s">
        <v>362</v>
      </c>
      <c r="BS5" t="s">
        <v>124</v>
      </c>
      <c r="BT5" t="s">
        <v>3775</v>
      </c>
      <c r="BU5" t="s">
        <v>3794</v>
      </c>
      <c r="BV5" t="s">
        <v>3795</v>
      </c>
      <c r="BW5" t="s">
        <v>3796</v>
      </c>
      <c r="BX5" t="s">
        <v>3797</v>
      </c>
      <c r="BY5" t="s">
        <v>3798</v>
      </c>
      <c r="BZ5" t="s">
        <v>3777</v>
      </c>
      <c r="CA5" t="s">
        <v>3777</v>
      </c>
      <c r="CB5" t="s">
        <v>124</v>
      </c>
      <c r="CC5" t="s">
        <v>124</v>
      </c>
      <c r="CD5" t="s">
        <v>124</v>
      </c>
      <c r="CE5" t="s">
        <v>124</v>
      </c>
      <c r="CF5" t="s">
        <v>124</v>
      </c>
      <c r="CG5" t="s">
        <v>3777</v>
      </c>
      <c r="CH5" t="s">
        <v>124</v>
      </c>
      <c r="CI5" t="s">
        <v>124</v>
      </c>
      <c r="CJ5" t="s">
        <v>124</v>
      </c>
      <c r="CK5" t="s">
        <v>124</v>
      </c>
      <c r="CL5" t="s">
        <v>124</v>
      </c>
      <c r="CM5" t="s">
        <v>3794</v>
      </c>
      <c r="CN5" t="s">
        <v>3795</v>
      </c>
      <c r="CO5" t="s">
        <v>3796</v>
      </c>
      <c r="CP5" t="s">
        <v>3797</v>
      </c>
      <c r="CQ5" t="s">
        <v>3798</v>
      </c>
      <c r="CR5" t="s">
        <v>124</v>
      </c>
      <c r="CS5" t="s">
        <v>3778</v>
      </c>
      <c r="CT5" t="s">
        <v>3779</v>
      </c>
      <c r="CU5" t="s">
        <v>3780</v>
      </c>
      <c r="CV5" t="s">
        <v>429</v>
      </c>
      <c r="CW5" t="s">
        <v>3781</v>
      </c>
      <c r="CX5" t="s">
        <v>430</v>
      </c>
      <c r="CY5" t="s">
        <v>429</v>
      </c>
      <c r="CZ5" t="s">
        <v>431</v>
      </c>
      <c r="DA5" t="s">
        <v>432</v>
      </c>
      <c r="DB5" t="s">
        <v>3782</v>
      </c>
      <c r="DC5" t="s">
        <v>362</v>
      </c>
      <c r="DD5" t="s">
        <v>278</v>
      </c>
      <c r="DE5" t="s">
        <v>467</v>
      </c>
    </row>
    <row r="6" spans="1:109" ht="11.25" customHeight="1">
      <c r="A6" s="4" t="s">
        <v>124</v>
      </c>
      <c r="B6" t="s">
        <v>124</v>
      </c>
      <c r="C6" t="s">
        <v>124</v>
      </c>
      <c r="D6" t="s">
        <v>124</v>
      </c>
      <c r="E6" t="s">
        <v>124</v>
      </c>
      <c r="F6" t="s">
        <v>124</v>
      </c>
      <c r="G6" t="s">
        <v>124</v>
      </c>
      <c r="H6" t="s">
        <v>124</v>
      </c>
      <c r="I6" t="s">
        <v>3764</v>
      </c>
      <c r="J6" t="s">
        <v>124</v>
      </c>
      <c r="K6" t="s">
        <v>124</v>
      </c>
      <c r="L6" t="s">
        <v>124</v>
      </c>
      <c r="M6" t="s">
        <v>124</v>
      </c>
      <c r="N6" t="s">
        <v>124</v>
      </c>
      <c r="O6" t="s">
        <v>124</v>
      </c>
      <c r="P6" t="s">
        <v>124</v>
      </c>
      <c r="Q6" t="s">
        <v>124</v>
      </c>
      <c r="R6" t="s">
        <v>437</v>
      </c>
      <c r="S6" t="s">
        <v>124</v>
      </c>
      <c r="T6" t="s">
        <v>124</v>
      </c>
      <c r="U6" t="s">
        <v>101</v>
      </c>
      <c r="V6" t="s">
        <v>124</v>
      </c>
      <c r="W6" t="s">
        <v>124</v>
      </c>
      <c r="X6" t="s">
        <v>3765</v>
      </c>
      <c r="Y6" t="s">
        <v>124</v>
      </c>
      <c r="Z6" t="s">
        <v>215</v>
      </c>
      <c r="AA6" t="s">
        <v>215</v>
      </c>
      <c r="AB6" t="s">
        <v>150</v>
      </c>
      <c r="AC6" t="s">
        <v>341</v>
      </c>
      <c r="AD6" t="s">
        <v>341</v>
      </c>
      <c r="AE6" t="s">
        <v>342</v>
      </c>
      <c r="AF6" t="s">
        <v>3766</v>
      </c>
      <c r="AG6" t="s">
        <v>3767</v>
      </c>
      <c r="AH6" t="s">
        <v>362</v>
      </c>
      <c r="AI6" t="s">
        <v>362</v>
      </c>
      <c r="AJ6" t="s">
        <v>124</v>
      </c>
      <c r="AK6" t="s">
        <v>124</v>
      </c>
      <c r="AL6" t="s">
        <v>124</v>
      </c>
      <c r="AM6" t="s">
        <v>124</v>
      </c>
      <c r="AN6" t="s">
        <v>124</v>
      </c>
      <c r="AO6" t="s">
        <v>124</v>
      </c>
      <c r="AP6" t="s">
        <v>124</v>
      </c>
      <c r="AQ6" t="s">
        <v>124</v>
      </c>
      <c r="AR6" t="s">
        <v>124</v>
      </c>
      <c r="AS6" t="s">
        <v>124</v>
      </c>
      <c r="AT6" t="s">
        <v>124</v>
      </c>
      <c r="AU6" t="s">
        <v>124</v>
      </c>
      <c r="AV6" t="s">
        <v>124</v>
      </c>
      <c r="AW6" t="s">
        <v>124</v>
      </c>
      <c r="AX6" t="s">
        <v>124</v>
      </c>
      <c r="AY6" t="s">
        <v>124</v>
      </c>
      <c r="AZ6" t="s">
        <v>124</v>
      </c>
      <c r="BA6" t="s">
        <v>124</v>
      </c>
      <c r="BB6" t="s">
        <v>124</v>
      </c>
      <c r="BC6" t="s">
        <v>124</v>
      </c>
      <c r="BD6" t="s">
        <v>124</v>
      </c>
      <c r="BE6" t="s">
        <v>3799</v>
      </c>
      <c r="BF6" t="s">
        <v>3800</v>
      </c>
      <c r="BG6" t="s">
        <v>111</v>
      </c>
      <c r="BH6" t="s">
        <v>3770</v>
      </c>
      <c r="BI6" t="s">
        <v>122</v>
      </c>
      <c r="BJ6" t="s">
        <v>124</v>
      </c>
      <c r="BK6" t="s">
        <v>3801</v>
      </c>
      <c r="BL6" t="s">
        <v>341</v>
      </c>
      <c r="BM6" t="s">
        <v>341</v>
      </c>
      <c r="BN6" t="s">
        <v>3772</v>
      </c>
      <c r="BO6" t="s">
        <v>3766</v>
      </c>
      <c r="BP6" t="s">
        <v>3773</v>
      </c>
      <c r="BQ6" t="s">
        <v>362</v>
      </c>
      <c r="BR6" t="s">
        <v>362</v>
      </c>
      <c r="BS6" t="s">
        <v>124</v>
      </c>
      <c r="BT6" t="s">
        <v>3775</v>
      </c>
      <c r="BU6" t="s">
        <v>3802</v>
      </c>
      <c r="BV6" t="s">
        <v>3802</v>
      </c>
      <c r="BW6" t="s">
        <v>3777</v>
      </c>
      <c r="BX6" t="s">
        <v>3777</v>
      </c>
      <c r="BY6" t="s">
        <v>3777</v>
      </c>
      <c r="BZ6" t="s">
        <v>3777</v>
      </c>
      <c r="CA6" t="s">
        <v>3777</v>
      </c>
      <c r="CB6" t="s">
        <v>124</v>
      </c>
      <c r="CC6" t="s">
        <v>124</v>
      </c>
      <c r="CD6" t="s">
        <v>124</v>
      </c>
      <c r="CE6" t="s">
        <v>124</v>
      </c>
      <c r="CF6" t="s">
        <v>124</v>
      </c>
      <c r="CG6" t="s">
        <v>3777</v>
      </c>
      <c r="CH6" t="s">
        <v>124</v>
      </c>
      <c r="CI6" t="s">
        <v>124</v>
      </c>
      <c r="CJ6" t="s">
        <v>124</v>
      </c>
      <c r="CK6" t="s">
        <v>124</v>
      </c>
      <c r="CL6" t="s">
        <v>124</v>
      </c>
      <c r="CM6" t="s">
        <v>3802</v>
      </c>
      <c r="CN6" t="s">
        <v>3802</v>
      </c>
      <c r="CO6" t="s">
        <v>124</v>
      </c>
      <c r="CP6" t="s">
        <v>124</v>
      </c>
      <c r="CQ6" t="s">
        <v>124</v>
      </c>
      <c r="CR6" t="s">
        <v>124</v>
      </c>
      <c r="CS6" t="s">
        <v>3778</v>
      </c>
      <c r="CT6" t="s">
        <v>3779</v>
      </c>
      <c r="CU6" t="s">
        <v>3780</v>
      </c>
      <c r="CV6" t="s">
        <v>429</v>
      </c>
      <c r="CW6" t="s">
        <v>3781</v>
      </c>
      <c r="CX6" t="s">
        <v>430</v>
      </c>
      <c r="CY6" t="s">
        <v>429</v>
      </c>
      <c r="CZ6" t="s">
        <v>431</v>
      </c>
      <c r="DA6" t="s">
        <v>432</v>
      </c>
      <c r="DB6" t="s">
        <v>3782</v>
      </c>
      <c r="DC6" t="s">
        <v>362</v>
      </c>
      <c r="DD6" t="s">
        <v>278</v>
      </c>
      <c r="DE6" t="s">
        <v>428</v>
      </c>
    </row>
    <row r="7" spans="1:109" ht="11.25" customHeight="1">
      <c r="A7" s="4" t="s">
        <v>124</v>
      </c>
      <c r="B7" t="s">
        <v>124</v>
      </c>
      <c r="C7" t="s">
        <v>124</v>
      </c>
      <c r="D7" t="s">
        <v>124</v>
      </c>
      <c r="E7" t="s">
        <v>124</v>
      </c>
      <c r="F7" t="s">
        <v>124</v>
      </c>
      <c r="G7" t="s">
        <v>124</v>
      </c>
      <c r="H7" t="s">
        <v>124</v>
      </c>
      <c r="I7" t="s">
        <v>3764</v>
      </c>
      <c r="J7" t="s">
        <v>124</v>
      </c>
      <c r="K7" t="s">
        <v>124</v>
      </c>
      <c r="L7" t="s">
        <v>124</v>
      </c>
      <c r="M7" t="s">
        <v>124</v>
      </c>
      <c r="N7" t="s">
        <v>124</v>
      </c>
      <c r="O7" t="s">
        <v>124</v>
      </c>
      <c r="P7" t="s">
        <v>124</v>
      </c>
      <c r="Q7" t="s">
        <v>124</v>
      </c>
      <c r="R7" t="s">
        <v>3803</v>
      </c>
      <c r="S7" t="s">
        <v>124</v>
      </c>
      <c r="T7" t="s">
        <v>124</v>
      </c>
      <c r="U7" t="s">
        <v>101</v>
      </c>
      <c r="V7" t="s">
        <v>124</v>
      </c>
      <c r="W7" t="s">
        <v>124</v>
      </c>
      <c r="X7" t="s">
        <v>3765</v>
      </c>
      <c r="Y7" t="s">
        <v>124</v>
      </c>
      <c r="Z7" t="s">
        <v>215</v>
      </c>
      <c r="AA7" t="s">
        <v>215</v>
      </c>
      <c r="AB7" t="s">
        <v>150</v>
      </c>
      <c r="AC7" t="s">
        <v>341</v>
      </c>
      <c r="AD7" t="s">
        <v>341</v>
      </c>
      <c r="AE7" t="s">
        <v>342</v>
      </c>
      <c r="AF7" t="s">
        <v>3804</v>
      </c>
      <c r="AG7" t="s">
        <v>3805</v>
      </c>
      <c r="AH7" t="s">
        <v>3806</v>
      </c>
      <c r="AI7" t="s">
        <v>3807</v>
      </c>
      <c r="AJ7" t="s">
        <v>124</v>
      </c>
      <c r="AK7" t="s">
        <v>124</v>
      </c>
      <c r="AL7" t="s">
        <v>124</v>
      </c>
      <c r="AM7" t="s">
        <v>124</v>
      </c>
      <c r="AN7" t="s">
        <v>124</v>
      </c>
      <c r="AO7" t="s">
        <v>124</v>
      </c>
      <c r="AP7" t="s">
        <v>124</v>
      </c>
      <c r="AQ7" t="s">
        <v>124</v>
      </c>
      <c r="AR7" t="s">
        <v>124</v>
      </c>
      <c r="AS7" t="s">
        <v>124</v>
      </c>
      <c r="AT7" t="s">
        <v>124</v>
      </c>
      <c r="AU7" t="s">
        <v>124</v>
      </c>
      <c r="AV7" t="s">
        <v>124</v>
      </c>
      <c r="AW7" t="s">
        <v>124</v>
      </c>
      <c r="AX7" t="s">
        <v>124</v>
      </c>
      <c r="AY7" t="s">
        <v>124</v>
      </c>
      <c r="AZ7" t="s">
        <v>124</v>
      </c>
      <c r="BA7" t="s">
        <v>124</v>
      </c>
      <c r="BB7" t="s">
        <v>124</v>
      </c>
      <c r="BC7" t="s">
        <v>124</v>
      </c>
      <c r="BD7" t="s">
        <v>124</v>
      </c>
      <c r="BE7" t="s">
        <v>3808</v>
      </c>
      <c r="BF7" t="s">
        <v>3777</v>
      </c>
      <c r="BG7" t="s">
        <v>3257</v>
      </c>
      <c r="BH7" t="s">
        <v>3809</v>
      </c>
      <c r="BI7" t="s">
        <v>2985</v>
      </c>
      <c r="BJ7" t="s">
        <v>124</v>
      </c>
      <c r="BK7" t="s">
        <v>3810</v>
      </c>
      <c r="BL7" t="s">
        <v>2928</v>
      </c>
      <c r="BM7" t="s">
        <v>2928</v>
      </c>
      <c r="BN7" t="s">
        <v>3811</v>
      </c>
      <c r="BO7" t="s">
        <v>3812</v>
      </c>
      <c r="BP7" t="s">
        <v>3813</v>
      </c>
      <c r="BQ7" t="s">
        <v>3814</v>
      </c>
      <c r="BR7" t="s">
        <v>362</v>
      </c>
      <c r="BS7" t="s">
        <v>124</v>
      </c>
      <c r="BT7" t="s">
        <v>3815</v>
      </c>
      <c r="BU7" t="s">
        <v>3816</v>
      </c>
      <c r="BV7" t="s">
        <v>3816</v>
      </c>
      <c r="BW7" t="s">
        <v>3777</v>
      </c>
      <c r="BX7" t="s">
        <v>3777</v>
      </c>
      <c r="BY7" t="s">
        <v>3777</v>
      </c>
      <c r="BZ7" t="s">
        <v>3777</v>
      </c>
      <c r="CA7" t="s">
        <v>3777</v>
      </c>
      <c r="CB7" t="s">
        <v>124</v>
      </c>
      <c r="CC7" t="s">
        <v>124</v>
      </c>
      <c r="CD7" t="s">
        <v>124</v>
      </c>
      <c r="CE7" t="s">
        <v>124</v>
      </c>
      <c r="CF7" t="s">
        <v>124</v>
      </c>
      <c r="CG7" t="s">
        <v>3777</v>
      </c>
      <c r="CH7" t="s">
        <v>124</v>
      </c>
      <c r="CI7" t="s">
        <v>124</v>
      </c>
      <c r="CJ7" t="s">
        <v>124</v>
      </c>
      <c r="CK7" t="s">
        <v>124</v>
      </c>
      <c r="CL7" t="s">
        <v>124</v>
      </c>
      <c r="CM7" t="s">
        <v>3816</v>
      </c>
      <c r="CN7" t="s">
        <v>3816</v>
      </c>
      <c r="CO7" t="s">
        <v>124</v>
      </c>
      <c r="CP7" t="s">
        <v>124</v>
      </c>
      <c r="CQ7" t="s">
        <v>124</v>
      </c>
      <c r="CR7" t="s">
        <v>124</v>
      </c>
      <c r="CS7" t="s">
        <v>3817</v>
      </c>
      <c r="CT7" t="s">
        <v>3779</v>
      </c>
      <c r="CU7" t="s">
        <v>3780</v>
      </c>
      <c r="CV7" t="s">
        <v>429</v>
      </c>
      <c r="CW7" t="s">
        <v>3781</v>
      </c>
      <c r="CX7" t="s">
        <v>430</v>
      </c>
      <c r="CY7" t="s">
        <v>429</v>
      </c>
      <c r="CZ7" t="s">
        <v>431</v>
      </c>
      <c r="DA7" t="s">
        <v>432</v>
      </c>
      <c r="DB7" t="s">
        <v>3782</v>
      </c>
      <c r="DC7" t="s">
        <v>362</v>
      </c>
      <c r="DD7" t="s">
        <v>278</v>
      </c>
      <c r="DE7" t="s">
        <v>3818</v>
      </c>
    </row>
    <row r="8" spans="1:109" ht="11.25" customHeight="1">
      <c r="A8" s="4" t="s">
        <v>124</v>
      </c>
      <c r="B8" t="s">
        <v>124</v>
      </c>
      <c r="C8" t="s">
        <v>124</v>
      </c>
      <c r="D8" t="s">
        <v>124</v>
      </c>
      <c r="E8" t="s">
        <v>124</v>
      </c>
      <c r="F8" t="s">
        <v>124</v>
      </c>
      <c r="G8" t="s">
        <v>124</v>
      </c>
      <c r="H8" t="s">
        <v>124</v>
      </c>
      <c r="I8" t="s">
        <v>3764</v>
      </c>
      <c r="J8" t="s">
        <v>124</v>
      </c>
      <c r="K8" t="s">
        <v>124</v>
      </c>
      <c r="L8" t="s">
        <v>124</v>
      </c>
      <c r="M8" t="s">
        <v>124</v>
      </c>
      <c r="N8" t="s">
        <v>124</v>
      </c>
      <c r="O8" t="s">
        <v>124</v>
      </c>
      <c r="P8" t="s">
        <v>124</v>
      </c>
      <c r="Q8" t="s">
        <v>124</v>
      </c>
      <c r="R8" t="s">
        <v>3819</v>
      </c>
      <c r="S8" t="s">
        <v>124</v>
      </c>
      <c r="T8" t="s">
        <v>124</v>
      </c>
      <c r="U8" t="s">
        <v>101</v>
      </c>
      <c r="V8" t="s">
        <v>124</v>
      </c>
      <c r="W8" t="s">
        <v>124</v>
      </c>
      <c r="X8" t="s">
        <v>3765</v>
      </c>
      <c r="Y8" t="s">
        <v>124</v>
      </c>
      <c r="Z8" t="s">
        <v>215</v>
      </c>
      <c r="AA8" t="s">
        <v>215</v>
      </c>
      <c r="AB8" t="s">
        <v>150</v>
      </c>
      <c r="AC8" t="s">
        <v>341</v>
      </c>
      <c r="AD8" t="s">
        <v>341</v>
      </c>
      <c r="AE8" t="s">
        <v>342</v>
      </c>
      <c r="AF8" t="s">
        <v>3804</v>
      </c>
      <c r="AG8" t="s">
        <v>3805</v>
      </c>
      <c r="AH8" t="s">
        <v>3820</v>
      </c>
      <c r="AI8" t="s">
        <v>3807</v>
      </c>
      <c r="AJ8" t="s">
        <v>124</v>
      </c>
      <c r="AK8" t="s">
        <v>124</v>
      </c>
      <c r="AL8" t="s">
        <v>124</v>
      </c>
      <c r="AM8" t="s">
        <v>124</v>
      </c>
      <c r="AN8" t="s">
        <v>124</v>
      </c>
      <c r="AO8" t="s">
        <v>124</v>
      </c>
      <c r="AP8" t="s">
        <v>124</v>
      </c>
      <c r="AQ8" t="s">
        <v>124</v>
      </c>
      <c r="AR8" t="s">
        <v>124</v>
      </c>
      <c r="AS8" t="s">
        <v>124</v>
      </c>
      <c r="AT8" t="s">
        <v>124</v>
      </c>
      <c r="AU8" t="s">
        <v>124</v>
      </c>
      <c r="AV8" t="s">
        <v>124</v>
      </c>
      <c r="AW8" t="s">
        <v>124</v>
      </c>
      <c r="AX8" t="s">
        <v>124</v>
      </c>
      <c r="AY8" t="s">
        <v>124</v>
      </c>
      <c r="AZ8" t="s">
        <v>124</v>
      </c>
      <c r="BA8" t="s">
        <v>124</v>
      </c>
      <c r="BB8" t="s">
        <v>124</v>
      </c>
      <c r="BC8" t="s">
        <v>124</v>
      </c>
      <c r="BD8" t="s">
        <v>124</v>
      </c>
      <c r="BE8" t="s">
        <v>3808</v>
      </c>
      <c r="BF8" t="s">
        <v>3777</v>
      </c>
      <c r="BG8" t="s">
        <v>3257</v>
      </c>
      <c r="BH8" t="s">
        <v>3809</v>
      </c>
      <c r="BI8" t="s">
        <v>2985</v>
      </c>
      <c r="BJ8" t="s">
        <v>124</v>
      </c>
      <c r="BK8" t="s">
        <v>3810</v>
      </c>
      <c r="BL8" t="s">
        <v>2928</v>
      </c>
      <c r="BM8" t="s">
        <v>2928</v>
      </c>
      <c r="BN8" t="s">
        <v>3811</v>
      </c>
      <c r="BO8" t="s">
        <v>3812</v>
      </c>
      <c r="BP8" t="s">
        <v>3813</v>
      </c>
      <c r="BQ8" t="s">
        <v>3814</v>
      </c>
      <c r="BR8" t="s">
        <v>362</v>
      </c>
      <c r="BS8" t="s">
        <v>124</v>
      </c>
      <c r="BT8" t="s">
        <v>3815</v>
      </c>
      <c r="BU8" t="s">
        <v>3821</v>
      </c>
      <c r="BV8" t="s">
        <v>3821</v>
      </c>
      <c r="BW8" t="s">
        <v>3777</v>
      </c>
      <c r="BX8" t="s">
        <v>3777</v>
      </c>
      <c r="BY8" t="s">
        <v>3777</v>
      </c>
      <c r="BZ8" t="s">
        <v>3777</v>
      </c>
      <c r="CA8" t="s">
        <v>3777</v>
      </c>
      <c r="CB8" t="s">
        <v>124</v>
      </c>
      <c r="CC8" t="s">
        <v>124</v>
      </c>
      <c r="CD8" t="s">
        <v>124</v>
      </c>
      <c r="CE8" t="s">
        <v>124</v>
      </c>
      <c r="CF8" t="s">
        <v>124</v>
      </c>
      <c r="CG8" t="s">
        <v>3777</v>
      </c>
      <c r="CH8" t="s">
        <v>124</v>
      </c>
      <c r="CI8" t="s">
        <v>124</v>
      </c>
      <c r="CJ8" t="s">
        <v>124</v>
      </c>
      <c r="CK8" t="s">
        <v>124</v>
      </c>
      <c r="CL8" t="s">
        <v>124</v>
      </c>
      <c r="CM8" t="s">
        <v>3821</v>
      </c>
      <c r="CN8" t="s">
        <v>3821</v>
      </c>
      <c r="CO8" t="s">
        <v>124</v>
      </c>
      <c r="CP8" t="s">
        <v>124</v>
      </c>
      <c r="CQ8" t="s">
        <v>124</v>
      </c>
      <c r="CR8" t="s">
        <v>124</v>
      </c>
      <c r="CS8" t="s">
        <v>3822</v>
      </c>
      <c r="CT8" t="s">
        <v>3779</v>
      </c>
      <c r="CU8" t="s">
        <v>3780</v>
      </c>
      <c r="CV8" t="s">
        <v>429</v>
      </c>
      <c r="CW8" t="s">
        <v>3781</v>
      </c>
      <c r="CX8" t="s">
        <v>430</v>
      </c>
      <c r="CY8" t="s">
        <v>429</v>
      </c>
      <c r="CZ8" t="s">
        <v>431</v>
      </c>
      <c r="DA8" t="s">
        <v>432</v>
      </c>
      <c r="DB8" t="s">
        <v>3782</v>
      </c>
      <c r="DC8" t="s">
        <v>362</v>
      </c>
      <c r="DD8" t="s">
        <v>278</v>
      </c>
      <c r="DE8" t="s">
        <v>3823</v>
      </c>
    </row>
    <row r="9" spans="1:109" ht="11.25" customHeight="1">
      <c r="A9" s="4" t="s">
        <v>124</v>
      </c>
      <c r="B9" t="s">
        <v>124</v>
      </c>
      <c r="C9" t="s">
        <v>124</v>
      </c>
      <c r="D9" t="s">
        <v>124</v>
      </c>
      <c r="E9" t="s">
        <v>124</v>
      </c>
      <c r="F9" t="s">
        <v>124</v>
      </c>
      <c r="G9" t="s">
        <v>124</v>
      </c>
      <c r="H9" t="s">
        <v>124</v>
      </c>
      <c r="I9" t="s">
        <v>3764</v>
      </c>
      <c r="J9" t="s">
        <v>124</v>
      </c>
      <c r="K9" t="s">
        <v>124</v>
      </c>
      <c r="L9" t="s">
        <v>124</v>
      </c>
      <c r="M9" t="s">
        <v>124</v>
      </c>
      <c r="N9" t="s">
        <v>124</v>
      </c>
      <c r="O9" t="s">
        <v>124</v>
      </c>
      <c r="P9" t="s">
        <v>124</v>
      </c>
      <c r="Q9" t="s">
        <v>124</v>
      </c>
      <c r="R9" t="s">
        <v>473</v>
      </c>
      <c r="S9" t="s">
        <v>124</v>
      </c>
      <c r="T9" t="s">
        <v>124</v>
      </c>
      <c r="U9" t="s">
        <v>101</v>
      </c>
      <c r="V9" t="s">
        <v>124</v>
      </c>
      <c r="W9" t="s">
        <v>124</v>
      </c>
      <c r="X9" t="s">
        <v>3765</v>
      </c>
      <c r="Y9" t="s">
        <v>124</v>
      </c>
      <c r="Z9" t="s">
        <v>215</v>
      </c>
      <c r="AA9" t="s">
        <v>215</v>
      </c>
      <c r="AB9" t="s">
        <v>150</v>
      </c>
      <c r="AC9" t="s">
        <v>341</v>
      </c>
      <c r="AD9" t="s">
        <v>341</v>
      </c>
      <c r="AE9" t="s">
        <v>342</v>
      </c>
      <c r="AF9" t="s">
        <v>3824</v>
      </c>
      <c r="AG9" t="s">
        <v>3825</v>
      </c>
      <c r="AH9" t="s">
        <v>362</v>
      </c>
      <c r="AI9" t="s">
        <v>362</v>
      </c>
      <c r="AJ9" t="s">
        <v>124</v>
      </c>
      <c r="AK9" t="s">
        <v>124</v>
      </c>
      <c r="AL9" t="s">
        <v>124</v>
      </c>
      <c r="AM9" t="s">
        <v>124</v>
      </c>
      <c r="AN9" t="s">
        <v>124</v>
      </c>
      <c r="AO9" t="s">
        <v>124</v>
      </c>
      <c r="AP9" t="s">
        <v>124</v>
      </c>
      <c r="AQ9" t="s">
        <v>124</v>
      </c>
      <c r="AR9" t="s">
        <v>124</v>
      </c>
      <c r="AS9" t="s">
        <v>124</v>
      </c>
      <c r="AT9" t="s">
        <v>124</v>
      </c>
      <c r="AU9" t="s">
        <v>124</v>
      </c>
      <c r="AV9" t="s">
        <v>124</v>
      </c>
      <c r="AW9" t="s">
        <v>124</v>
      </c>
      <c r="AX9" t="s">
        <v>124</v>
      </c>
      <c r="AY9" t="s">
        <v>124</v>
      </c>
      <c r="AZ9" t="s">
        <v>124</v>
      </c>
      <c r="BA9" t="s">
        <v>124</v>
      </c>
      <c r="BB9" t="s">
        <v>124</v>
      </c>
      <c r="BC9" t="s">
        <v>124</v>
      </c>
      <c r="BD9" t="s">
        <v>124</v>
      </c>
      <c r="BE9" t="s">
        <v>3826</v>
      </c>
      <c r="BF9" t="s">
        <v>3827</v>
      </c>
      <c r="BG9" t="s">
        <v>111</v>
      </c>
      <c r="BH9" t="s">
        <v>3770</v>
      </c>
      <c r="BI9" t="s">
        <v>122</v>
      </c>
      <c r="BJ9" t="s">
        <v>124</v>
      </c>
      <c r="BK9" t="s">
        <v>3785</v>
      </c>
      <c r="BL9" t="s">
        <v>2483</v>
      </c>
      <c r="BM9" t="s">
        <v>2483</v>
      </c>
      <c r="BN9" t="s">
        <v>3786</v>
      </c>
      <c r="BO9" t="s">
        <v>3787</v>
      </c>
      <c r="BP9" t="s">
        <v>3788</v>
      </c>
      <c r="BQ9" t="s">
        <v>362</v>
      </c>
      <c r="BR9" t="s">
        <v>362</v>
      </c>
      <c r="BS9" t="s">
        <v>124</v>
      </c>
      <c r="BT9" t="s">
        <v>3775</v>
      </c>
      <c r="BU9" t="s">
        <v>3828</v>
      </c>
      <c r="BV9" t="s">
        <v>3777</v>
      </c>
      <c r="BW9" t="s">
        <v>3828</v>
      </c>
      <c r="BX9" t="s">
        <v>3777</v>
      </c>
      <c r="BY9" t="s">
        <v>3777</v>
      </c>
      <c r="BZ9" t="s">
        <v>3777</v>
      </c>
      <c r="CA9" t="s">
        <v>3777</v>
      </c>
      <c r="CB9" t="s">
        <v>124</v>
      </c>
      <c r="CC9" t="s">
        <v>124</v>
      </c>
      <c r="CD9" t="s">
        <v>124</v>
      </c>
      <c r="CE9" t="s">
        <v>124</v>
      </c>
      <c r="CF9" t="s">
        <v>124</v>
      </c>
      <c r="CG9" t="s">
        <v>3777</v>
      </c>
      <c r="CH9" t="s">
        <v>124</v>
      </c>
      <c r="CI9" t="s">
        <v>124</v>
      </c>
      <c r="CJ9" t="s">
        <v>124</v>
      </c>
      <c r="CK9" t="s">
        <v>124</v>
      </c>
      <c r="CL9" t="s">
        <v>124</v>
      </c>
      <c r="CM9" t="s">
        <v>3828</v>
      </c>
      <c r="CN9" t="s">
        <v>124</v>
      </c>
      <c r="CO9" t="s">
        <v>3828</v>
      </c>
      <c r="CP9" t="s">
        <v>124</v>
      </c>
      <c r="CQ9" t="s">
        <v>124</v>
      </c>
      <c r="CR9" t="s">
        <v>124</v>
      </c>
      <c r="CS9" t="s">
        <v>3778</v>
      </c>
      <c r="CT9" t="s">
        <v>3779</v>
      </c>
      <c r="CU9" t="s">
        <v>3780</v>
      </c>
      <c r="CV9" t="s">
        <v>429</v>
      </c>
      <c r="CW9" t="s">
        <v>3781</v>
      </c>
      <c r="CX9" t="s">
        <v>430</v>
      </c>
      <c r="CY9" t="s">
        <v>429</v>
      </c>
      <c r="CZ9" t="s">
        <v>431</v>
      </c>
      <c r="DA9" t="s">
        <v>432</v>
      </c>
      <c r="DB9" t="s">
        <v>3782</v>
      </c>
      <c r="DC9" t="s">
        <v>362</v>
      </c>
      <c r="DD9" t="s">
        <v>278</v>
      </c>
      <c r="DE9" t="s">
        <v>474</v>
      </c>
    </row>
    <row r="10" spans="1:109" ht="11.25" customHeight="1">
      <c r="A10" s="4" t="s">
        <v>124</v>
      </c>
      <c r="B10" t="s">
        <v>124</v>
      </c>
      <c r="C10" t="s">
        <v>124</v>
      </c>
      <c r="D10" t="s">
        <v>124</v>
      </c>
      <c r="E10" t="s">
        <v>124</v>
      </c>
      <c r="F10" t="s">
        <v>124</v>
      </c>
      <c r="G10" t="s">
        <v>124</v>
      </c>
      <c r="H10" t="s">
        <v>124</v>
      </c>
      <c r="I10" t="s">
        <v>3764</v>
      </c>
      <c r="J10" t="s">
        <v>124</v>
      </c>
      <c r="K10" t="s">
        <v>124</v>
      </c>
      <c r="L10" t="s">
        <v>124</v>
      </c>
      <c r="M10" t="s">
        <v>124</v>
      </c>
      <c r="N10" t="s">
        <v>124</v>
      </c>
      <c r="O10" t="s">
        <v>124</v>
      </c>
      <c r="P10" t="s">
        <v>124</v>
      </c>
      <c r="Q10" t="s">
        <v>124</v>
      </c>
      <c r="R10" t="s">
        <v>439</v>
      </c>
      <c r="S10" t="s">
        <v>124</v>
      </c>
      <c r="T10" t="s">
        <v>124</v>
      </c>
      <c r="U10" t="s">
        <v>101</v>
      </c>
      <c r="V10" t="s">
        <v>124</v>
      </c>
      <c r="W10" t="s">
        <v>124</v>
      </c>
      <c r="X10" t="s">
        <v>3765</v>
      </c>
      <c r="Y10" t="s">
        <v>124</v>
      </c>
      <c r="Z10" t="s">
        <v>215</v>
      </c>
      <c r="AA10" t="s">
        <v>215</v>
      </c>
      <c r="AB10" t="s">
        <v>150</v>
      </c>
      <c r="AC10" t="s">
        <v>341</v>
      </c>
      <c r="AD10" t="s">
        <v>341</v>
      </c>
      <c r="AE10" t="s">
        <v>342</v>
      </c>
      <c r="AF10" t="s">
        <v>3766</v>
      </c>
      <c r="AG10" t="s">
        <v>3767</v>
      </c>
      <c r="AH10" t="s">
        <v>362</v>
      </c>
      <c r="AI10" t="s">
        <v>362</v>
      </c>
      <c r="AJ10" t="s">
        <v>124</v>
      </c>
      <c r="AK10" t="s">
        <v>124</v>
      </c>
      <c r="AL10" t="s">
        <v>124</v>
      </c>
      <c r="AM10" t="s">
        <v>124</v>
      </c>
      <c r="AN10" t="s">
        <v>124</v>
      </c>
      <c r="AO10" t="s">
        <v>124</v>
      </c>
      <c r="AP10" t="s">
        <v>124</v>
      </c>
      <c r="AQ10" t="s">
        <v>124</v>
      </c>
      <c r="AR10" t="s">
        <v>124</v>
      </c>
      <c r="AS10" t="s">
        <v>124</v>
      </c>
      <c r="AT10" t="s">
        <v>124</v>
      </c>
      <c r="AU10" t="s">
        <v>124</v>
      </c>
      <c r="AV10" t="s">
        <v>124</v>
      </c>
      <c r="AW10" t="s">
        <v>124</v>
      </c>
      <c r="AX10" t="s">
        <v>124</v>
      </c>
      <c r="AY10" t="s">
        <v>124</v>
      </c>
      <c r="AZ10" t="s">
        <v>124</v>
      </c>
      <c r="BA10" t="s">
        <v>124</v>
      </c>
      <c r="BB10" t="s">
        <v>124</v>
      </c>
      <c r="BC10" t="s">
        <v>124</v>
      </c>
      <c r="BD10" t="s">
        <v>124</v>
      </c>
      <c r="BE10" t="s">
        <v>3768</v>
      </c>
      <c r="BF10" t="s">
        <v>3829</v>
      </c>
      <c r="BG10" t="s">
        <v>111</v>
      </c>
      <c r="BH10" t="s">
        <v>3770</v>
      </c>
      <c r="BI10" t="s">
        <v>122</v>
      </c>
      <c r="BJ10" t="s">
        <v>124</v>
      </c>
      <c r="BK10" t="s">
        <v>3801</v>
      </c>
      <c r="BL10" t="s">
        <v>341</v>
      </c>
      <c r="BM10" t="s">
        <v>341</v>
      </c>
      <c r="BN10" t="s">
        <v>3772</v>
      </c>
      <c r="BO10" t="s">
        <v>3766</v>
      </c>
      <c r="BP10" t="s">
        <v>3773</v>
      </c>
      <c r="BQ10" t="s">
        <v>362</v>
      </c>
      <c r="BR10" t="s">
        <v>362</v>
      </c>
      <c r="BS10" t="s">
        <v>124</v>
      </c>
      <c r="BT10" t="s">
        <v>3775</v>
      </c>
      <c r="BU10" t="s">
        <v>3830</v>
      </c>
      <c r="BV10" t="s">
        <v>3830</v>
      </c>
      <c r="BW10" t="s">
        <v>3777</v>
      </c>
      <c r="BX10" t="s">
        <v>3777</v>
      </c>
      <c r="BY10" t="s">
        <v>3777</v>
      </c>
      <c r="BZ10" t="s">
        <v>3777</v>
      </c>
      <c r="CA10" t="s">
        <v>3777</v>
      </c>
      <c r="CB10" t="s">
        <v>124</v>
      </c>
      <c r="CC10" t="s">
        <v>124</v>
      </c>
      <c r="CD10" t="s">
        <v>124</v>
      </c>
      <c r="CE10" t="s">
        <v>124</v>
      </c>
      <c r="CF10" t="s">
        <v>124</v>
      </c>
      <c r="CG10" t="s">
        <v>3777</v>
      </c>
      <c r="CH10" t="s">
        <v>124</v>
      </c>
      <c r="CI10" t="s">
        <v>124</v>
      </c>
      <c r="CJ10" t="s">
        <v>124</v>
      </c>
      <c r="CK10" t="s">
        <v>124</v>
      </c>
      <c r="CL10" t="s">
        <v>124</v>
      </c>
      <c r="CM10" t="s">
        <v>3830</v>
      </c>
      <c r="CN10" t="s">
        <v>3830</v>
      </c>
      <c r="CO10" t="s">
        <v>124</v>
      </c>
      <c r="CP10" t="s">
        <v>124</v>
      </c>
      <c r="CQ10" t="s">
        <v>124</v>
      </c>
      <c r="CR10" t="s">
        <v>124</v>
      </c>
      <c r="CS10" t="s">
        <v>3778</v>
      </c>
      <c r="CT10" t="s">
        <v>3779</v>
      </c>
      <c r="CU10" t="s">
        <v>3780</v>
      </c>
      <c r="CV10" t="s">
        <v>429</v>
      </c>
      <c r="CW10" t="s">
        <v>3781</v>
      </c>
      <c r="CX10" t="s">
        <v>430</v>
      </c>
      <c r="CY10" t="s">
        <v>429</v>
      </c>
      <c r="CZ10" t="s">
        <v>431</v>
      </c>
      <c r="DA10" t="s">
        <v>432</v>
      </c>
      <c r="DB10" t="s">
        <v>3782</v>
      </c>
      <c r="DC10" t="s">
        <v>362</v>
      </c>
      <c r="DD10" t="s">
        <v>278</v>
      </c>
      <c r="DE10" t="s">
        <v>428</v>
      </c>
    </row>
    <row r="11" spans="1:109" ht="11.25" customHeight="1">
      <c r="A11" s="4" t="s">
        <v>124</v>
      </c>
      <c r="B11" t="s">
        <v>124</v>
      </c>
      <c r="C11" t="s">
        <v>124</v>
      </c>
      <c r="D11" t="s">
        <v>124</v>
      </c>
      <c r="E11" t="s">
        <v>124</v>
      </c>
      <c r="F11" t="s">
        <v>124</v>
      </c>
      <c r="G11" t="s">
        <v>124</v>
      </c>
      <c r="H11" t="s">
        <v>124</v>
      </c>
      <c r="I11" t="s">
        <v>3764</v>
      </c>
      <c r="J11" t="s">
        <v>124</v>
      </c>
      <c r="K11" t="s">
        <v>124</v>
      </c>
      <c r="L11" t="s">
        <v>124</v>
      </c>
      <c r="M11" t="s">
        <v>124</v>
      </c>
      <c r="N11" t="s">
        <v>124</v>
      </c>
      <c r="O11" t="s">
        <v>124</v>
      </c>
      <c r="P11" t="s">
        <v>124</v>
      </c>
      <c r="Q11" t="s">
        <v>124</v>
      </c>
      <c r="R11" t="s">
        <v>3831</v>
      </c>
      <c r="S11" t="s">
        <v>124</v>
      </c>
      <c r="T11" t="s">
        <v>124</v>
      </c>
      <c r="U11" t="s">
        <v>101</v>
      </c>
      <c r="V11" t="s">
        <v>124</v>
      </c>
      <c r="W11" t="s">
        <v>124</v>
      </c>
      <c r="X11" t="s">
        <v>3765</v>
      </c>
      <c r="Y11" t="s">
        <v>124</v>
      </c>
      <c r="Z11" t="s">
        <v>215</v>
      </c>
      <c r="AA11" t="s">
        <v>215</v>
      </c>
      <c r="AB11" t="s">
        <v>150</v>
      </c>
      <c r="AC11" t="s">
        <v>341</v>
      </c>
      <c r="AD11" t="s">
        <v>341</v>
      </c>
      <c r="AE11" t="s">
        <v>342</v>
      </c>
      <c r="AF11" t="s">
        <v>3804</v>
      </c>
      <c r="AG11" t="s">
        <v>3805</v>
      </c>
      <c r="AH11" t="s">
        <v>3832</v>
      </c>
      <c r="AI11" t="s">
        <v>3807</v>
      </c>
      <c r="AJ11" t="s">
        <v>124</v>
      </c>
      <c r="AK11" t="s">
        <v>124</v>
      </c>
      <c r="AL11" t="s">
        <v>124</v>
      </c>
      <c r="AM11" t="s">
        <v>124</v>
      </c>
      <c r="AN11" t="s">
        <v>124</v>
      </c>
      <c r="AO11" t="s">
        <v>124</v>
      </c>
      <c r="AP11" t="s">
        <v>124</v>
      </c>
      <c r="AQ11" t="s">
        <v>124</v>
      </c>
      <c r="AR11" t="s">
        <v>124</v>
      </c>
      <c r="AS11" t="s">
        <v>124</v>
      </c>
      <c r="AT11" t="s">
        <v>124</v>
      </c>
      <c r="AU11" t="s">
        <v>124</v>
      </c>
      <c r="AV11" t="s">
        <v>124</v>
      </c>
      <c r="AW11" t="s">
        <v>124</v>
      </c>
      <c r="AX11" t="s">
        <v>124</v>
      </c>
      <c r="AY11" t="s">
        <v>124</v>
      </c>
      <c r="AZ11" t="s">
        <v>124</v>
      </c>
      <c r="BA11" t="s">
        <v>124</v>
      </c>
      <c r="BB11" t="s">
        <v>124</v>
      </c>
      <c r="BC11" t="s">
        <v>124</v>
      </c>
      <c r="BD11" t="s">
        <v>124</v>
      </c>
      <c r="BE11" t="s">
        <v>3833</v>
      </c>
      <c r="BF11" t="s">
        <v>3777</v>
      </c>
      <c r="BG11" t="s">
        <v>3257</v>
      </c>
      <c r="BH11" t="s">
        <v>3809</v>
      </c>
      <c r="BI11" t="s">
        <v>2985</v>
      </c>
      <c r="BJ11" t="s">
        <v>124</v>
      </c>
      <c r="BK11" t="s">
        <v>3810</v>
      </c>
      <c r="BL11" t="s">
        <v>2928</v>
      </c>
      <c r="BM11" t="s">
        <v>2928</v>
      </c>
      <c r="BN11" t="s">
        <v>3811</v>
      </c>
      <c r="BO11" t="s">
        <v>3812</v>
      </c>
      <c r="BP11" t="s">
        <v>3813</v>
      </c>
      <c r="BQ11" t="s">
        <v>3814</v>
      </c>
      <c r="BR11" t="s">
        <v>362</v>
      </c>
      <c r="BS11" t="s">
        <v>124</v>
      </c>
      <c r="BT11" t="s">
        <v>3815</v>
      </c>
      <c r="BU11" t="s">
        <v>3834</v>
      </c>
      <c r="BV11" t="s">
        <v>3834</v>
      </c>
      <c r="BW11" t="s">
        <v>3777</v>
      </c>
      <c r="BX11" t="s">
        <v>3777</v>
      </c>
      <c r="BY11" t="s">
        <v>3777</v>
      </c>
      <c r="BZ11" t="s">
        <v>3777</v>
      </c>
      <c r="CA11" t="s">
        <v>3777</v>
      </c>
      <c r="CB11" t="s">
        <v>124</v>
      </c>
      <c r="CC11" t="s">
        <v>124</v>
      </c>
      <c r="CD11" t="s">
        <v>124</v>
      </c>
      <c r="CE11" t="s">
        <v>124</v>
      </c>
      <c r="CF11" t="s">
        <v>124</v>
      </c>
      <c r="CG11" t="s">
        <v>3777</v>
      </c>
      <c r="CH11" t="s">
        <v>124</v>
      </c>
      <c r="CI11" t="s">
        <v>124</v>
      </c>
      <c r="CJ11" t="s">
        <v>124</v>
      </c>
      <c r="CK11" t="s">
        <v>124</v>
      </c>
      <c r="CL11" t="s">
        <v>124</v>
      </c>
      <c r="CM11" t="s">
        <v>3834</v>
      </c>
      <c r="CN11" t="s">
        <v>3834</v>
      </c>
      <c r="CO11" t="s">
        <v>124</v>
      </c>
      <c r="CP11" t="s">
        <v>124</v>
      </c>
      <c r="CQ11" t="s">
        <v>124</v>
      </c>
      <c r="CR11" t="s">
        <v>124</v>
      </c>
      <c r="CS11" t="s">
        <v>3817</v>
      </c>
      <c r="CT11" t="s">
        <v>3779</v>
      </c>
      <c r="CU11" t="s">
        <v>3780</v>
      </c>
      <c r="CV11" t="s">
        <v>429</v>
      </c>
      <c r="CW11" t="s">
        <v>3781</v>
      </c>
      <c r="CX11" t="s">
        <v>430</v>
      </c>
      <c r="CY11" t="s">
        <v>429</v>
      </c>
      <c r="CZ11" t="s">
        <v>431</v>
      </c>
      <c r="DA11" t="s">
        <v>432</v>
      </c>
      <c r="DB11" t="s">
        <v>3782</v>
      </c>
      <c r="DC11" t="s">
        <v>362</v>
      </c>
      <c r="DD11" t="s">
        <v>278</v>
      </c>
      <c r="DE11" t="s">
        <v>3835</v>
      </c>
    </row>
    <row r="12" spans="1:109" ht="11.25" customHeight="1">
      <c r="A12" s="4" t="s">
        <v>124</v>
      </c>
      <c r="B12" t="s">
        <v>124</v>
      </c>
      <c r="C12" t="s">
        <v>124</v>
      </c>
      <c r="D12" t="s">
        <v>124</v>
      </c>
      <c r="E12" t="s">
        <v>124</v>
      </c>
      <c r="F12" t="s">
        <v>124</v>
      </c>
      <c r="G12" t="s">
        <v>124</v>
      </c>
      <c r="H12" t="s">
        <v>124</v>
      </c>
      <c r="I12" t="s">
        <v>3764</v>
      </c>
      <c r="J12" t="s">
        <v>124</v>
      </c>
      <c r="K12" t="s">
        <v>124</v>
      </c>
      <c r="L12" t="s">
        <v>124</v>
      </c>
      <c r="M12" t="s">
        <v>124</v>
      </c>
      <c r="N12" t="s">
        <v>124</v>
      </c>
      <c r="O12" t="s">
        <v>124</v>
      </c>
      <c r="P12" t="s">
        <v>124</v>
      </c>
      <c r="Q12" t="s">
        <v>124</v>
      </c>
      <c r="R12" t="s">
        <v>3836</v>
      </c>
      <c r="S12" t="s">
        <v>124</v>
      </c>
      <c r="T12" t="s">
        <v>124</v>
      </c>
      <c r="U12" t="s">
        <v>101</v>
      </c>
      <c r="V12" t="s">
        <v>124</v>
      </c>
      <c r="W12" t="s">
        <v>124</v>
      </c>
      <c r="X12" t="s">
        <v>3765</v>
      </c>
      <c r="Y12" t="s">
        <v>124</v>
      </c>
      <c r="Z12" t="s">
        <v>215</v>
      </c>
      <c r="AA12" t="s">
        <v>215</v>
      </c>
      <c r="AB12" t="s">
        <v>150</v>
      </c>
      <c r="AC12" t="s">
        <v>341</v>
      </c>
      <c r="AD12" t="s">
        <v>341</v>
      </c>
      <c r="AE12" t="s">
        <v>342</v>
      </c>
      <c r="AF12" t="s">
        <v>3804</v>
      </c>
      <c r="AG12" t="s">
        <v>3805</v>
      </c>
      <c r="AH12" t="s">
        <v>3837</v>
      </c>
      <c r="AI12" t="s">
        <v>3807</v>
      </c>
      <c r="AJ12" t="s">
        <v>124</v>
      </c>
      <c r="AK12" t="s">
        <v>124</v>
      </c>
      <c r="AL12" t="s">
        <v>124</v>
      </c>
      <c r="AM12" t="s">
        <v>124</v>
      </c>
      <c r="AN12" t="s">
        <v>124</v>
      </c>
      <c r="AO12" t="s">
        <v>124</v>
      </c>
      <c r="AP12" t="s">
        <v>124</v>
      </c>
      <c r="AQ12" t="s">
        <v>124</v>
      </c>
      <c r="AR12" t="s">
        <v>124</v>
      </c>
      <c r="AS12" t="s">
        <v>124</v>
      </c>
      <c r="AT12" t="s">
        <v>124</v>
      </c>
      <c r="AU12" t="s">
        <v>124</v>
      </c>
      <c r="AV12" t="s">
        <v>124</v>
      </c>
      <c r="AW12" t="s">
        <v>124</v>
      </c>
      <c r="AX12" t="s">
        <v>124</v>
      </c>
      <c r="AY12" t="s">
        <v>124</v>
      </c>
      <c r="AZ12" t="s">
        <v>124</v>
      </c>
      <c r="BA12" t="s">
        <v>124</v>
      </c>
      <c r="BB12" t="s">
        <v>124</v>
      </c>
      <c r="BC12" t="s">
        <v>124</v>
      </c>
      <c r="BD12" t="s">
        <v>124</v>
      </c>
      <c r="BE12" t="s">
        <v>3838</v>
      </c>
      <c r="BF12" t="s">
        <v>3777</v>
      </c>
      <c r="BG12" t="s">
        <v>3257</v>
      </c>
      <c r="BH12" t="s">
        <v>3809</v>
      </c>
      <c r="BI12" t="s">
        <v>2985</v>
      </c>
      <c r="BJ12" t="s">
        <v>124</v>
      </c>
      <c r="BK12" t="s">
        <v>3810</v>
      </c>
      <c r="BL12" t="s">
        <v>2928</v>
      </c>
      <c r="BM12" t="s">
        <v>2928</v>
      </c>
      <c r="BN12" t="s">
        <v>3811</v>
      </c>
      <c r="BO12" t="s">
        <v>3812</v>
      </c>
      <c r="BP12" t="s">
        <v>3813</v>
      </c>
      <c r="BQ12" t="s">
        <v>3814</v>
      </c>
      <c r="BR12" t="s">
        <v>362</v>
      </c>
      <c r="BS12" t="s">
        <v>124</v>
      </c>
      <c r="BT12" t="s">
        <v>3815</v>
      </c>
      <c r="BU12" t="s">
        <v>3839</v>
      </c>
      <c r="BV12" t="s">
        <v>3839</v>
      </c>
      <c r="BW12" t="s">
        <v>3777</v>
      </c>
      <c r="BX12" t="s">
        <v>3777</v>
      </c>
      <c r="BY12" t="s">
        <v>3777</v>
      </c>
      <c r="BZ12" t="s">
        <v>3777</v>
      </c>
      <c r="CA12" t="s">
        <v>3777</v>
      </c>
      <c r="CB12" t="s">
        <v>124</v>
      </c>
      <c r="CC12" t="s">
        <v>124</v>
      </c>
      <c r="CD12" t="s">
        <v>124</v>
      </c>
      <c r="CE12" t="s">
        <v>124</v>
      </c>
      <c r="CF12" t="s">
        <v>124</v>
      </c>
      <c r="CG12" t="s">
        <v>3777</v>
      </c>
      <c r="CH12" t="s">
        <v>124</v>
      </c>
      <c r="CI12" t="s">
        <v>124</v>
      </c>
      <c r="CJ12" t="s">
        <v>124</v>
      </c>
      <c r="CK12" t="s">
        <v>124</v>
      </c>
      <c r="CL12" t="s">
        <v>124</v>
      </c>
      <c r="CM12" t="s">
        <v>3839</v>
      </c>
      <c r="CN12" t="s">
        <v>3839</v>
      </c>
      <c r="CO12" t="s">
        <v>124</v>
      </c>
      <c r="CP12" t="s">
        <v>124</v>
      </c>
      <c r="CQ12" t="s">
        <v>124</v>
      </c>
      <c r="CR12" t="s">
        <v>124</v>
      </c>
      <c r="CS12" t="s">
        <v>3822</v>
      </c>
      <c r="CT12" t="s">
        <v>3779</v>
      </c>
      <c r="CU12" t="s">
        <v>3780</v>
      </c>
      <c r="CV12" t="s">
        <v>429</v>
      </c>
      <c r="CW12" t="s">
        <v>3781</v>
      </c>
      <c r="CX12" t="s">
        <v>430</v>
      </c>
      <c r="CY12" t="s">
        <v>429</v>
      </c>
      <c r="CZ12" t="s">
        <v>431</v>
      </c>
      <c r="DA12" t="s">
        <v>432</v>
      </c>
      <c r="DB12" t="s">
        <v>3782</v>
      </c>
      <c r="DC12" t="s">
        <v>362</v>
      </c>
      <c r="DD12" t="s">
        <v>278</v>
      </c>
      <c r="DE12" t="s">
        <v>3840</v>
      </c>
    </row>
    <row r="13" spans="1:109" ht="11.25" customHeight="1">
      <c r="A13" s="4" t="s">
        <v>124</v>
      </c>
      <c r="B13" t="s">
        <v>124</v>
      </c>
      <c r="C13" t="s">
        <v>124</v>
      </c>
      <c r="D13" t="s">
        <v>124</v>
      </c>
      <c r="E13" t="s">
        <v>124</v>
      </c>
      <c r="F13" t="s">
        <v>124</v>
      </c>
      <c r="G13" t="s">
        <v>124</v>
      </c>
      <c r="H13" t="s">
        <v>124</v>
      </c>
      <c r="I13" t="s">
        <v>3764</v>
      </c>
      <c r="J13" t="s">
        <v>124</v>
      </c>
      <c r="K13" t="s">
        <v>124</v>
      </c>
      <c r="L13" t="s">
        <v>124</v>
      </c>
      <c r="M13" t="s">
        <v>124</v>
      </c>
      <c r="N13" t="s">
        <v>124</v>
      </c>
      <c r="O13" t="s">
        <v>124</v>
      </c>
      <c r="P13" t="s">
        <v>124</v>
      </c>
      <c r="Q13" t="s">
        <v>124</v>
      </c>
      <c r="R13" t="s">
        <v>488</v>
      </c>
      <c r="S13" t="s">
        <v>124</v>
      </c>
      <c r="T13" t="s">
        <v>124</v>
      </c>
      <c r="U13" t="s">
        <v>101</v>
      </c>
      <c r="V13" t="s">
        <v>124</v>
      </c>
      <c r="W13" t="s">
        <v>124</v>
      </c>
      <c r="X13" t="s">
        <v>3765</v>
      </c>
      <c r="Y13" t="s">
        <v>124</v>
      </c>
      <c r="Z13" t="s">
        <v>215</v>
      </c>
      <c r="AA13" t="s">
        <v>215</v>
      </c>
      <c r="AB13" t="s">
        <v>150</v>
      </c>
      <c r="AC13" t="s">
        <v>2483</v>
      </c>
      <c r="AD13" t="s">
        <v>2483</v>
      </c>
      <c r="AE13" t="s">
        <v>2484</v>
      </c>
      <c r="AF13" t="s">
        <v>3841</v>
      </c>
      <c r="AG13" t="s">
        <v>3842</v>
      </c>
      <c r="AH13" t="s">
        <v>362</v>
      </c>
      <c r="AI13" t="s">
        <v>362</v>
      </c>
      <c r="AJ13" t="s">
        <v>124</v>
      </c>
      <c r="AK13" t="s">
        <v>124</v>
      </c>
      <c r="AL13" t="s">
        <v>124</v>
      </c>
      <c r="AM13" t="s">
        <v>124</v>
      </c>
      <c r="AN13" t="s">
        <v>124</v>
      </c>
      <c r="AO13" t="s">
        <v>124</v>
      </c>
      <c r="AP13" t="s">
        <v>124</v>
      </c>
      <c r="AQ13" t="s">
        <v>124</v>
      </c>
      <c r="AR13" t="s">
        <v>124</v>
      </c>
      <c r="AS13" t="s">
        <v>124</v>
      </c>
      <c r="AT13" t="s">
        <v>124</v>
      </c>
      <c r="AU13" t="s">
        <v>124</v>
      </c>
      <c r="AV13" t="s">
        <v>124</v>
      </c>
      <c r="AW13" t="s">
        <v>124</v>
      </c>
      <c r="AX13" t="s">
        <v>124</v>
      </c>
      <c r="AY13" t="s">
        <v>124</v>
      </c>
      <c r="AZ13" t="s">
        <v>124</v>
      </c>
      <c r="BA13" t="s">
        <v>124</v>
      </c>
      <c r="BB13" t="s">
        <v>124</v>
      </c>
      <c r="BC13" t="s">
        <v>124</v>
      </c>
      <c r="BD13" t="s">
        <v>124</v>
      </c>
      <c r="BE13" t="s">
        <v>3843</v>
      </c>
      <c r="BF13" t="s">
        <v>3844</v>
      </c>
      <c r="BG13" t="s">
        <v>111</v>
      </c>
      <c r="BH13" t="s">
        <v>3770</v>
      </c>
      <c r="BI13" t="s">
        <v>122</v>
      </c>
      <c r="BJ13" t="s">
        <v>124</v>
      </c>
      <c r="BK13" t="s">
        <v>3845</v>
      </c>
      <c r="BL13" t="s">
        <v>2483</v>
      </c>
      <c r="BM13" t="s">
        <v>2483</v>
      </c>
      <c r="BN13" t="s">
        <v>3786</v>
      </c>
      <c r="BO13" t="s">
        <v>3841</v>
      </c>
      <c r="BP13" t="s">
        <v>3846</v>
      </c>
      <c r="BQ13" t="s">
        <v>362</v>
      </c>
      <c r="BR13" t="s">
        <v>362</v>
      </c>
      <c r="BS13" t="s">
        <v>124</v>
      </c>
      <c r="BT13" t="s">
        <v>3775</v>
      </c>
      <c r="BU13" t="s">
        <v>3847</v>
      </c>
      <c r="BV13" t="s">
        <v>3848</v>
      </c>
      <c r="BW13" t="s">
        <v>3849</v>
      </c>
      <c r="BX13" t="s">
        <v>3850</v>
      </c>
      <c r="BY13" t="s">
        <v>3777</v>
      </c>
      <c r="BZ13" t="s">
        <v>3777</v>
      </c>
      <c r="CA13" t="s">
        <v>3777</v>
      </c>
      <c r="CB13" t="s">
        <v>124</v>
      </c>
      <c r="CC13" t="s">
        <v>124</v>
      </c>
      <c r="CD13" t="s">
        <v>124</v>
      </c>
      <c r="CE13" t="s">
        <v>124</v>
      </c>
      <c r="CF13" t="s">
        <v>124</v>
      </c>
      <c r="CG13" t="s">
        <v>3777</v>
      </c>
      <c r="CH13" t="s">
        <v>124</v>
      </c>
      <c r="CI13" t="s">
        <v>124</v>
      </c>
      <c r="CJ13" t="s">
        <v>124</v>
      </c>
      <c r="CK13" t="s">
        <v>124</v>
      </c>
      <c r="CL13" t="s">
        <v>124</v>
      </c>
      <c r="CM13" t="s">
        <v>3847</v>
      </c>
      <c r="CN13" t="s">
        <v>3848</v>
      </c>
      <c r="CO13" t="s">
        <v>3849</v>
      </c>
      <c r="CP13" t="s">
        <v>3850</v>
      </c>
      <c r="CQ13" t="s">
        <v>124</v>
      </c>
      <c r="CR13" t="s">
        <v>124</v>
      </c>
      <c r="CS13" t="s">
        <v>3778</v>
      </c>
      <c r="CT13" t="s">
        <v>3779</v>
      </c>
      <c r="CU13" t="s">
        <v>3780</v>
      </c>
      <c r="CV13" t="s">
        <v>429</v>
      </c>
      <c r="CW13" t="s">
        <v>3781</v>
      </c>
      <c r="CX13" t="s">
        <v>430</v>
      </c>
      <c r="CY13" t="s">
        <v>429</v>
      </c>
      <c r="CZ13" t="s">
        <v>431</v>
      </c>
      <c r="DA13" t="s">
        <v>432</v>
      </c>
      <c r="DB13" t="s">
        <v>3782</v>
      </c>
      <c r="DC13" t="s">
        <v>362</v>
      </c>
      <c r="DD13" t="s">
        <v>278</v>
      </c>
      <c r="DE13" t="s">
        <v>489</v>
      </c>
    </row>
    <row r="14" spans="1:109" ht="11.25" customHeight="1">
      <c r="A14" s="4" t="s">
        <v>124</v>
      </c>
      <c r="B14" t="s">
        <v>124</v>
      </c>
      <c r="C14" t="s">
        <v>124</v>
      </c>
      <c r="D14" t="s">
        <v>124</v>
      </c>
      <c r="E14" t="s">
        <v>124</v>
      </c>
      <c r="F14" t="s">
        <v>124</v>
      </c>
      <c r="G14" t="s">
        <v>124</v>
      </c>
      <c r="H14" t="s">
        <v>124</v>
      </c>
      <c r="I14" t="s">
        <v>3764</v>
      </c>
      <c r="J14" t="s">
        <v>124</v>
      </c>
      <c r="K14" t="s">
        <v>124</v>
      </c>
      <c r="L14" t="s">
        <v>124</v>
      </c>
      <c r="M14" t="s">
        <v>124</v>
      </c>
      <c r="N14" t="s">
        <v>124</v>
      </c>
      <c r="O14" t="s">
        <v>124</v>
      </c>
      <c r="P14" t="s">
        <v>124</v>
      </c>
      <c r="Q14" t="s">
        <v>124</v>
      </c>
      <c r="R14" t="s">
        <v>441</v>
      </c>
      <c r="S14" t="s">
        <v>124</v>
      </c>
      <c r="T14" t="s">
        <v>124</v>
      </c>
      <c r="U14" t="s">
        <v>101</v>
      </c>
      <c r="V14" t="s">
        <v>124</v>
      </c>
      <c r="W14" t="s">
        <v>124</v>
      </c>
      <c r="X14" t="s">
        <v>3765</v>
      </c>
      <c r="Y14" t="s">
        <v>124</v>
      </c>
      <c r="Z14" t="s">
        <v>215</v>
      </c>
      <c r="AA14" t="s">
        <v>215</v>
      </c>
      <c r="AB14" t="s">
        <v>150</v>
      </c>
      <c r="AC14" t="s">
        <v>341</v>
      </c>
      <c r="AD14" t="s">
        <v>341</v>
      </c>
      <c r="AE14" t="s">
        <v>342</v>
      </c>
      <c r="AF14" t="s">
        <v>3766</v>
      </c>
      <c r="AG14" t="s">
        <v>3767</v>
      </c>
      <c r="AH14" t="s">
        <v>362</v>
      </c>
      <c r="AI14" t="s">
        <v>362</v>
      </c>
      <c r="AJ14" t="s">
        <v>124</v>
      </c>
      <c r="AK14" t="s">
        <v>124</v>
      </c>
      <c r="AL14" t="s">
        <v>124</v>
      </c>
      <c r="AM14" t="s">
        <v>124</v>
      </c>
      <c r="AN14" t="s">
        <v>124</v>
      </c>
      <c r="AO14" t="s">
        <v>124</v>
      </c>
      <c r="AP14" t="s">
        <v>124</v>
      </c>
      <c r="AQ14" t="s">
        <v>124</v>
      </c>
      <c r="AR14" t="s">
        <v>124</v>
      </c>
      <c r="AS14" t="s">
        <v>124</v>
      </c>
      <c r="AT14" t="s">
        <v>124</v>
      </c>
      <c r="AU14" t="s">
        <v>124</v>
      </c>
      <c r="AV14" t="s">
        <v>124</v>
      </c>
      <c r="AW14" t="s">
        <v>124</v>
      </c>
      <c r="AX14" t="s">
        <v>124</v>
      </c>
      <c r="AY14" t="s">
        <v>124</v>
      </c>
      <c r="AZ14" t="s">
        <v>124</v>
      </c>
      <c r="BA14" t="s">
        <v>124</v>
      </c>
      <c r="BB14" t="s">
        <v>124</v>
      </c>
      <c r="BC14" t="s">
        <v>124</v>
      </c>
      <c r="BD14" t="s">
        <v>124</v>
      </c>
      <c r="BE14" t="s">
        <v>3851</v>
      </c>
      <c r="BF14" t="s">
        <v>3852</v>
      </c>
      <c r="BG14" t="s">
        <v>111</v>
      </c>
      <c r="BH14" t="s">
        <v>3770</v>
      </c>
      <c r="BI14" t="s">
        <v>122</v>
      </c>
      <c r="BJ14" t="s">
        <v>124</v>
      </c>
      <c r="BK14" t="s">
        <v>3853</v>
      </c>
      <c r="BL14" t="s">
        <v>341</v>
      </c>
      <c r="BM14" t="s">
        <v>341</v>
      </c>
      <c r="BN14" t="s">
        <v>3772</v>
      </c>
      <c r="BO14" t="s">
        <v>3766</v>
      </c>
      <c r="BP14" t="s">
        <v>3773</v>
      </c>
      <c r="BQ14" t="s">
        <v>362</v>
      </c>
      <c r="BR14" t="s">
        <v>362</v>
      </c>
      <c r="BS14" t="s">
        <v>124</v>
      </c>
      <c r="BT14" t="s">
        <v>3775</v>
      </c>
      <c r="BU14" t="s">
        <v>3854</v>
      </c>
      <c r="BV14" t="s">
        <v>3855</v>
      </c>
      <c r="BW14" t="s">
        <v>3777</v>
      </c>
      <c r="BX14" t="s">
        <v>3856</v>
      </c>
      <c r="BY14" t="s">
        <v>3777</v>
      </c>
      <c r="BZ14" t="s">
        <v>3777</v>
      </c>
      <c r="CA14" t="s">
        <v>3777</v>
      </c>
      <c r="CB14" t="s">
        <v>124</v>
      </c>
      <c r="CC14" t="s">
        <v>124</v>
      </c>
      <c r="CD14" t="s">
        <v>124</v>
      </c>
      <c r="CE14" t="s">
        <v>124</v>
      </c>
      <c r="CF14" t="s">
        <v>124</v>
      </c>
      <c r="CG14" t="s">
        <v>3777</v>
      </c>
      <c r="CH14" t="s">
        <v>124</v>
      </c>
      <c r="CI14" t="s">
        <v>124</v>
      </c>
      <c r="CJ14" t="s">
        <v>124</v>
      </c>
      <c r="CK14" t="s">
        <v>124</v>
      </c>
      <c r="CL14" t="s">
        <v>124</v>
      </c>
      <c r="CM14" t="s">
        <v>3854</v>
      </c>
      <c r="CN14" t="s">
        <v>3855</v>
      </c>
      <c r="CO14" t="s">
        <v>124</v>
      </c>
      <c r="CP14" t="s">
        <v>3856</v>
      </c>
      <c r="CQ14" t="s">
        <v>124</v>
      </c>
      <c r="CR14" t="s">
        <v>124</v>
      </c>
      <c r="CS14" t="s">
        <v>3778</v>
      </c>
      <c r="CT14" t="s">
        <v>3779</v>
      </c>
      <c r="CU14" t="s">
        <v>3780</v>
      </c>
      <c r="CV14" t="s">
        <v>429</v>
      </c>
      <c r="CW14" t="s">
        <v>3781</v>
      </c>
      <c r="CX14" t="s">
        <v>430</v>
      </c>
      <c r="CY14" t="s">
        <v>429</v>
      </c>
      <c r="CZ14" t="s">
        <v>431</v>
      </c>
      <c r="DA14" t="s">
        <v>432</v>
      </c>
      <c r="DB14" t="s">
        <v>3782</v>
      </c>
      <c r="DC14" t="s">
        <v>362</v>
      </c>
      <c r="DD14" t="s">
        <v>278</v>
      </c>
      <c r="DE14" t="s">
        <v>428</v>
      </c>
    </row>
    <row r="15" spans="1:109" ht="11.25" customHeight="1">
      <c r="A15" s="4" t="s">
        <v>124</v>
      </c>
      <c r="B15" t="s">
        <v>124</v>
      </c>
      <c r="C15" t="s">
        <v>124</v>
      </c>
      <c r="D15" t="s">
        <v>124</v>
      </c>
      <c r="E15" t="s">
        <v>124</v>
      </c>
      <c r="F15" t="s">
        <v>124</v>
      </c>
      <c r="G15" t="s">
        <v>124</v>
      </c>
      <c r="H15" t="s">
        <v>124</v>
      </c>
      <c r="I15" t="s">
        <v>3764</v>
      </c>
      <c r="J15" t="s">
        <v>124</v>
      </c>
      <c r="K15" t="s">
        <v>124</v>
      </c>
      <c r="L15" t="s">
        <v>124</v>
      </c>
      <c r="M15" t="s">
        <v>124</v>
      </c>
      <c r="N15" t="s">
        <v>124</v>
      </c>
      <c r="O15" t="s">
        <v>124</v>
      </c>
      <c r="P15" t="s">
        <v>124</v>
      </c>
      <c r="Q15" t="s">
        <v>124</v>
      </c>
      <c r="R15" t="s">
        <v>3857</v>
      </c>
      <c r="S15" t="s">
        <v>124</v>
      </c>
      <c r="T15" t="s">
        <v>124</v>
      </c>
      <c r="U15" t="s">
        <v>101</v>
      </c>
      <c r="V15" t="s">
        <v>124</v>
      </c>
      <c r="W15" t="s">
        <v>124</v>
      </c>
      <c r="X15" t="s">
        <v>3765</v>
      </c>
      <c r="Y15" t="s">
        <v>124</v>
      </c>
      <c r="Z15" t="s">
        <v>215</v>
      </c>
      <c r="AA15" t="s">
        <v>215</v>
      </c>
      <c r="AB15" t="s">
        <v>150</v>
      </c>
      <c r="AC15" t="s">
        <v>341</v>
      </c>
      <c r="AD15" t="s">
        <v>341</v>
      </c>
      <c r="AE15" t="s">
        <v>342</v>
      </c>
      <c r="AF15" t="s">
        <v>3804</v>
      </c>
      <c r="AG15" t="s">
        <v>3805</v>
      </c>
      <c r="AH15" t="s">
        <v>3832</v>
      </c>
      <c r="AI15" t="s">
        <v>3807</v>
      </c>
      <c r="AJ15" t="s">
        <v>124</v>
      </c>
      <c r="AK15" t="s">
        <v>124</v>
      </c>
      <c r="AL15" t="s">
        <v>124</v>
      </c>
      <c r="AM15" t="s">
        <v>124</v>
      </c>
      <c r="AN15" t="s">
        <v>124</v>
      </c>
      <c r="AO15" t="s">
        <v>124</v>
      </c>
      <c r="AP15" t="s">
        <v>124</v>
      </c>
      <c r="AQ15" t="s">
        <v>124</v>
      </c>
      <c r="AR15" t="s">
        <v>124</v>
      </c>
      <c r="AS15" t="s">
        <v>124</v>
      </c>
      <c r="AT15" t="s">
        <v>124</v>
      </c>
      <c r="AU15" t="s">
        <v>124</v>
      </c>
      <c r="AV15" t="s">
        <v>124</v>
      </c>
      <c r="AW15" t="s">
        <v>124</v>
      </c>
      <c r="AX15" t="s">
        <v>124</v>
      </c>
      <c r="AY15" t="s">
        <v>124</v>
      </c>
      <c r="AZ15" t="s">
        <v>124</v>
      </c>
      <c r="BA15" t="s">
        <v>124</v>
      </c>
      <c r="BB15" t="s">
        <v>124</v>
      </c>
      <c r="BC15" t="s">
        <v>124</v>
      </c>
      <c r="BD15" t="s">
        <v>124</v>
      </c>
      <c r="BE15" t="s">
        <v>3858</v>
      </c>
      <c r="BF15" t="s">
        <v>3777</v>
      </c>
      <c r="BG15" t="s">
        <v>3257</v>
      </c>
      <c r="BH15" t="s">
        <v>3809</v>
      </c>
      <c r="BI15" t="s">
        <v>2985</v>
      </c>
      <c r="BJ15" t="s">
        <v>124</v>
      </c>
      <c r="BK15" t="s">
        <v>3810</v>
      </c>
      <c r="BL15" t="s">
        <v>2928</v>
      </c>
      <c r="BM15" t="s">
        <v>2928</v>
      </c>
      <c r="BN15" t="s">
        <v>3811</v>
      </c>
      <c r="BO15" t="s">
        <v>3812</v>
      </c>
      <c r="BP15" t="s">
        <v>3813</v>
      </c>
      <c r="BQ15" t="s">
        <v>3814</v>
      </c>
      <c r="BR15" t="s">
        <v>362</v>
      </c>
      <c r="BS15" t="s">
        <v>124</v>
      </c>
      <c r="BT15" t="s">
        <v>3815</v>
      </c>
      <c r="BU15" t="s">
        <v>3859</v>
      </c>
      <c r="BV15" t="s">
        <v>3859</v>
      </c>
      <c r="BW15" t="s">
        <v>3777</v>
      </c>
      <c r="BX15" t="s">
        <v>3777</v>
      </c>
      <c r="BY15" t="s">
        <v>3777</v>
      </c>
      <c r="BZ15" t="s">
        <v>3777</v>
      </c>
      <c r="CA15" t="s">
        <v>3777</v>
      </c>
      <c r="CB15" t="s">
        <v>124</v>
      </c>
      <c r="CC15" t="s">
        <v>124</v>
      </c>
      <c r="CD15" t="s">
        <v>124</v>
      </c>
      <c r="CE15" t="s">
        <v>124</v>
      </c>
      <c r="CF15" t="s">
        <v>124</v>
      </c>
      <c r="CG15" t="s">
        <v>3777</v>
      </c>
      <c r="CH15" t="s">
        <v>124</v>
      </c>
      <c r="CI15" t="s">
        <v>124</v>
      </c>
      <c r="CJ15" t="s">
        <v>124</v>
      </c>
      <c r="CK15" t="s">
        <v>124</v>
      </c>
      <c r="CL15" t="s">
        <v>124</v>
      </c>
      <c r="CM15" t="s">
        <v>3859</v>
      </c>
      <c r="CN15" t="s">
        <v>3859</v>
      </c>
      <c r="CO15" t="s">
        <v>124</v>
      </c>
      <c r="CP15" t="s">
        <v>124</v>
      </c>
      <c r="CQ15" t="s">
        <v>124</v>
      </c>
      <c r="CR15" t="s">
        <v>124</v>
      </c>
      <c r="CS15" t="s">
        <v>3817</v>
      </c>
      <c r="CT15" t="s">
        <v>3779</v>
      </c>
      <c r="CU15" t="s">
        <v>3780</v>
      </c>
      <c r="CV15" t="s">
        <v>429</v>
      </c>
      <c r="CW15" t="s">
        <v>3781</v>
      </c>
      <c r="CX15" t="s">
        <v>430</v>
      </c>
      <c r="CY15" t="s">
        <v>429</v>
      </c>
      <c r="CZ15" t="s">
        <v>431</v>
      </c>
      <c r="DA15" t="s">
        <v>432</v>
      </c>
      <c r="DB15" t="s">
        <v>3782</v>
      </c>
      <c r="DC15" t="s">
        <v>362</v>
      </c>
      <c r="DD15" t="s">
        <v>278</v>
      </c>
      <c r="DE15" t="s">
        <v>3835</v>
      </c>
    </row>
    <row r="16" spans="1:109" ht="11.25" customHeight="1">
      <c r="A16" s="4" t="s">
        <v>124</v>
      </c>
      <c r="B16" t="s">
        <v>124</v>
      </c>
      <c r="C16" t="s">
        <v>124</v>
      </c>
      <c r="D16" t="s">
        <v>124</v>
      </c>
      <c r="E16" t="s">
        <v>124</v>
      </c>
      <c r="F16" t="s">
        <v>124</v>
      </c>
      <c r="G16" t="s">
        <v>124</v>
      </c>
      <c r="H16" t="s">
        <v>124</v>
      </c>
      <c r="I16" t="s">
        <v>3764</v>
      </c>
      <c r="J16" t="s">
        <v>124</v>
      </c>
      <c r="K16" t="s">
        <v>124</v>
      </c>
      <c r="L16" t="s">
        <v>124</v>
      </c>
      <c r="M16" t="s">
        <v>124</v>
      </c>
      <c r="N16" t="s">
        <v>124</v>
      </c>
      <c r="O16" t="s">
        <v>124</v>
      </c>
      <c r="P16" t="s">
        <v>124</v>
      </c>
      <c r="Q16" t="s">
        <v>124</v>
      </c>
      <c r="R16" t="s">
        <v>3860</v>
      </c>
      <c r="S16" t="s">
        <v>124</v>
      </c>
      <c r="T16" t="s">
        <v>124</v>
      </c>
      <c r="U16" t="s">
        <v>101</v>
      </c>
      <c r="V16" t="s">
        <v>124</v>
      </c>
      <c r="W16" t="s">
        <v>124</v>
      </c>
      <c r="X16" t="s">
        <v>3765</v>
      </c>
      <c r="Y16" t="s">
        <v>124</v>
      </c>
      <c r="Z16" t="s">
        <v>215</v>
      </c>
      <c r="AA16" t="s">
        <v>215</v>
      </c>
      <c r="AB16" t="s">
        <v>150</v>
      </c>
      <c r="AC16" t="s">
        <v>341</v>
      </c>
      <c r="AD16" t="s">
        <v>341</v>
      </c>
      <c r="AE16" t="s">
        <v>342</v>
      </c>
      <c r="AF16" t="s">
        <v>3804</v>
      </c>
      <c r="AG16" t="s">
        <v>3805</v>
      </c>
      <c r="AH16" t="s">
        <v>3861</v>
      </c>
      <c r="AI16" t="s">
        <v>3807</v>
      </c>
      <c r="AJ16" t="s">
        <v>124</v>
      </c>
      <c r="AK16" t="s">
        <v>124</v>
      </c>
      <c r="AL16" t="s">
        <v>124</v>
      </c>
      <c r="AM16" t="s">
        <v>124</v>
      </c>
      <c r="AN16" t="s">
        <v>124</v>
      </c>
      <c r="AO16" t="s">
        <v>124</v>
      </c>
      <c r="AP16" t="s">
        <v>124</v>
      </c>
      <c r="AQ16" t="s">
        <v>124</v>
      </c>
      <c r="AR16" t="s">
        <v>124</v>
      </c>
      <c r="AS16" t="s">
        <v>124</v>
      </c>
      <c r="AT16" t="s">
        <v>124</v>
      </c>
      <c r="AU16" t="s">
        <v>124</v>
      </c>
      <c r="AV16" t="s">
        <v>124</v>
      </c>
      <c r="AW16" t="s">
        <v>124</v>
      </c>
      <c r="AX16" t="s">
        <v>124</v>
      </c>
      <c r="AY16" t="s">
        <v>124</v>
      </c>
      <c r="AZ16" t="s">
        <v>124</v>
      </c>
      <c r="BA16" t="s">
        <v>124</v>
      </c>
      <c r="BB16" t="s">
        <v>124</v>
      </c>
      <c r="BC16" t="s">
        <v>124</v>
      </c>
      <c r="BD16" t="s">
        <v>124</v>
      </c>
      <c r="BE16" t="s">
        <v>3808</v>
      </c>
      <c r="BF16" t="s">
        <v>3777</v>
      </c>
      <c r="BG16" t="s">
        <v>3257</v>
      </c>
      <c r="BH16" t="s">
        <v>3809</v>
      </c>
      <c r="BI16" t="s">
        <v>2985</v>
      </c>
      <c r="BJ16" t="s">
        <v>124</v>
      </c>
      <c r="BK16" t="s">
        <v>3810</v>
      </c>
      <c r="BL16" t="s">
        <v>2928</v>
      </c>
      <c r="BM16" t="s">
        <v>2928</v>
      </c>
      <c r="BN16" t="s">
        <v>3811</v>
      </c>
      <c r="BO16" t="s">
        <v>3812</v>
      </c>
      <c r="BP16" t="s">
        <v>3813</v>
      </c>
      <c r="BQ16" t="s">
        <v>3814</v>
      </c>
      <c r="BR16" t="s">
        <v>362</v>
      </c>
      <c r="BS16" t="s">
        <v>124</v>
      </c>
      <c r="BT16" t="s">
        <v>3815</v>
      </c>
      <c r="BU16" t="s">
        <v>3862</v>
      </c>
      <c r="BV16" t="s">
        <v>3862</v>
      </c>
      <c r="BW16" t="s">
        <v>3777</v>
      </c>
      <c r="BX16" t="s">
        <v>3777</v>
      </c>
      <c r="BY16" t="s">
        <v>3777</v>
      </c>
      <c r="BZ16" t="s">
        <v>3777</v>
      </c>
      <c r="CA16" t="s">
        <v>3777</v>
      </c>
      <c r="CB16" t="s">
        <v>124</v>
      </c>
      <c r="CC16" t="s">
        <v>124</v>
      </c>
      <c r="CD16" t="s">
        <v>124</v>
      </c>
      <c r="CE16" t="s">
        <v>124</v>
      </c>
      <c r="CF16" t="s">
        <v>124</v>
      </c>
      <c r="CG16" t="s">
        <v>3777</v>
      </c>
      <c r="CH16" t="s">
        <v>124</v>
      </c>
      <c r="CI16" t="s">
        <v>124</v>
      </c>
      <c r="CJ16" t="s">
        <v>124</v>
      </c>
      <c r="CK16" t="s">
        <v>124</v>
      </c>
      <c r="CL16" t="s">
        <v>124</v>
      </c>
      <c r="CM16" t="s">
        <v>3862</v>
      </c>
      <c r="CN16" t="s">
        <v>3862</v>
      </c>
      <c r="CO16" t="s">
        <v>124</v>
      </c>
      <c r="CP16" t="s">
        <v>124</v>
      </c>
      <c r="CQ16" t="s">
        <v>124</v>
      </c>
      <c r="CR16" t="s">
        <v>124</v>
      </c>
      <c r="CS16" t="s">
        <v>3817</v>
      </c>
      <c r="CT16" t="s">
        <v>3779</v>
      </c>
      <c r="CU16" t="s">
        <v>3780</v>
      </c>
      <c r="CV16" t="s">
        <v>429</v>
      </c>
      <c r="CW16" t="s">
        <v>3781</v>
      </c>
      <c r="CX16" t="s">
        <v>430</v>
      </c>
      <c r="CY16" t="s">
        <v>429</v>
      </c>
      <c r="CZ16" t="s">
        <v>431</v>
      </c>
      <c r="DA16" t="s">
        <v>432</v>
      </c>
      <c r="DB16" t="s">
        <v>3782</v>
      </c>
      <c r="DC16" t="s">
        <v>362</v>
      </c>
      <c r="DD16" t="s">
        <v>278</v>
      </c>
      <c r="DE16" t="s">
        <v>3863</v>
      </c>
    </row>
    <row r="17" spans="1:109" ht="11.25" customHeight="1">
      <c r="A17" s="4" t="s">
        <v>124</v>
      </c>
      <c r="B17" t="s">
        <v>124</v>
      </c>
      <c r="C17" t="s">
        <v>124</v>
      </c>
      <c r="D17" t="s">
        <v>124</v>
      </c>
      <c r="E17" t="s">
        <v>124</v>
      </c>
      <c r="F17" t="s">
        <v>124</v>
      </c>
      <c r="G17" t="s">
        <v>124</v>
      </c>
      <c r="H17" t="s">
        <v>124</v>
      </c>
      <c r="I17" t="s">
        <v>3764</v>
      </c>
      <c r="J17" t="s">
        <v>124</v>
      </c>
      <c r="K17" t="s">
        <v>124</v>
      </c>
      <c r="L17" t="s">
        <v>124</v>
      </c>
      <c r="M17" t="s">
        <v>124</v>
      </c>
      <c r="N17" t="s">
        <v>124</v>
      </c>
      <c r="O17" t="s">
        <v>124</v>
      </c>
      <c r="P17" t="s">
        <v>124</v>
      </c>
      <c r="Q17" t="s">
        <v>124</v>
      </c>
      <c r="R17" t="s">
        <v>3864</v>
      </c>
      <c r="S17" t="s">
        <v>124</v>
      </c>
      <c r="T17" t="s">
        <v>124</v>
      </c>
      <c r="U17" t="s">
        <v>101</v>
      </c>
      <c r="V17" t="s">
        <v>124</v>
      </c>
      <c r="W17" t="s">
        <v>124</v>
      </c>
      <c r="X17" t="s">
        <v>3765</v>
      </c>
      <c r="Y17" t="s">
        <v>124</v>
      </c>
      <c r="Z17" t="s">
        <v>215</v>
      </c>
      <c r="AA17" t="s">
        <v>215</v>
      </c>
      <c r="AB17" t="s">
        <v>150</v>
      </c>
      <c r="AC17" t="s">
        <v>341</v>
      </c>
      <c r="AD17" t="s">
        <v>341</v>
      </c>
      <c r="AE17" t="s">
        <v>342</v>
      </c>
      <c r="AF17" t="s">
        <v>3804</v>
      </c>
      <c r="AG17" t="s">
        <v>3805</v>
      </c>
      <c r="AH17" t="s">
        <v>3861</v>
      </c>
      <c r="AI17" t="s">
        <v>3807</v>
      </c>
      <c r="AJ17" t="s">
        <v>124</v>
      </c>
      <c r="AK17" t="s">
        <v>124</v>
      </c>
      <c r="AL17" t="s">
        <v>124</v>
      </c>
      <c r="AM17" t="s">
        <v>124</v>
      </c>
      <c r="AN17" t="s">
        <v>124</v>
      </c>
      <c r="AO17" t="s">
        <v>124</v>
      </c>
      <c r="AP17" t="s">
        <v>124</v>
      </c>
      <c r="AQ17" t="s">
        <v>124</v>
      </c>
      <c r="AR17" t="s">
        <v>124</v>
      </c>
      <c r="AS17" t="s">
        <v>124</v>
      </c>
      <c r="AT17" t="s">
        <v>124</v>
      </c>
      <c r="AU17" t="s">
        <v>124</v>
      </c>
      <c r="AV17" t="s">
        <v>124</v>
      </c>
      <c r="AW17" t="s">
        <v>124</v>
      </c>
      <c r="AX17" t="s">
        <v>124</v>
      </c>
      <c r="AY17" t="s">
        <v>124</v>
      </c>
      <c r="AZ17" t="s">
        <v>124</v>
      </c>
      <c r="BA17" t="s">
        <v>124</v>
      </c>
      <c r="BB17" t="s">
        <v>124</v>
      </c>
      <c r="BC17" t="s">
        <v>124</v>
      </c>
      <c r="BD17" t="s">
        <v>124</v>
      </c>
      <c r="BE17" t="s">
        <v>3808</v>
      </c>
      <c r="BF17" t="s">
        <v>3777</v>
      </c>
      <c r="BG17" t="s">
        <v>3257</v>
      </c>
      <c r="BH17" t="s">
        <v>3809</v>
      </c>
      <c r="BI17" t="s">
        <v>2985</v>
      </c>
      <c r="BJ17" t="s">
        <v>124</v>
      </c>
      <c r="BK17" t="s">
        <v>3810</v>
      </c>
      <c r="BL17" t="s">
        <v>2928</v>
      </c>
      <c r="BM17" t="s">
        <v>2928</v>
      </c>
      <c r="BN17" t="s">
        <v>3811</v>
      </c>
      <c r="BO17" t="s">
        <v>3812</v>
      </c>
      <c r="BP17" t="s">
        <v>3813</v>
      </c>
      <c r="BQ17" t="s">
        <v>3814</v>
      </c>
      <c r="BR17" t="s">
        <v>362</v>
      </c>
      <c r="BS17" t="s">
        <v>124</v>
      </c>
      <c r="BT17" t="s">
        <v>3815</v>
      </c>
      <c r="BU17" t="s">
        <v>3865</v>
      </c>
      <c r="BV17" t="s">
        <v>3865</v>
      </c>
      <c r="BW17" t="s">
        <v>3777</v>
      </c>
      <c r="BX17" t="s">
        <v>3777</v>
      </c>
      <c r="BY17" t="s">
        <v>3777</v>
      </c>
      <c r="BZ17" t="s">
        <v>3777</v>
      </c>
      <c r="CA17" t="s">
        <v>3777</v>
      </c>
      <c r="CB17" t="s">
        <v>124</v>
      </c>
      <c r="CC17" t="s">
        <v>124</v>
      </c>
      <c r="CD17" t="s">
        <v>124</v>
      </c>
      <c r="CE17" t="s">
        <v>124</v>
      </c>
      <c r="CF17" t="s">
        <v>124</v>
      </c>
      <c r="CG17" t="s">
        <v>3777</v>
      </c>
      <c r="CH17" t="s">
        <v>124</v>
      </c>
      <c r="CI17" t="s">
        <v>124</v>
      </c>
      <c r="CJ17" t="s">
        <v>124</v>
      </c>
      <c r="CK17" t="s">
        <v>124</v>
      </c>
      <c r="CL17" t="s">
        <v>124</v>
      </c>
      <c r="CM17" t="s">
        <v>3865</v>
      </c>
      <c r="CN17" t="s">
        <v>3865</v>
      </c>
      <c r="CO17" t="s">
        <v>124</v>
      </c>
      <c r="CP17" t="s">
        <v>124</v>
      </c>
      <c r="CQ17" t="s">
        <v>124</v>
      </c>
      <c r="CR17" t="s">
        <v>124</v>
      </c>
      <c r="CS17" t="s">
        <v>3817</v>
      </c>
      <c r="CT17" t="s">
        <v>3779</v>
      </c>
      <c r="CU17" t="s">
        <v>3780</v>
      </c>
      <c r="CV17" t="s">
        <v>429</v>
      </c>
      <c r="CW17" t="s">
        <v>3781</v>
      </c>
      <c r="CX17" t="s">
        <v>430</v>
      </c>
      <c r="CY17" t="s">
        <v>429</v>
      </c>
      <c r="CZ17" t="s">
        <v>431</v>
      </c>
      <c r="DA17" t="s">
        <v>432</v>
      </c>
      <c r="DB17" t="s">
        <v>3782</v>
      </c>
      <c r="DC17" t="s">
        <v>362</v>
      </c>
      <c r="DD17" t="s">
        <v>278</v>
      </c>
      <c r="DE17" t="s">
        <v>3863</v>
      </c>
    </row>
    <row r="18" spans="1:109" ht="11.25" customHeight="1">
      <c r="A18" s="4" t="s">
        <v>124</v>
      </c>
      <c r="B18" t="s">
        <v>124</v>
      </c>
      <c r="C18" t="s">
        <v>124</v>
      </c>
      <c r="D18" t="s">
        <v>124</v>
      </c>
      <c r="E18" t="s">
        <v>124</v>
      </c>
      <c r="F18" t="s">
        <v>124</v>
      </c>
      <c r="G18" t="s">
        <v>124</v>
      </c>
      <c r="H18" t="s">
        <v>124</v>
      </c>
      <c r="I18" t="s">
        <v>3764</v>
      </c>
      <c r="J18" t="s">
        <v>124</v>
      </c>
      <c r="K18" t="s">
        <v>124</v>
      </c>
      <c r="L18" t="s">
        <v>124</v>
      </c>
      <c r="M18" t="s">
        <v>124</v>
      </c>
      <c r="N18" t="s">
        <v>124</v>
      </c>
      <c r="O18" t="s">
        <v>124</v>
      </c>
      <c r="P18" t="s">
        <v>124</v>
      </c>
      <c r="Q18" t="s">
        <v>124</v>
      </c>
      <c r="R18" t="s">
        <v>476</v>
      </c>
      <c r="S18" t="s">
        <v>124</v>
      </c>
      <c r="T18" t="s">
        <v>124</v>
      </c>
      <c r="U18" t="s">
        <v>101</v>
      </c>
      <c r="V18" t="s">
        <v>124</v>
      </c>
      <c r="W18" t="s">
        <v>124</v>
      </c>
      <c r="X18" t="s">
        <v>3765</v>
      </c>
      <c r="Y18" t="s">
        <v>124</v>
      </c>
      <c r="Z18" t="s">
        <v>215</v>
      </c>
      <c r="AA18" t="s">
        <v>215</v>
      </c>
      <c r="AB18" t="s">
        <v>150</v>
      </c>
      <c r="AC18" t="s">
        <v>341</v>
      </c>
      <c r="AD18" t="s">
        <v>341</v>
      </c>
      <c r="AE18" t="s">
        <v>342</v>
      </c>
      <c r="AF18" t="s">
        <v>3866</v>
      </c>
      <c r="AG18" t="s">
        <v>3867</v>
      </c>
      <c r="AH18" t="s">
        <v>362</v>
      </c>
      <c r="AI18" t="s">
        <v>362</v>
      </c>
      <c r="AJ18" t="s">
        <v>124</v>
      </c>
      <c r="AK18" t="s">
        <v>124</v>
      </c>
      <c r="AL18" t="s">
        <v>124</v>
      </c>
      <c r="AM18" t="s">
        <v>124</v>
      </c>
      <c r="AN18" t="s">
        <v>124</v>
      </c>
      <c r="AO18" t="s">
        <v>124</v>
      </c>
      <c r="AP18" t="s">
        <v>124</v>
      </c>
      <c r="AQ18" t="s">
        <v>124</v>
      </c>
      <c r="AR18" t="s">
        <v>124</v>
      </c>
      <c r="AS18" t="s">
        <v>124</v>
      </c>
      <c r="AT18" t="s">
        <v>124</v>
      </c>
      <c r="AU18" t="s">
        <v>124</v>
      </c>
      <c r="AV18" t="s">
        <v>124</v>
      </c>
      <c r="AW18" t="s">
        <v>124</v>
      </c>
      <c r="AX18" t="s">
        <v>124</v>
      </c>
      <c r="AY18" t="s">
        <v>124</v>
      </c>
      <c r="AZ18" t="s">
        <v>124</v>
      </c>
      <c r="BA18" t="s">
        <v>124</v>
      </c>
      <c r="BB18" t="s">
        <v>124</v>
      </c>
      <c r="BC18" t="s">
        <v>124</v>
      </c>
      <c r="BD18" t="s">
        <v>124</v>
      </c>
      <c r="BE18" t="s">
        <v>3852</v>
      </c>
      <c r="BF18" t="s">
        <v>3868</v>
      </c>
      <c r="BG18" t="s">
        <v>111</v>
      </c>
      <c r="BH18" t="s">
        <v>3770</v>
      </c>
      <c r="BI18" t="s">
        <v>122</v>
      </c>
      <c r="BJ18" t="s">
        <v>124</v>
      </c>
      <c r="BK18" t="s">
        <v>3869</v>
      </c>
      <c r="BL18" t="s">
        <v>341</v>
      </c>
      <c r="BM18" t="s">
        <v>341</v>
      </c>
      <c r="BN18" t="s">
        <v>3772</v>
      </c>
      <c r="BO18" t="s">
        <v>3866</v>
      </c>
      <c r="BP18" t="s">
        <v>3870</v>
      </c>
      <c r="BQ18" t="s">
        <v>3871</v>
      </c>
      <c r="BR18" t="s">
        <v>362</v>
      </c>
      <c r="BS18" t="s">
        <v>124</v>
      </c>
      <c r="BT18" t="s">
        <v>3775</v>
      </c>
      <c r="BU18" t="s">
        <v>3872</v>
      </c>
      <c r="BV18" t="s">
        <v>3873</v>
      </c>
      <c r="BW18" t="s">
        <v>3874</v>
      </c>
      <c r="BX18" t="s">
        <v>3777</v>
      </c>
      <c r="BY18" t="s">
        <v>3777</v>
      </c>
      <c r="BZ18" t="s">
        <v>3777</v>
      </c>
      <c r="CA18" t="s">
        <v>3777</v>
      </c>
      <c r="CB18" t="s">
        <v>124</v>
      </c>
      <c r="CC18" t="s">
        <v>124</v>
      </c>
      <c r="CD18" t="s">
        <v>124</v>
      </c>
      <c r="CE18" t="s">
        <v>124</v>
      </c>
      <c r="CF18" t="s">
        <v>124</v>
      </c>
      <c r="CG18" t="s">
        <v>3777</v>
      </c>
      <c r="CH18" t="s">
        <v>124</v>
      </c>
      <c r="CI18" t="s">
        <v>124</v>
      </c>
      <c r="CJ18" t="s">
        <v>124</v>
      </c>
      <c r="CK18" t="s">
        <v>124</v>
      </c>
      <c r="CL18" t="s">
        <v>124</v>
      </c>
      <c r="CM18" t="s">
        <v>3872</v>
      </c>
      <c r="CN18" t="s">
        <v>3873</v>
      </c>
      <c r="CO18" t="s">
        <v>3874</v>
      </c>
      <c r="CP18" t="s">
        <v>124</v>
      </c>
      <c r="CQ18" t="s">
        <v>124</v>
      </c>
      <c r="CR18" t="s">
        <v>124</v>
      </c>
      <c r="CS18" t="s">
        <v>3778</v>
      </c>
      <c r="CT18" t="s">
        <v>3779</v>
      </c>
      <c r="CU18" t="s">
        <v>3780</v>
      </c>
      <c r="CV18" t="s">
        <v>429</v>
      </c>
      <c r="CW18" t="s">
        <v>3781</v>
      </c>
      <c r="CX18" t="s">
        <v>430</v>
      </c>
      <c r="CY18" t="s">
        <v>429</v>
      </c>
      <c r="CZ18" t="s">
        <v>431</v>
      </c>
      <c r="DA18" t="s">
        <v>432</v>
      </c>
      <c r="DB18" t="s">
        <v>3782</v>
      </c>
      <c r="DC18" t="s">
        <v>362</v>
      </c>
      <c r="DD18" t="s">
        <v>278</v>
      </c>
      <c r="DE18" t="s">
        <v>477</v>
      </c>
    </row>
    <row r="19" spans="1:109" ht="11.25" customHeight="1">
      <c r="A19" s="4" t="s">
        <v>124</v>
      </c>
      <c r="B19" t="s">
        <v>124</v>
      </c>
      <c r="C19" t="s">
        <v>124</v>
      </c>
      <c r="D19" t="s">
        <v>124</v>
      </c>
      <c r="E19" t="s">
        <v>124</v>
      </c>
      <c r="F19" t="s">
        <v>124</v>
      </c>
      <c r="G19" t="s">
        <v>124</v>
      </c>
      <c r="H19" t="s">
        <v>124</v>
      </c>
      <c r="I19" t="s">
        <v>3764</v>
      </c>
      <c r="J19" t="s">
        <v>124</v>
      </c>
      <c r="K19" t="s">
        <v>124</v>
      </c>
      <c r="L19" t="s">
        <v>124</v>
      </c>
      <c r="M19" t="s">
        <v>124</v>
      </c>
      <c r="N19" t="s">
        <v>124</v>
      </c>
      <c r="O19" t="s">
        <v>124</v>
      </c>
      <c r="P19" t="s">
        <v>124</v>
      </c>
      <c r="Q19" t="s">
        <v>124</v>
      </c>
      <c r="R19" t="s">
        <v>3875</v>
      </c>
      <c r="S19" t="s">
        <v>124</v>
      </c>
      <c r="T19" t="s">
        <v>124</v>
      </c>
      <c r="U19" t="s">
        <v>101</v>
      </c>
      <c r="V19" t="s">
        <v>124</v>
      </c>
      <c r="W19" t="s">
        <v>124</v>
      </c>
      <c r="X19" t="s">
        <v>3765</v>
      </c>
      <c r="Y19" t="s">
        <v>124</v>
      </c>
      <c r="Z19" t="s">
        <v>215</v>
      </c>
      <c r="AA19" t="s">
        <v>215</v>
      </c>
      <c r="AB19" t="s">
        <v>150</v>
      </c>
      <c r="AC19" t="s">
        <v>341</v>
      </c>
      <c r="AD19" t="s">
        <v>341</v>
      </c>
      <c r="AE19" t="s">
        <v>342</v>
      </c>
      <c r="AF19" t="s">
        <v>3804</v>
      </c>
      <c r="AG19" t="s">
        <v>3805</v>
      </c>
      <c r="AH19" t="s">
        <v>3861</v>
      </c>
      <c r="AI19" t="s">
        <v>3807</v>
      </c>
      <c r="AJ19" t="s">
        <v>124</v>
      </c>
      <c r="AK19" t="s">
        <v>124</v>
      </c>
      <c r="AL19" t="s">
        <v>124</v>
      </c>
      <c r="AM19" t="s">
        <v>124</v>
      </c>
      <c r="AN19" t="s">
        <v>124</v>
      </c>
      <c r="AO19" t="s">
        <v>124</v>
      </c>
      <c r="AP19" t="s">
        <v>124</v>
      </c>
      <c r="AQ19" t="s">
        <v>124</v>
      </c>
      <c r="AR19" t="s">
        <v>124</v>
      </c>
      <c r="AS19" t="s">
        <v>124</v>
      </c>
      <c r="AT19" t="s">
        <v>124</v>
      </c>
      <c r="AU19" t="s">
        <v>124</v>
      </c>
      <c r="AV19" t="s">
        <v>124</v>
      </c>
      <c r="AW19" t="s">
        <v>124</v>
      </c>
      <c r="AX19" t="s">
        <v>124</v>
      </c>
      <c r="AY19" t="s">
        <v>124</v>
      </c>
      <c r="AZ19" t="s">
        <v>124</v>
      </c>
      <c r="BA19" t="s">
        <v>124</v>
      </c>
      <c r="BB19" t="s">
        <v>124</v>
      </c>
      <c r="BC19" t="s">
        <v>124</v>
      </c>
      <c r="BD19" t="s">
        <v>124</v>
      </c>
      <c r="BE19" t="s">
        <v>3808</v>
      </c>
      <c r="BF19" t="s">
        <v>3777</v>
      </c>
      <c r="BG19" t="s">
        <v>3257</v>
      </c>
      <c r="BH19" t="s">
        <v>3809</v>
      </c>
      <c r="BI19" t="s">
        <v>2985</v>
      </c>
      <c r="BJ19" t="s">
        <v>124</v>
      </c>
      <c r="BK19" t="s">
        <v>3810</v>
      </c>
      <c r="BL19" t="s">
        <v>2928</v>
      </c>
      <c r="BM19" t="s">
        <v>2928</v>
      </c>
      <c r="BN19" t="s">
        <v>3811</v>
      </c>
      <c r="BO19" t="s">
        <v>3812</v>
      </c>
      <c r="BP19" t="s">
        <v>3813</v>
      </c>
      <c r="BQ19" t="s">
        <v>3814</v>
      </c>
      <c r="BR19" t="s">
        <v>362</v>
      </c>
      <c r="BS19" t="s">
        <v>124</v>
      </c>
      <c r="BT19" t="s">
        <v>3815</v>
      </c>
      <c r="BU19" t="s">
        <v>3876</v>
      </c>
      <c r="BV19" t="s">
        <v>3876</v>
      </c>
      <c r="BW19" t="s">
        <v>3777</v>
      </c>
      <c r="BX19" t="s">
        <v>3777</v>
      </c>
      <c r="BY19" t="s">
        <v>3777</v>
      </c>
      <c r="BZ19" t="s">
        <v>3777</v>
      </c>
      <c r="CA19" t="s">
        <v>3777</v>
      </c>
      <c r="CB19" t="s">
        <v>124</v>
      </c>
      <c r="CC19" t="s">
        <v>124</v>
      </c>
      <c r="CD19" t="s">
        <v>124</v>
      </c>
      <c r="CE19" t="s">
        <v>124</v>
      </c>
      <c r="CF19" t="s">
        <v>124</v>
      </c>
      <c r="CG19" t="s">
        <v>3777</v>
      </c>
      <c r="CH19" t="s">
        <v>124</v>
      </c>
      <c r="CI19" t="s">
        <v>124</v>
      </c>
      <c r="CJ19" t="s">
        <v>124</v>
      </c>
      <c r="CK19" t="s">
        <v>124</v>
      </c>
      <c r="CL19" t="s">
        <v>124</v>
      </c>
      <c r="CM19" t="s">
        <v>3876</v>
      </c>
      <c r="CN19" t="s">
        <v>3876</v>
      </c>
      <c r="CO19" t="s">
        <v>124</v>
      </c>
      <c r="CP19" t="s">
        <v>124</v>
      </c>
      <c r="CQ19" t="s">
        <v>124</v>
      </c>
      <c r="CR19" t="s">
        <v>124</v>
      </c>
      <c r="CS19" t="s">
        <v>3778</v>
      </c>
      <c r="CT19" t="s">
        <v>3779</v>
      </c>
      <c r="CU19" t="s">
        <v>3780</v>
      </c>
      <c r="CV19" t="s">
        <v>429</v>
      </c>
      <c r="CW19" t="s">
        <v>3781</v>
      </c>
      <c r="CX19" t="s">
        <v>430</v>
      </c>
      <c r="CY19" t="s">
        <v>429</v>
      </c>
      <c r="CZ19" t="s">
        <v>431</v>
      </c>
      <c r="DA19" t="s">
        <v>432</v>
      </c>
      <c r="DB19" t="s">
        <v>3782</v>
      </c>
      <c r="DC19" t="s">
        <v>362</v>
      </c>
      <c r="DD19" t="s">
        <v>278</v>
      </c>
      <c r="DE19" t="s">
        <v>3863</v>
      </c>
    </row>
    <row r="20" spans="1:109" ht="11.25" customHeight="1">
      <c r="A20" s="4" t="s">
        <v>124</v>
      </c>
      <c r="B20" t="s">
        <v>124</v>
      </c>
      <c r="C20" t="s">
        <v>124</v>
      </c>
      <c r="D20" t="s">
        <v>124</v>
      </c>
      <c r="E20" t="s">
        <v>124</v>
      </c>
      <c r="F20" t="s">
        <v>124</v>
      </c>
      <c r="G20" t="s">
        <v>124</v>
      </c>
      <c r="H20" t="s">
        <v>124</v>
      </c>
      <c r="I20" t="s">
        <v>3764</v>
      </c>
      <c r="J20" t="s">
        <v>124</v>
      </c>
      <c r="K20" t="s">
        <v>124</v>
      </c>
      <c r="L20" t="s">
        <v>124</v>
      </c>
      <c r="M20" t="s">
        <v>124</v>
      </c>
      <c r="N20" t="s">
        <v>124</v>
      </c>
      <c r="O20" t="s">
        <v>124</v>
      </c>
      <c r="P20" t="s">
        <v>124</v>
      </c>
      <c r="Q20" t="s">
        <v>124</v>
      </c>
      <c r="R20" t="s">
        <v>3877</v>
      </c>
      <c r="S20" t="s">
        <v>124</v>
      </c>
      <c r="T20" t="s">
        <v>124</v>
      </c>
      <c r="U20" t="s">
        <v>101</v>
      </c>
      <c r="V20" t="s">
        <v>124</v>
      </c>
      <c r="W20" t="s">
        <v>124</v>
      </c>
      <c r="X20" t="s">
        <v>3765</v>
      </c>
      <c r="Y20" t="s">
        <v>124</v>
      </c>
      <c r="Z20" t="s">
        <v>215</v>
      </c>
      <c r="AA20" t="s">
        <v>215</v>
      </c>
      <c r="AB20" t="s">
        <v>150</v>
      </c>
      <c r="AC20" t="s">
        <v>341</v>
      </c>
      <c r="AD20" t="s">
        <v>341</v>
      </c>
      <c r="AE20" t="s">
        <v>342</v>
      </c>
      <c r="AF20" t="s">
        <v>3804</v>
      </c>
      <c r="AG20" t="s">
        <v>3805</v>
      </c>
      <c r="AH20" t="s">
        <v>3878</v>
      </c>
      <c r="AI20" t="s">
        <v>3807</v>
      </c>
      <c r="AJ20" t="s">
        <v>124</v>
      </c>
      <c r="AK20" t="s">
        <v>124</v>
      </c>
      <c r="AL20" t="s">
        <v>124</v>
      </c>
      <c r="AM20" t="s">
        <v>124</v>
      </c>
      <c r="AN20" t="s">
        <v>124</v>
      </c>
      <c r="AO20" t="s">
        <v>124</v>
      </c>
      <c r="AP20" t="s">
        <v>124</v>
      </c>
      <c r="AQ20" t="s">
        <v>124</v>
      </c>
      <c r="AR20" t="s">
        <v>124</v>
      </c>
      <c r="AS20" t="s">
        <v>124</v>
      </c>
      <c r="AT20" t="s">
        <v>124</v>
      </c>
      <c r="AU20" t="s">
        <v>124</v>
      </c>
      <c r="AV20" t="s">
        <v>124</v>
      </c>
      <c r="AW20" t="s">
        <v>124</v>
      </c>
      <c r="AX20" t="s">
        <v>124</v>
      </c>
      <c r="AY20" t="s">
        <v>124</v>
      </c>
      <c r="AZ20" t="s">
        <v>124</v>
      </c>
      <c r="BA20" t="s">
        <v>124</v>
      </c>
      <c r="BB20" t="s">
        <v>124</v>
      </c>
      <c r="BC20" t="s">
        <v>124</v>
      </c>
      <c r="BD20" t="s">
        <v>124</v>
      </c>
      <c r="BE20" t="s">
        <v>3808</v>
      </c>
      <c r="BF20" t="s">
        <v>3777</v>
      </c>
      <c r="BG20" t="s">
        <v>3257</v>
      </c>
      <c r="BH20" t="s">
        <v>3809</v>
      </c>
      <c r="BI20" t="s">
        <v>2985</v>
      </c>
      <c r="BJ20" t="s">
        <v>124</v>
      </c>
      <c r="BK20" t="s">
        <v>3810</v>
      </c>
      <c r="BL20" t="s">
        <v>2928</v>
      </c>
      <c r="BM20" t="s">
        <v>2928</v>
      </c>
      <c r="BN20" t="s">
        <v>3811</v>
      </c>
      <c r="BO20" t="s">
        <v>3812</v>
      </c>
      <c r="BP20" t="s">
        <v>3813</v>
      </c>
      <c r="BQ20" t="s">
        <v>3814</v>
      </c>
      <c r="BR20" t="s">
        <v>362</v>
      </c>
      <c r="BS20" t="s">
        <v>124</v>
      </c>
      <c r="BT20" t="s">
        <v>3815</v>
      </c>
      <c r="BU20" t="s">
        <v>3879</v>
      </c>
      <c r="BV20" t="s">
        <v>3879</v>
      </c>
      <c r="BW20" t="s">
        <v>3777</v>
      </c>
      <c r="BX20" t="s">
        <v>3777</v>
      </c>
      <c r="BY20" t="s">
        <v>3777</v>
      </c>
      <c r="BZ20" t="s">
        <v>3777</v>
      </c>
      <c r="CA20" t="s">
        <v>3777</v>
      </c>
      <c r="CB20" t="s">
        <v>124</v>
      </c>
      <c r="CC20" t="s">
        <v>124</v>
      </c>
      <c r="CD20" t="s">
        <v>124</v>
      </c>
      <c r="CE20" t="s">
        <v>124</v>
      </c>
      <c r="CF20" t="s">
        <v>124</v>
      </c>
      <c r="CG20" t="s">
        <v>3777</v>
      </c>
      <c r="CH20" t="s">
        <v>124</v>
      </c>
      <c r="CI20" t="s">
        <v>124</v>
      </c>
      <c r="CJ20" t="s">
        <v>124</v>
      </c>
      <c r="CK20" t="s">
        <v>124</v>
      </c>
      <c r="CL20" t="s">
        <v>124</v>
      </c>
      <c r="CM20" t="s">
        <v>3879</v>
      </c>
      <c r="CN20" t="s">
        <v>3879</v>
      </c>
      <c r="CO20" t="s">
        <v>124</v>
      </c>
      <c r="CP20" t="s">
        <v>124</v>
      </c>
      <c r="CQ20" t="s">
        <v>124</v>
      </c>
      <c r="CR20" t="s">
        <v>124</v>
      </c>
      <c r="CS20" t="s">
        <v>3778</v>
      </c>
      <c r="CT20" t="s">
        <v>3779</v>
      </c>
      <c r="CU20" t="s">
        <v>3780</v>
      </c>
      <c r="CV20" t="s">
        <v>429</v>
      </c>
      <c r="CW20" t="s">
        <v>3781</v>
      </c>
      <c r="CX20" t="s">
        <v>430</v>
      </c>
      <c r="CY20" t="s">
        <v>429</v>
      </c>
      <c r="CZ20" t="s">
        <v>431</v>
      </c>
      <c r="DA20" t="s">
        <v>432</v>
      </c>
      <c r="DB20" t="s">
        <v>3782</v>
      </c>
      <c r="DC20" t="s">
        <v>362</v>
      </c>
      <c r="DD20" t="s">
        <v>278</v>
      </c>
      <c r="DE20" t="s">
        <v>3880</v>
      </c>
    </row>
    <row r="21" spans="1:109" ht="11.25" customHeight="1">
      <c r="A21" s="4" t="s">
        <v>124</v>
      </c>
      <c r="B21" t="s">
        <v>124</v>
      </c>
      <c r="C21" t="s">
        <v>124</v>
      </c>
      <c r="D21" t="s">
        <v>124</v>
      </c>
      <c r="E21" t="s">
        <v>124</v>
      </c>
      <c r="F21" t="s">
        <v>124</v>
      </c>
      <c r="G21" t="s">
        <v>124</v>
      </c>
      <c r="H21" t="s">
        <v>124</v>
      </c>
      <c r="I21" t="s">
        <v>3764</v>
      </c>
      <c r="J21" t="s">
        <v>124</v>
      </c>
      <c r="K21" t="s">
        <v>124</v>
      </c>
      <c r="L21" t="s">
        <v>124</v>
      </c>
      <c r="M21" t="s">
        <v>124</v>
      </c>
      <c r="N21" t="s">
        <v>124</v>
      </c>
      <c r="O21" t="s">
        <v>124</v>
      </c>
      <c r="P21" t="s">
        <v>124</v>
      </c>
      <c r="Q21" t="s">
        <v>124</v>
      </c>
      <c r="R21" t="s">
        <v>443</v>
      </c>
      <c r="S21" t="s">
        <v>124</v>
      </c>
      <c r="T21" t="s">
        <v>124</v>
      </c>
      <c r="U21" t="s">
        <v>101</v>
      </c>
      <c r="V21" t="s">
        <v>124</v>
      </c>
      <c r="W21" t="s">
        <v>124</v>
      </c>
      <c r="X21" t="s">
        <v>3765</v>
      </c>
      <c r="Y21" t="s">
        <v>124</v>
      </c>
      <c r="Z21" t="s">
        <v>215</v>
      </c>
      <c r="AA21" t="s">
        <v>215</v>
      </c>
      <c r="AB21" t="s">
        <v>150</v>
      </c>
      <c r="AC21" t="s">
        <v>341</v>
      </c>
      <c r="AD21" t="s">
        <v>341</v>
      </c>
      <c r="AE21" t="s">
        <v>342</v>
      </c>
      <c r="AF21" t="s">
        <v>3766</v>
      </c>
      <c r="AG21" t="s">
        <v>3767</v>
      </c>
      <c r="AH21" t="s">
        <v>362</v>
      </c>
      <c r="AI21" t="s">
        <v>362</v>
      </c>
      <c r="AJ21" t="s">
        <v>124</v>
      </c>
      <c r="AK21" t="s">
        <v>124</v>
      </c>
      <c r="AL21" t="s">
        <v>124</v>
      </c>
      <c r="AM21" t="s">
        <v>124</v>
      </c>
      <c r="AN21" t="s">
        <v>124</v>
      </c>
      <c r="AO21" t="s">
        <v>124</v>
      </c>
      <c r="AP21" t="s">
        <v>124</v>
      </c>
      <c r="AQ21" t="s">
        <v>124</v>
      </c>
      <c r="AR21" t="s">
        <v>124</v>
      </c>
      <c r="AS21" t="s">
        <v>124</v>
      </c>
      <c r="AT21" t="s">
        <v>124</v>
      </c>
      <c r="AU21" t="s">
        <v>124</v>
      </c>
      <c r="AV21" t="s">
        <v>124</v>
      </c>
      <c r="AW21" t="s">
        <v>124</v>
      </c>
      <c r="AX21" t="s">
        <v>124</v>
      </c>
      <c r="AY21" t="s">
        <v>124</v>
      </c>
      <c r="AZ21" t="s">
        <v>124</v>
      </c>
      <c r="BA21" t="s">
        <v>124</v>
      </c>
      <c r="BB21" t="s">
        <v>124</v>
      </c>
      <c r="BC21" t="s">
        <v>124</v>
      </c>
      <c r="BD21" t="s">
        <v>124</v>
      </c>
      <c r="BE21" t="s">
        <v>3881</v>
      </c>
      <c r="BF21" t="s">
        <v>3882</v>
      </c>
      <c r="BG21" t="s">
        <v>111</v>
      </c>
      <c r="BH21" t="s">
        <v>3770</v>
      </c>
      <c r="BI21" t="s">
        <v>122</v>
      </c>
      <c r="BJ21" t="s">
        <v>124</v>
      </c>
      <c r="BK21" t="s">
        <v>3801</v>
      </c>
      <c r="BL21" t="s">
        <v>341</v>
      </c>
      <c r="BM21" t="s">
        <v>341</v>
      </c>
      <c r="BN21" t="s">
        <v>3772</v>
      </c>
      <c r="BO21" t="s">
        <v>3766</v>
      </c>
      <c r="BP21" t="s">
        <v>3773</v>
      </c>
      <c r="BQ21" t="s">
        <v>362</v>
      </c>
      <c r="BR21" t="s">
        <v>362</v>
      </c>
      <c r="BS21" t="s">
        <v>124</v>
      </c>
      <c r="BT21" t="s">
        <v>3775</v>
      </c>
      <c r="BU21" t="s">
        <v>3883</v>
      </c>
      <c r="BV21" t="s">
        <v>3777</v>
      </c>
      <c r="BW21" t="s">
        <v>3777</v>
      </c>
      <c r="BX21" t="s">
        <v>3883</v>
      </c>
      <c r="BY21" t="s">
        <v>3777</v>
      </c>
      <c r="BZ21" t="s">
        <v>3777</v>
      </c>
      <c r="CA21" t="s">
        <v>3777</v>
      </c>
      <c r="CB21" t="s">
        <v>124</v>
      </c>
      <c r="CC21" t="s">
        <v>124</v>
      </c>
      <c r="CD21" t="s">
        <v>124</v>
      </c>
      <c r="CE21" t="s">
        <v>124</v>
      </c>
      <c r="CF21" t="s">
        <v>124</v>
      </c>
      <c r="CG21" t="s">
        <v>3777</v>
      </c>
      <c r="CH21" t="s">
        <v>124</v>
      </c>
      <c r="CI21" t="s">
        <v>124</v>
      </c>
      <c r="CJ21" t="s">
        <v>124</v>
      </c>
      <c r="CK21" t="s">
        <v>124</v>
      </c>
      <c r="CL21" t="s">
        <v>124</v>
      </c>
      <c r="CM21" t="s">
        <v>3883</v>
      </c>
      <c r="CN21" t="s">
        <v>124</v>
      </c>
      <c r="CO21" t="s">
        <v>124</v>
      </c>
      <c r="CP21" t="s">
        <v>3883</v>
      </c>
      <c r="CQ21" t="s">
        <v>124</v>
      </c>
      <c r="CR21" t="s">
        <v>124</v>
      </c>
      <c r="CS21" t="s">
        <v>3778</v>
      </c>
      <c r="CT21" t="s">
        <v>3779</v>
      </c>
      <c r="CU21" t="s">
        <v>3780</v>
      </c>
      <c r="CV21" t="s">
        <v>429</v>
      </c>
      <c r="CW21" t="s">
        <v>3781</v>
      </c>
      <c r="CX21" t="s">
        <v>430</v>
      </c>
      <c r="CY21" t="s">
        <v>429</v>
      </c>
      <c r="CZ21" t="s">
        <v>431</v>
      </c>
      <c r="DA21" t="s">
        <v>432</v>
      </c>
      <c r="DB21" t="s">
        <v>3782</v>
      </c>
      <c r="DC21" t="s">
        <v>362</v>
      </c>
      <c r="DD21" t="s">
        <v>278</v>
      </c>
      <c r="DE21" t="s">
        <v>428</v>
      </c>
    </row>
    <row r="22" spans="1:109" ht="11.25" customHeight="1">
      <c r="A22" s="4" t="s">
        <v>124</v>
      </c>
      <c r="B22" t="s">
        <v>124</v>
      </c>
      <c r="C22" t="s">
        <v>124</v>
      </c>
      <c r="D22" t="s">
        <v>124</v>
      </c>
      <c r="E22" t="s">
        <v>124</v>
      </c>
      <c r="F22" t="s">
        <v>124</v>
      </c>
      <c r="G22" t="s">
        <v>124</v>
      </c>
      <c r="H22" t="s">
        <v>124</v>
      </c>
      <c r="I22" t="s">
        <v>3764</v>
      </c>
      <c r="J22" t="s">
        <v>124</v>
      </c>
      <c r="K22" t="s">
        <v>124</v>
      </c>
      <c r="L22" t="s">
        <v>124</v>
      </c>
      <c r="M22" t="s">
        <v>124</v>
      </c>
      <c r="N22" t="s">
        <v>124</v>
      </c>
      <c r="O22" t="s">
        <v>124</v>
      </c>
      <c r="P22" t="s">
        <v>124</v>
      </c>
      <c r="Q22" t="s">
        <v>124</v>
      </c>
      <c r="R22" t="s">
        <v>3884</v>
      </c>
      <c r="S22" t="s">
        <v>124</v>
      </c>
      <c r="T22" t="s">
        <v>124</v>
      </c>
      <c r="U22" t="s">
        <v>101</v>
      </c>
      <c r="V22" t="s">
        <v>124</v>
      </c>
      <c r="W22" t="s">
        <v>124</v>
      </c>
      <c r="X22" t="s">
        <v>3765</v>
      </c>
      <c r="Y22" t="s">
        <v>124</v>
      </c>
      <c r="Z22" t="s">
        <v>215</v>
      </c>
      <c r="AA22" t="s">
        <v>215</v>
      </c>
      <c r="AB22" t="s">
        <v>150</v>
      </c>
      <c r="AC22" t="s">
        <v>341</v>
      </c>
      <c r="AD22" t="s">
        <v>341</v>
      </c>
      <c r="AE22" t="s">
        <v>342</v>
      </c>
      <c r="AF22" t="s">
        <v>3804</v>
      </c>
      <c r="AG22" t="s">
        <v>3805</v>
      </c>
      <c r="AH22" t="s">
        <v>3885</v>
      </c>
      <c r="AI22" t="s">
        <v>3807</v>
      </c>
      <c r="AJ22" t="s">
        <v>124</v>
      </c>
      <c r="AK22" t="s">
        <v>124</v>
      </c>
      <c r="AL22" t="s">
        <v>124</v>
      </c>
      <c r="AM22" t="s">
        <v>124</v>
      </c>
      <c r="AN22" t="s">
        <v>124</v>
      </c>
      <c r="AO22" t="s">
        <v>124</v>
      </c>
      <c r="AP22" t="s">
        <v>124</v>
      </c>
      <c r="AQ22" t="s">
        <v>124</v>
      </c>
      <c r="AR22" t="s">
        <v>124</v>
      </c>
      <c r="AS22" t="s">
        <v>124</v>
      </c>
      <c r="AT22" t="s">
        <v>124</v>
      </c>
      <c r="AU22" t="s">
        <v>124</v>
      </c>
      <c r="AV22" t="s">
        <v>124</v>
      </c>
      <c r="AW22" t="s">
        <v>124</v>
      </c>
      <c r="AX22" t="s">
        <v>124</v>
      </c>
      <c r="AY22" t="s">
        <v>124</v>
      </c>
      <c r="AZ22" t="s">
        <v>124</v>
      </c>
      <c r="BA22" t="s">
        <v>124</v>
      </c>
      <c r="BB22" t="s">
        <v>124</v>
      </c>
      <c r="BC22" t="s">
        <v>124</v>
      </c>
      <c r="BD22" t="s">
        <v>124</v>
      </c>
      <c r="BE22" t="s">
        <v>3858</v>
      </c>
      <c r="BF22" t="s">
        <v>3777</v>
      </c>
      <c r="BG22" t="s">
        <v>3257</v>
      </c>
      <c r="BH22" t="s">
        <v>3809</v>
      </c>
      <c r="BI22" t="s">
        <v>2985</v>
      </c>
      <c r="BJ22" t="s">
        <v>124</v>
      </c>
      <c r="BK22" t="s">
        <v>3810</v>
      </c>
      <c r="BL22" t="s">
        <v>2928</v>
      </c>
      <c r="BM22" t="s">
        <v>2928</v>
      </c>
      <c r="BN22" t="s">
        <v>3811</v>
      </c>
      <c r="BO22" t="s">
        <v>3812</v>
      </c>
      <c r="BP22" t="s">
        <v>3813</v>
      </c>
      <c r="BQ22" t="s">
        <v>3814</v>
      </c>
      <c r="BR22" t="s">
        <v>362</v>
      </c>
      <c r="BS22" t="s">
        <v>124</v>
      </c>
      <c r="BT22" t="s">
        <v>3815</v>
      </c>
      <c r="BU22" t="s">
        <v>3816</v>
      </c>
      <c r="BV22" t="s">
        <v>3816</v>
      </c>
      <c r="BW22" t="s">
        <v>3777</v>
      </c>
      <c r="BX22" t="s">
        <v>3777</v>
      </c>
      <c r="BY22" t="s">
        <v>3777</v>
      </c>
      <c r="BZ22" t="s">
        <v>3777</v>
      </c>
      <c r="CA22" t="s">
        <v>3777</v>
      </c>
      <c r="CB22" t="s">
        <v>124</v>
      </c>
      <c r="CC22" t="s">
        <v>124</v>
      </c>
      <c r="CD22" t="s">
        <v>124</v>
      </c>
      <c r="CE22" t="s">
        <v>124</v>
      </c>
      <c r="CF22" t="s">
        <v>124</v>
      </c>
      <c r="CG22" t="s">
        <v>3777</v>
      </c>
      <c r="CH22" t="s">
        <v>124</v>
      </c>
      <c r="CI22" t="s">
        <v>124</v>
      </c>
      <c r="CJ22" t="s">
        <v>124</v>
      </c>
      <c r="CK22" t="s">
        <v>124</v>
      </c>
      <c r="CL22" t="s">
        <v>124</v>
      </c>
      <c r="CM22" t="s">
        <v>3816</v>
      </c>
      <c r="CN22" t="s">
        <v>3816</v>
      </c>
      <c r="CO22" t="s">
        <v>124</v>
      </c>
      <c r="CP22" t="s">
        <v>124</v>
      </c>
      <c r="CQ22" t="s">
        <v>124</v>
      </c>
      <c r="CR22" t="s">
        <v>124</v>
      </c>
      <c r="CS22" t="s">
        <v>3817</v>
      </c>
      <c r="CT22" t="s">
        <v>3779</v>
      </c>
      <c r="CU22" t="s">
        <v>3780</v>
      </c>
      <c r="CV22" t="s">
        <v>429</v>
      </c>
      <c r="CW22" t="s">
        <v>3781</v>
      </c>
      <c r="CX22" t="s">
        <v>430</v>
      </c>
      <c r="CY22" t="s">
        <v>429</v>
      </c>
      <c r="CZ22" t="s">
        <v>431</v>
      </c>
      <c r="DA22" t="s">
        <v>432</v>
      </c>
      <c r="DB22" t="s">
        <v>3782</v>
      </c>
      <c r="DC22" t="s">
        <v>362</v>
      </c>
      <c r="DD22" t="s">
        <v>278</v>
      </c>
      <c r="DE22" t="s">
        <v>3886</v>
      </c>
    </row>
    <row r="23" spans="1:109" ht="11.25" customHeight="1">
      <c r="A23" s="4" t="s">
        <v>124</v>
      </c>
      <c r="B23" t="s">
        <v>124</v>
      </c>
      <c r="C23" t="s">
        <v>124</v>
      </c>
      <c r="D23" t="s">
        <v>124</v>
      </c>
      <c r="E23" t="s">
        <v>124</v>
      </c>
      <c r="F23" t="s">
        <v>124</v>
      </c>
      <c r="G23" t="s">
        <v>124</v>
      </c>
      <c r="H23" t="s">
        <v>124</v>
      </c>
      <c r="I23" t="s">
        <v>3764</v>
      </c>
      <c r="J23" t="s">
        <v>124</v>
      </c>
      <c r="K23" t="s">
        <v>124</v>
      </c>
      <c r="L23" t="s">
        <v>124</v>
      </c>
      <c r="M23" t="s">
        <v>124</v>
      </c>
      <c r="N23" t="s">
        <v>124</v>
      </c>
      <c r="O23" t="s">
        <v>124</v>
      </c>
      <c r="P23" t="s">
        <v>124</v>
      </c>
      <c r="Q23" t="s">
        <v>124</v>
      </c>
      <c r="R23" t="s">
        <v>482</v>
      </c>
      <c r="S23" t="s">
        <v>124</v>
      </c>
      <c r="T23" t="s">
        <v>124</v>
      </c>
      <c r="U23" t="s">
        <v>101</v>
      </c>
      <c r="V23" t="s">
        <v>124</v>
      </c>
      <c r="W23" t="s">
        <v>124</v>
      </c>
      <c r="X23" t="s">
        <v>3765</v>
      </c>
      <c r="Y23" t="s">
        <v>124</v>
      </c>
      <c r="Z23" t="s">
        <v>215</v>
      </c>
      <c r="AA23" t="s">
        <v>215</v>
      </c>
      <c r="AB23" t="s">
        <v>150</v>
      </c>
      <c r="AC23" t="s">
        <v>341</v>
      </c>
      <c r="AD23" t="s">
        <v>341</v>
      </c>
      <c r="AE23" t="s">
        <v>342</v>
      </c>
      <c r="AF23" t="s">
        <v>3887</v>
      </c>
      <c r="AG23" t="s">
        <v>3888</v>
      </c>
      <c r="AH23" t="s">
        <v>362</v>
      </c>
      <c r="AI23" t="s">
        <v>362</v>
      </c>
      <c r="AJ23" t="s">
        <v>124</v>
      </c>
      <c r="AK23" t="s">
        <v>124</v>
      </c>
      <c r="AL23" t="s">
        <v>124</v>
      </c>
      <c r="AM23" t="s">
        <v>124</v>
      </c>
      <c r="AN23" t="s">
        <v>124</v>
      </c>
      <c r="AO23" t="s">
        <v>124</v>
      </c>
      <c r="AP23" t="s">
        <v>124</v>
      </c>
      <c r="AQ23" t="s">
        <v>124</v>
      </c>
      <c r="AR23" t="s">
        <v>124</v>
      </c>
      <c r="AS23" t="s">
        <v>124</v>
      </c>
      <c r="AT23" t="s">
        <v>124</v>
      </c>
      <c r="AU23" t="s">
        <v>124</v>
      </c>
      <c r="AV23" t="s">
        <v>124</v>
      </c>
      <c r="AW23" t="s">
        <v>124</v>
      </c>
      <c r="AX23" t="s">
        <v>124</v>
      </c>
      <c r="AY23" t="s">
        <v>124</v>
      </c>
      <c r="AZ23" t="s">
        <v>124</v>
      </c>
      <c r="BA23" t="s">
        <v>124</v>
      </c>
      <c r="BB23" t="s">
        <v>124</v>
      </c>
      <c r="BC23" t="s">
        <v>124</v>
      </c>
      <c r="BD23" t="s">
        <v>124</v>
      </c>
      <c r="BE23" t="s">
        <v>3768</v>
      </c>
      <c r="BF23" t="s">
        <v>3889</v>
      </c>
      <c r="BG23" t="s">
        <v>111</v>
      </c>
      <c r="BH23" t="s">
        <v>3770</v>
      </c>
      <c r="BI23" t="s">
        <v>122</v>
      </c>
      <c r="BJ23" t="s">
        <v>124</v>
      </c>
      <c r="BK23" t="s">
        <v>3869</v>
      </c>
      <c r="BL23" t="s">
        <v>341</v>
      </c>
      <c r="BM23" t="s">
        <v>341</v>
      </c>
      <c r="BN23" t="s">
        <v>3772</v>
      </c>
      <c r="BO23" t="s">
        <v>3866</v>
      </c>
      <c r="BP23" t="s">
        <v>3870</v>
      </c>
      <c r="BQ23" t="s">
        <v>3871</v>
      </c>
      <c r="BR23" t="s">
        <v>362</v>
      </c>
      <c r="BS23" t="s">
        <v>124</v>
      </c>
      <c r="BT23" t="s">
        <v>3775</v>
      </c>
      <c r="BU23" t="s">
        <v>3890</v>
      </c>
      <c r="BV23" t="s">
        <v>3890</v>
      </c>
      <c r="BW23" t="s">
        <v>3777</v>
      </c>
      <c r="BX23" t="s">
        <v>3777</v>
      </c>
      <c r="BY23" t="s">
        <v>3777</v>
      </c>
      <c r="BZ23" t="s">
        <v>3777</v>
      </c>
      <c r="CA23" t="s">
        <v>3777</v>
      </c>
      <c r="CB23" t="s">
        <v>124</v>
      </c>
      <c r="CC23" t="s">
        <v>124</v>
      </c>
      <c r="CD23" t="s">
        <v>124</v>
      </c>
      <c r="CE23" t="s">
        <v>124</v>
      </c>
      <c r="CF23" t="s">
        <v>124</v>
      </c>
      <c r="CG23" t="s">
        <v>3777</v>
      </c>
      <c r="CH23" t="s">
        <v>124</v>
      </c>
      <c r="CI23" t="s">
        <v>124</v>
      </c>
      <c r="CJ23" t="s">
        <v>124</v>
      </c>
      <c r="CK23" t="s">
        <v>124</v>
      </c>
      <c r="CL23" t="s">
        <v>124</v>
      </c>
      <c r="CM23" t="s">
        <v>3890</v>
      </c>
      <c r="CN23" t="s">
        <v>3890</v>
      </c>
      <c r="CO23" t="s">
        <v>124</v>
      </c>
      <c r="CP23" t="s">
        <v>124</v>
      </c>
      <c r="CQ23" t="s">
        <v>124</v>
      </c>
      <c r="CR23" t="s">
        <v>124</v>
      </c>
      <c r="CS23" t="s">
        <v>3778</v>
      </c>
      <c r="CT23" t="s">
        <v>3779</v>
      </c>
      <c r="CU23" t="s">
        <v>3780</v>
      </c>
      <c r="CV23" t="s">
        <v>429</v>
      </c>
      <c r="CW23" t="s">
        <v>3781</v>
      </c>
      <c r="CX23" t="s">
        <v>430</v>
      </c>
      <c r="CY23" t="s">
        <v>429</v>
      </c>
      <c r="CZ23" t="s">
        <v>431</v>
      </c>
      <c r="DA23" t="s">
        <v>432</v>
      </c>
      <c r="DB23" t="s">
        <v>3782</v>
      </c>
      <c r="DC23" t="s">
        <v>362</v>
      </c>
      <c r="DD23" t="s">
        <v>278</v>
      </c>
      <c r="DE23" t="s">
        <v>483</v>
      </c>
    </row>
    <row r="24" spans="1:109" ht="11.25" customHeight="1">
      <c r="A24" s="4" t="s">
        <v>124</v>
      </c>
      <c r="B24" t="s">
        <v>124</v>
      </c>
      <c r="C24" t="s">
        <v>124</v>
      </c>
      <c r="D24" t="s">
        <v>124</v>
      </c>
      <c r="E24" t="s">
        <v>124</v>
      </c>
      <c r="F24" t="s">
        <v>124</v>
      </c>
      <c r="G24" t="s">
        <v>124</v>
      </c>
      <c r="H24" t="s">
        <v>124</v>
      </c>
      <c r="I24" t="s">
        <v>3764</v>
      </c>
      <c r="J24" t="s">
        <v>124</v>
      </c>
      <c r="K24" t="s">
        <v>124</v>
      </c>
      <c r="L24" t="s">
        <v>124</v>
      </c>
      <c r="M24" t="s">
        <v>124</v>
      </c>
      <c r="N24" t="s">
        <v>124</v>
      </c>
      <c r="O24" t="s">
        <v>124</v>
      </c>
      <c r="P24" t="s">
        <v>124</v>
      </c>
      <c r="Q24" t="s">
        <v>124</v>
      </c>
      <c r="R24" t="s">
        <v>445</v>
      </c>
      <c r="S24" t="s">
        <v>124</v>
      </c>
      <c r="T24" t="s">
        <v>124</v>
      </c>
      <c r="U24" t="s">
        <v>101</v>
      </c>
      <c r="V24" t="s">
        <v>124</v>
      </c>
      <c r="W24" t="s">
        <v>124</v>
      </c>
      <c r="X24" t="s">
        <v>3765</v>
      </c>
      <c r="Y24" t="s">
        <v>124</v>
      </c>
      <c r="Z24" t="s">
        <v>215</v>
      </c>
      <c r="AA24" t="s">
        <v>215</v>
      </c>
      <c r="AB24" t="s">
        <v>150</v>
      </c>
      <c r="AC24" t="s">
        <v>341</v>
      </c>
      <c r="AD24" t="s">
        <v>341</v>
      </c>
      <c r="AE24" t="s">
        <v>342</v>
      </c>
      <c r="AF24" t="s">
        <v>3766</v>
      </c>
      <c r="AG24" t="s">
        <v>3767</v>
      </c>
      <c r="AH24" t="s">
        <v>362</v>
      </c>
      <c r="AI24" t="s">
        <v>362</v>
      </c>
      <c r="AJ24" t="s">
        <v>124</v>
      </c>
      <c r="AK24" t="s">
        <v>124</v>
      </c>
      <c r="AL24" t="s">
        <v>124</v>
      </c>
      <c r="AM24" t="s">
        <v>124</v>
      </c>
      <c r="AN24" t="s">
        <v>124</v>
      </c>
      <c r="AO24" t="s">
        <v>124</v>
      </c>
      <c r="AP24" t="s">
        <v>124</v>
      </c>
      <c r="AQ24" t="s">
        <v>124</v>
      </c>
      <c r="AR24" t="s">
        <v>124</v>
      </c>
      <c r="AS24" t="s">
        <v>124</v>
      </c>
      <c r="AT24" t="s">
        <v>124</v>
      </c>
      <c r="AU24" t="s">
        <v>124</v>
      </c>
      <c r="AV24" t="s">
        <v>124</v>
      </c>
      <c r="AW24" t="s">
        <v>124</v>
      </c>
      <c r="AX24" t="s">
        <v>124</v>
      </c>
      <c r="AY24" t="s">
        <v>124</v>
      </c>
      <c r="AZ24" t="s">
        <v>124</v>
      </c>
      <c r="BA24" t="s">
        <v>124</v>
      </c>
      <c r="BB24" t="s">
        <v>124</v>
      </c>
      <c r="BC24" t="s">
        <v>124</v>
      </c>
      <c r="BD24" t="s">
        <v>124</v>
      </c>
      <c r="BE24" t="s">
        <v>3783</v>
      </c>
      <c r="BF24" t="s">
        <v>3891</v>
      </c>
      <c r="BG24" t="s">
        <v>111</v>
      </c>
      <c r="BH24" t="s">
        <v>3770</v>
      </c>
      <c r="BI24" t="s">
        <v>122</v>
      </c>
      <c r="BJ24" t="s">
        <v>124</v>
      </c>
      <c r="BK24" t="s">
        <v>3801</v>
      </c>
      <c r="BL24" t="s">
        <v>341</v>
      </c>
      <c r="BM24" t="s">
        <v>341</v>
      </c>
      <c r="BN24" t="s">
        <v>3772</v>
      </c>
      <c r="BO24" t="s">
        <v>3766</v>
      </c>
      <c r="BP24" t="s">
        <v>3773</v>
      </c>
      <c r="BQ24" t="s">
        <v>362</v>
      </c>
      <c r="BR24" t="s">
        <v>362</v>
      </c>
      <c r="BS24" t="s">
        <v>124</v>
      </c>
      <c r="BT24" t="s">
        <v>3892</v>
      </c>
      <c r="BU24" t="s">
        <v>3893</v>
      </c>
      <c r="BV24" t="s">
        <v>3777</v>
      </c>
      <c r="BW24" t="s">
        <v>3777</v>
      </c>
      <c r="BX24" t="s">
        <v>3777</v>
      </c>
      <c r="BY24" t="s">
        <v>3777</v>
      </c>
      <c r="BZ24" t="s">
        <v>3893</v>
      </c>
      <c r="CA24" t="s">
        <v>3777</v>
      </c>
      <c r="CB24" t="s">
        <v>124</v>
      </c>
      <c r="CC24" t="s">
        <v>124</v>
      </c>
      <c r="CD24" t="s">
        <v>124</v>
      </c>
      <c r="CE24" t="s">
        <v>124</v>
      </c>
      <c r="CF24" t="s">
        <v>124</v>
      </c>
      <c r="CG24" t="s">
        <v>3777</v>
      </c>
      <c r="CH24" t="s">
        <v>124</v>
      </c>
      <c r="CI24" t="s">
        <v>124</v>
      </c>
      <c r="CJ24" t="s">
        <v>124</v>
      </c>
      <c r="CK24" t="s">
        <v>124</v>
      </c>
      <c r="CL24" t="s">
        <v>124</v>
      </c>
      <c r="CM24" t="s">
        <v>3893</v>
      </c>
      <c r="CN24" t="s">
        <v>124</v>
      </c>
      <c r="CO24" t="s">
        <v>124</v>
      </c>
      <c r="CP24" t="s">
        <v>124</v>
      </c>
      <c r="CQ24" t="s">
        <v>124</v>
      </c>
      <c r="CR24" t="s">
        <v>3893</v>
      </c>
      <c r="CS24" t="s">
        <v>3778</v>
      </c>
      <c r="CT24" t="s">
        <v>3779</v>
      </c>
      <c r="CU24" t="s">
        <v>3780</v>
      </c>
      <c r="CV24" t="s">
        <v>429</v>
      </c>
      <c r="CW24" t="s">
        <v>3781</v>
      </c>
      <c r="CX24" t="s">
        <v>430</v>
      </c>
      <c r="CY24" t="s">
        <v>429</v>
      </c>
      <c r="CZ24" t="s">
        <v>431</v>
      </c>
      <c r="DA24" t="s">
        <v>432</v>
      </c>
      <c r="DB24" t="s">
        <v>3782</v>
      </c>
      <c r="DC24" t="s">
        <v>362</v>
      </c>
      <c r="DD24" t="s">
        <v>278</v>
      </c>
      <c r="DE24" t="s">
        <v>428</v>
      </c>
    </row>
    <row r="25" spans="1:109" ht="11.25" customHeight="1">
      <c r="A25" s="4" t="s">
        <v>124</v>
      </c>
      <c r="B25" t="s">
        <v>124</v>
      </c>
      <c r="C25" t="s">
        <v>124</v>
      </c>
      <c r="D25" t="s">
        <v>124</v>
      </c>
      <c r="E25" t="s">
        <v>124</v>
      </c>
      <c r="F25" t="s">
        <v>124</v>
      </c>
      <c r="G25" t="s">
        <v>124</v>
      </c>
      <c r="H25" t="s">
        <v>124</v>
      </c>
      <c r="I25" t="s">
        <v>3764</v>
      </c>
      <c r="J25" t="s">
        <v>124</v>
      </c>
      <c r="K25" t="s">
        <v>124</v>
      </c>
      <c r="L25" t="s">
        <v>124</v>
      </c>
      <c r="M25" t="s">
        <v>124</v>
      </c>
      <c r="N25" t="s">
        <v>124</v>
      </c>
      <c r="O25" t="s">
        <v>124</v>
      </c>
      <c r="P25" t="s">
        <v>124</v>
      </c>
      <c r="Q25" t="s">
        <v>124</v>
      </c>
      <c r="R25" t="s">
        <v>3894</v>
      </c>
      <c r="S25" t="s">
        <v>124</v>
      </c>
      <c r="T25" t="s">
        <v>124</v>
      </c>
      <c r="U25" t="s">
        <v>101</v>
      </c>
      <c r="V25" t="s">
        <v>124</v>
      </c>
      <c r="W25" t="s">
        <v>124</v>
      </c>
      <c r="X25" t="s">
        <v>3765</v>
      </c>
      <c r="Y25" t="s">
        <v>124</v>
      </c>
      <c r="Z25" t="s">
        <v>215</v>
      </c>
      <c r="AA25" t="s">
        <v>215</v>
      </c>
      <c r="AB25" t="s">
        <v>150</v>
      </c>
      <c r="AC25" t="s">
        <v>341</v>
      </c>
      <c r="AD25" t="s">
        <v>341</v>
      </c>
      <c r="AE25" t="s">
        <v>342</v>
      </c>
      <c r="AF25" t="s">
        <v>3804</v>
      </c>
      <c r="AG25" t="s">
        <v>3805</v>
      </c>
      <c r="AH25" t="s">
        <v>3895</v>
      </c>
      <c r="AI25" t="s">
        <v>3807</v>
      </c>
      <c r="AJ25" t="s">
        <v>124</v>
      </c>
      <c r="AK25" t="s">
        <v>124</v>
      </c>
      <c r="AL25" t="s">
        <v>124</v>
      </c>
      <c r="AM25" t="s">
        <v>124</v>
      </c>
      <c r="AN25" t="s">
        <v>124</v>
      </c>
      <c r="AO25" t="s">
        <v>124</v>
      </c>
      <c r="AP25" t="s">
        <v>124</v>
      </c>
      <c r="AQ25" t="s">
        <v>124</v>
      </c>
      <c r="AR25" t="s">
        <v>124</v>
      </c>
      <c r="AS25" t="s">
        <v>124</v>
      </c>
      <c r="AT25" t="s">
        <v>124</v>
      </c>
      <c r="AU25" t="s">
        <v>124</v>
      </c>
      <c r="AV25" t="s">
        <v>124</v>
      </c>
      <c r="AW25" t="s">
        <v>124</v>
      </c>
      <c r="AX25" t="s">
        <v>124</v>
      </c>
      <c r="AY25" t="s">
        <v>124</v>
      </c>
      <c r="AZ25" t="s">
        <v>124</v>
      </c>
      <c r="BA25" t="s">
        <v>124</v>
      </c>
      <c r="BB25" t="s">
        <v>124</v>
      </c>
      <c r="BC25" t="s">
        <v>124</v>
      </c>
      <c r="BD25" t="s">
        <v>124</v>
      </c>
      <c r="BE25" t="s">
        <v>3858</v>
      </c>
      <c r="BF25" t="s">
        <v>3777</v>
      </c>
      <c r="BG25" t="s">
        <v>3257</v>
      </c>
      <c r="BH25" t="s">
        <v>3809</v>
      </c>
      <c r="BI25" t="s">
        <v>2985</v>
      </c>
      <c r="BJ25" t="s">
        <v>124</v>
      </c>
      <c r="BK25" t="s">
        <v>3810</v>
      </c>
      <c r="BL25" t="s">
        <v>2928</v>
      </c>
      <c r="BM25" t="s">
        <v>2928</v>
      </c>
      <c r="BN25" t="s">
        <v>3811</v>
      </c>
      <c r="BO25" t="s">
        <v>3812</v>
      </c>
      <c r="BP25" t="s">
        <v>3813</v>
      </c>
      <c r="BQ25" t="s">
        <v>3814</v>
      </c>
      <c r="BR25" t="s">
        <v>362</v>
      </c>
      <c r="BS25" t="s">
        <v>124</v>
      </c>
      <c r="BT25" t="s">
        <v>3815</v>
      </c>
      <c r="BU25" t="s">
        <v>3896</v>
      </c>
      <c r="BV25" t="s">
        <v>3896</v>
      </c>
      <c r="BW25" t="s">
        <v>3777</v>
      </c>
      <c r="BX25" t="s">
        <v>3777</v>
      </c>
      <c r="BY25" t="s">
        <v>3777</v>
      </c>
      <c r="BZ25" t="s">
        <v>3777</v>
      </c>
      <c r="CA25" t="s">
        <v>3777</v>
      </c>
      <c r="CB25" t="s">
        <v>124</v>
      </c>
      <c r="CC25" t="s">
        <v>124</v>
      </c>
      <c r="CD25" t="s">
        <v>124</v>
      </c>
      <c r="CE25" t="s">
        <v>124</v>
      </c>
      <c r="CF25" t="s">
        <v>124</v>
      </c>
      <c r="CG25" t="s">
        <v>3777</v>
      </c>
      <c r="CH25" t="s">
        <v>124</v>
      </c>
      <c r="CI25" t="s">
        <v>124</v>
      </c>
      <c r="CJ25" t="s">
        <v>124</v>
      </c>
      <c r="CK25" t="s">
        <v>124</v>
      </c>
      <c r="CL25" t="s">
        <v>124</v>
      </c>
      <c r="CM25" t="s">
        <v>3896</v>
      </c>
      <c r="CN25" t="s">
        <v>3896</v>
      </c>
      <c r="CO25" t="s">
        <v>124</v>
      </c>
      <c r="CP25" t="s">
        <v>124</v>
      </c>
      <c r="CQ25" t="s">
        <v>124</v>
      </c>
      <c r="CR25" t="s">
        <v>124</v>
      </c>
      <c r="CS25" t="s">
        <v>3817</v>
      </c>
      <c r="CT25" t="s">
        <v>3779</v>
      </c>
      <c r="CU25" t="s">
        <v>3780</v>
      </c>
      <c r="CV25" t="s">
        <v>429</v>
      </c>
      <c r="CW25" t="s">
        <v>3781</v>
      </c>
      <c r="CX25" t="s">
        <v>430</v>
      </c>
      <c r="CY25" t="s">
        <v>429</v>
      </c>
      <c r="CZ25" t="s">
        <v>431</v>
      </c>
      <c r="DA25" t="s">
        <v>432</v>
      </c>
      <c r="DB25" t="s">
        <v>3782</v>
      </c>
      <c r="DC25" t="s">
        <v>362</v>
      </c>
      <c r="DD25" t="s">
        <v>278</v>
      </c>
      <c r="DE25" t="s">
        <v>3897</v>
      </c>
    </row>
    <row r="26" spans="1:109" ht="11.25" customHeight="1">
      <c r="A26" s="4" t="s">
        <v>124</v>
      </c>
      <c r="B26" t="s">
        <v>124</v>
      </c>
      <c r="C26" t="s">
        <v>124</v>
      </c>
      <c r="D26" t="s">
        <v>124</v>
      </c>
      <c r="E26" t="s">
        <v>124</v>
      </c>
      <c r="F26" t="s">
        <v>124</v>
      </c>
      <c r="G26" t="s">
        <v>124</v>
      </c>
      <c r="H26" t="s">
        <v>124</v>
      </c>
      <c r="I26" t="s">
        <v>3764</v>
      </c>
      <c r="J26" t="s">
        <v>124</v>
      </c>
      <c r="K26" t="s">
        <v>124</v>
      </c>
      <c r="L26" t="s">
        <v>124</v>
      </c>
      <c r="M26" t="s">
        <v>124</v>
      </c>
      <c r="N26" t="s">
        <v>124</v>
      </c>
      <c r="O26" t="s">
        <v>124</v>
      </c>
      <c r="P26" t="s">
        <v>124</v>
      </c>
      <c r="Q26" t="s">
        <v>124</v>
      </c>
      <c r="R26" t="s">
        <v>3898</v>
      </c>
      <c r="S26" t="s">
        <v>124</v>
      </c>
      <c r="T26" t="s">
        <v>124</v>
      </c>
      <c r="U26" t="s">
        <v>101</v>
      </c>
      <c r="V26" t="s">
        <v>124</v>
      </c>
      <c r="W26" t="s">
        <v>124</v>
      </c>
      <c r="X26" t="s">
        <v>3765</v>
      </c>
      <c r="Y26" t="s">
        <v>124</v>
      </c>
      <c r="Z26" t="s">
        <v>215</v>
      </c>
      <c r="AA26" t="s">
        <v>215</v>
      </c>
      <c r="AB26" t="s">
        <v>150</v>
      </c>
      <c r="AC26" t="s">
        <v>341</v>
      </c>
      <c r="AD26" t="s">
        <v>341</v>
      </c>
      <c r="AE26" t="s">
        <v>342</v>
      </c>
      <c r="AF26" t="s">
        <v>3804</v>
      </c>
      <c r="AG26" t="s">
        <v>3805</v>
      </c>
      <c r="AH26" t="s">
        <v>3878</v>
      </c>
      <c r="AI26" t="s">
        <v>3807</v>
      </c>
      <c r="AJ26" t="s">
        <v>124</v>
      </c>
      <c r="AK26" t="s">
        <v>124</v>
      </c>
      <c r="AL26" t="s">
        <v>124</v>
      </c>
      <c r="AM26" t="s">
        <v>124</v>
      </c>
      <c r="AN26" t="s">
        <v>124</v>
      </c>
      <c r="AO26" t="s">
        <v>124</v>
      </c>
      <c r="AP26" t="s">
        <v>124</v>
      </c>
      <c r="AQ26" t="s">
        <v>124</v>
      </c>
      <c r="AR26" t="s">
        <v>124</v>
      </c>
      <c r="AS26" t="s">
        <v>124</v>
      </c>
      <c r="AT26" t="s">
        <v>124</v>
      </c>
      <c r="AU26" t="s">
        <v>124</v>
      </c>
      <c r="AV26" t="s">
        <v>124</v>
      </c>
      <c r="AW26" t="s">
        <v>124</v>
      </c>
      <c r="AX26" t="s">
        <v>124</v>
      </c>
      <c r="AY26" t="s">
        <v>124</v>
      </c>
      <c r="AZ26" t="s">
        <v>124</v>
      </c>
      <c r="BA26" t="s">
        <v>124</v>
      </c>
      <c r="BB26" t="s">
        <v>124</v>
      </c>
      <c r="BC26" t="s">
        <v>124</v>
      </c>
      <c r="BD26" t="s">
        <v>124</v>
      </c>
      <c r="BE26" t="s">
        <v>3858</v>
      </c>
      <c r="BF26" t="s">
        <v>3777</v>
      </c>
      <c r="BG26" t="s">
        <v>3257</v>
      </c>
      <c r="BH26" t="s">
        <v>3809</v>
      </c>
      <c r="BI26" t="s">
        <v>2985</v>
      </c>
      <c r="BJ26" t="s">
        <v>124</v>
      </c>
      <c r="BK26" t="s">
        <v>3810</v>
      </c>
      <c r="BL26" t="s">
        <v>2928</v>
      </c>
      <c r="BM26" t="s">
        <v>2928</v>
      </c>
      <c r="BN26" t="s">
        <v>3811</v>
      </c>
      <c r="BO26" t="s">
        <v>3812</v>
      </c>
      <c r="BP26" t="s">
        <v>3813</v>
      </c>
      <c r="BQ26" t="s">
        <v>3814</v>
      </c>
      <c r="BR26" t="s">
        <v>362</v>
      </c>
      <c r="BS26" t="s">
        <v>124</v>
      </c>
      <c r="BT26" t="s">
        <v>3815</v>
      </c>
      <c r="BU26" t="s">
        <v>3899</v>
      </c>
      <c r="BV26" t="s">
        <v>3899</v>
      </c>
      <c r="BW26" t="s">
        <v>3777</v>
      </c>
      <c r="BX26" t="s">
        <v>3777</v>
      </c>
      <c r="BY26" t="s">
        <v>3777</v>
      </c>
      <c r="BZ26" t="s">
        <v>3777</v>
      </c>
      <c r="CA26" t="s">
        <v>3777</v>
      </c>
      <c r="CB26" t="s">
        <v>124</v>
      </c>
      <c r="CC26" t="s">
        <v>124</v>
      </c>
      <c r="CD26" t="s">
        <v>124</v>
      </c>
      <c r="CE26" t="s">
        <v>124</v>
      </c>
      <c r="CF26" t="s">
        <v>124</v>
      </c>
      <c r="CG26" t="s">
        <v>3777</v>
      </c>
      <c r="CH26" t="s">
        <v>124</v>
      </c>
      <c r="CI26" t="s">
        <v>124</v>
      </c>
      <c r="CJ26" t="s">
        <v>124</v>
      </c>
      <c r="CK26" t="s">
        <v>124</v>
      </c>
      <c r="CL26" t="s">
        <v>124</v>
      </c>
      <c r="CM26" t="s">
        <v>3899</v>
      </c>
      <c r="CN26" t="s">
        <v>3899</v>
      </c>
      <c r="CO26" t="s">
        <v>124</v>
      </c>
      <c r="CP26" t="s">
        <v>124</v>
      </c>
      <c r="CQ26" t="s">
        <v>124</v>
      </c>
      <c r="CR26" t="s">
        <v>124</v>
      </c>
      <c r="CS26" t="s">
        <v>3900</v>
      </c>
      <c r="CT26" t="s">
        <v>3779</v>
      </c>
      <c r="CU26" t="s">
        <v>3780</v>
      </c>
      <c r="CV26" t="s">
        <v>429</v>
      </c>
      <c r="CW26" t="s">
        <v>3781</v>
      </c>
      <c r="CX26" t="s">
        <v>430</v>
      </c>
      <c r="CY26" t="s">
        <v>429</v>
      </c>
      <c r="CZ26" t="s">
        <v>431</v>
      </c>
      <c r="DA26" t="s">
        <v>432</v>
      </c>
      <c r="DB26" t="s">
        <v>3782</v>
      </c>
      <c r="DC26" t="s">
        <v>362</v>
      </c>
      <c r="DD26" t="s">
        <v>278</v>
      </c>
      <c r="DE26" t="s">
        <v>3880</v>
      </c>
    </row>
    <row r="27" spans="1:109" ht="11.25" customHeight="1">
      <c r="A27" s="4" t="s">
        <v>124</v>
      </c>
      <c r="B27" t="s">
        <v>124</v>
      </c>
      <c r="C27" t="s">
        <v>124</v>
      </c>
      <c r="D27" t="s">
        <v>124</v>
      </c>
      <c r="E27" t="s">
        <v>124</v>
      </c>
      <c r="F27" t="s">
        <v>124</v>
      </c>
      <c r="G27" t="s">
        <v>124</v>
      </c>
      <c r="H27" t="s">
        <v>124</v>
      </c>
      <c r="I27" t="s">
        <v>3764</v>
      </c>
      <c r="J27" t="s">
        <v>124</v>
      </c>
      <c r="K27" t="s">
        <v>124</v>
      </c>
      <c r="L27" t="s">
        <v>124</v>
      </c>
      <c r="M27" t="s">
        <v>124</v>
      </c>
      <c r="N27" t="s">
        <v>124</v>
      </c>
      <c r="O27" t="s">
        <v>124</v>
      </c>
      <c r="P27" t="s">
        <v>124</v>
      </c>
      <c r="Q27" t="s">
        <v>124</v>
      </c>
      <c r="R27" t="s">
        <v>447</v>
      </c>
      <c r="S27" t="s">
        <v>124</v>
      </c>
      <c r="T27" t="s">
        <v>124</v>
      </c>
      <c r="U27" t="s">
        <v>101</v>
      </c>
      <c r="V27" t="s">
        <v>124</v>
      </c>
      <c r="W27" t="s">
        <v>124</v>
      </c>
      <c r="X27" t="s">
        <v>3765</v>
      </c>
      <c r="Y27" t="s">
        <v>124</v>
      </c>
      <c r="Z27" t="s">
        <v>215</v>
      </c>
      <c r="AA27" t="s">
        <v>215</v>
      </c>
      <c r="AB27" t="s">
        <v>150</v>
      </c>
      <c r="AC27" t="s">
        <v>341</v>
      </c>
      <c r="AD27" t="s">
        <v>341</v>
      </c>
      <c r="AE27" t="s">
        <v>342</v>
      </c>
      <c r="AF27" t="s">
        <v>3766</v>
      </c>
      <c r="AG27" t="s">
        <v>3767</v>
      </c>
      <c r="AH27" t="s">
        <v>362</v>
      </c>
      <c r="AI27" t="s">
        <v>362</v>
      </c>
      <c r="AJ27" t="s">
        <v>124</v>
      </c>
      <c r="AK27" t="s">
        <v>124</v>
      </c>
      <c r="AL27" t="s">
        <v>124</v>
      </c>
      <c r="AM27" t="s">
        <v>124</v>
      </c>
      <c r="AN27" t="s">
        <v>124</v>
      </c>
      <c r="AO27" t="s">
        <v>124</v>
      </c>
      <c r="AP27" t="s">
        <v>124</v>
      </c>
      <c r="AQ27" t="s">
        <v>124</v>
      </c>
      <c r="AR27" t="s">
        <v>124</v>
      </c>
      <c r="AS27" t="s">
        <v>124</v>
      </c>
      <c r="AT27" t="s">
        <v>124</v>
      </c>
      <c r="AU27" t="s">
        <v>124</v>
      </c>
      <c r="AV27" t="s">
        <v>124</v>
      </c>
      <c r="AW27" t="s">
        <v>124</v>
      </c>
      <c r="AX27" t="s">
        <v>124</v>
      </c>
      <c r="AY27" t="s">
        <v>124</v>
      </c>
      <c r="AZ27" t="s">
        <v>124</v>
      </c>
      <c r="BA27" t="s">
        <v>124</v>
      </c>
      <c r="BB27" t="s">
        <v>124</v>
      </c>
      <c r="BC27" t="s">
        <v>124</v>
      </c>
      <c r="BD27" t="s">
        <v>124</v>
      </c>
      <c r="BE27" t="s">
        <v>3827</v>
      </c>
      <c r="BF27" t="s">
        <v>3901</v>
      </c>
      <c r="BG27" t="s">
        <v>111</v>
      </c>
      <c r="BH27" t="s">
        <v>3770</v>
      </c>
      <c r="BI27" t="s">
        <v>122</v>
      </c>
      <c r="BJ27" t="s">
        <v>124</v>
      </c>
      <c r="BK27" t="s">
        <v>3902</v>
      </c>
      <c r="BL27" t="s">
        <v>341</v>
      </c>
      <c r="BM27" t="s">
        <v>341</v>
      </c>
      <c r="BN27" t="s">
        <v>3772</v>
      </c>
      <c r="BO27" t="s">
        <v>3866</v>
      </c>
      <c r="BP27" t="s">
        <v>3870</v>
      </c>
      <c r="BQ27" t="s">
        <v>3871</v>
      </c>
      <c r="BR27" t="s">
        <v>362</v>
      </c>
      <c r="BS27" t="s">
        <v>124</v>
      </c>
      <c r="BT27" t="s">
        <v>3775</v>
      </c>
      <c r="BU27" t="s">
        <v>3903</v>
      </c>
      <c r="BV27" t="s">
        <v>3904</v>
      </c>
      <c r="BW27" t="s">
        <v>3905</v>
      </c>
      <c r="BX27" t="s">
        <v>3777</v>
      </c>
      <c r="BY27" t="s">
        <v>3777</v>
      </c>
      <c r="BZ27" t="s">
        <v>3777</v>
      </c>
      <c r="CA27" t="s">
        <v>3777</v>
      </c>
      <c r="CB27" t="s">
        <v>124</v>
      </c>
      <c r="CC27" t="s">
        <v>124</v>
      </c>
      <c r="CD27" t="s">
        <v>124</v>
      </c>
      <c r="CE27" t="s">
        <v>124</v>
      </c>
      <c r="CF27" t="s">
        <v>124</v>
      </c>
      <c r="CG27" t="s">
        <v>3777</v>
      </c>
      <c r="CH27" t="s">
        <v>124</v>
      </c>
      <c r="CI27" t="s">
        <v>124</v>
      </c>
      <c r="CJ27" t="s">
        <v>124</v>
      </c>
      <c r="CK27" t="s">
        <v>124</v>
      </c>
      <c r="CL27" t="s">
        <v>124</v>
      </c>
      <c r="CM27" t="s">
        <v>3903</v>
      </c>
      <c r="CN27" t="s">
        <v>3904</v>
      </c>
      <c r="CO27" t="s">
        <v>3905</v>
      </c>
      <c r="CP27" t="s">
        <v>124</v>
      </c>
      <c r="CQ27" t="s">
        <v>124</v>
      </c>
      <c r="CR27" t="s">
        <v>124</v>
      </c>
      <c r="CS27" t="s">
        <v>3778</v>
      </c>
      <c r="CT27" t="s">
        <v>3779</v>
      </c>
      <c r="CU27" t="s">
        <v>3780</v>
      </c>
      <c r="CV27" t="s">
        <v>429</v>
      </c>
      <c r="CW27" t="s">
        <v>3781</v>
      </c>
      <c r="CX27" t="s">
        <v>430</v>
      </c>
      <c r="CY27" t="s">
        <v>429</v>
      </c>
      <c r="CZ27" t="s">
        <v>431</v>
      </c>
      <c r="DA27" t="s">
        <v>432</v>
      </c>
      <c r="DB27" t="s">
        <v>3782</v>
      </c>
      <c r="DC27" t="s">
        <v>362</v>
      </c>
      <c r="DD27" t="s">
        <v>278</v>
      </c>
      <c r="DE27" t="s">
        <v>428</v>
      </c>
    </row>
    <row r="28" spans="1:109" ht="11.25" customHeight="1">
      <c r="A28" s="4" t="s">
        <v>124</v>
      </c>
      <c r="B28" t="s">
        <v>124</v>
      </c>
      <c r="C28" t="s">
        <v>124</v>
      </c>
      <c r="D28" t="s">
        <v>124</v>
      </c>
      <c r="E28" t="s">
        <v>124</v>
      </c>
      <c r="F28" t="s">
        <v>124</v>
      </c>
      <c r="G28" t="s">
        <v>124</v>
      </c>
      <c r="H28" t="s">
        <v>124</v>
      </c>
      <c r="I28" t="s">
        <v>3764</v>
      </c>
      <c r="J28" t="s">
        <v>124</v>
      </c>
      <c r="K28" t="s">
        <v>124</v>
      </c>
      <c r="L28" t="s">
        <v>124</v>
      </c>
      <c r="M28" t="s">
        <v>124</v>
      </c>
      <c r="N28" t="s">
        <v>124</v>
      </c>
      <c r="O28" t="s">
        <v>124</v>
      </c>
      <c r="P28" t="s">
        <v>124</v>
      </c>
      <c r="Q28" t="s">
        <v>124</v>
      </c>
      <c r="R28" t="s">
        <v>3906</v>
      </c>
      <c r="S28" t="s">
        <v>124</v>
      </c>
      <c r="T28" t="s">
        <v>124</v>
      </c>
      <c r="U28" t="s">
        <v>101</v>
      </c>
      <c r="V28" t="s">
        <v>124</v>
      </c>
      <c r="W28" t="s">
        <v>124</v>
      </c>
      <c r="X28" t="s">
        <v>3765</v>
      </c>
      <c r="Y28" t="s">
        <v>124</v>
      </c>
      <c r="Z28" t="s">
        <v>215</v>
      </c>
      <c r="AA28" t="s">
        <v>215</v>
      </c>
      <c r="AB28" t="s">
        <v>150</v>
      </c>
      <c r="AC28" t="s">
        <v>341</v>
      </c>
      <c r="AD28" t="s">
        <v>341</v>
      </c>
      <c r="AE28" t="s">
        <v>342</v>
      </c>
      <c r="AF28" t="s">
        <v>3766</v>
      </c>
      <c r="AG28" t="s">
        <v>3767</v>
      </c>
      <c r="AH28" t="s">
        <v>362</v>
      </c>
      <c r="AI28" t="s">
        <v>362</v>
      </c>
      <c r="AJ28" t="s">
        <v>124</v>
      </c>
      <c r="AK28" t="s">
        <v>124</v>
      </c>
      <c r="AL28" t="s">
        <v>124</v>
      </c>
      <c r="AM28" t="s">
        <v>124</v>
      </c>
      <c r="AN28" t="s">
        <v>124</v>
      </c>
      <c r="AO28" t="s">
        <v>124</v>
      </c>
      <c r="AP28" t="s">
        <v>124</v>
      </c>
      <c r="AQ28" t="s">
        <v>124</v>
      </c>
      <c r="AR28" t="s">
        <v>124</v>
      </c>
      <c r="AS28" t="s">
        <v>124</v>
      </c>
      <c r="AT28" t="s">
        <v>124</v>
      </c>
      <c r="AU28" t="s">
        <v>124</v>
      </c>
      <c r="AV28" t="s">
        <v>124</v>
      </c>
      <c r="AW28" t="s">
        <v>124</v>
      </c>
      <c r="AX28" t="s">
        <v>124</v>
      </c>
      <c r="AY28" t="s">
        <v>124</v>
      </c>
      <c r="AZ28" t="s">
        <v>124</v>
      </c>
      <c r="BA28" t="s">
        <v>124</v>
      </c>
      <c r="BB28" t="s">
        <v>124</v>
      </c>
      <c r="BC28" t="s">
        <v>124</v>
      </c>
      <c r="BD28" t="s">
        <v>124</v>
      </c>
      <c r="BE28" t="s">
        <v>3827</v>
      </c>
      <c r="BF28" t="s">
        <v>3907</v>
      </c>
      <c r="BG28" t="s">
        <v>111</v>
      </c>
      <c r="BH28" t="s">
        <v>3770</v>
      </c>
      <c r="BI28" t="s">
        <v>122</v>
      </c>
      <c r="BJ28" t="s">
        <v>124</v>
      </c>
      <c r="BK28" t="s">
        <v>3908</v>
      </c>
      <c r="BL28" t="s">
        <v>341</v>
      </c>
      <c r="BM28" t="s">
        <v>341</v>
      </c>
      <c r="BN28" t="s">
        <v>3772</v>
      </c>
      <c r="BO28" t="s">
        <v>3804</v>
      </c>
      <c r="BP28" t="s">
        <v>3909</v>
      </c>
      <c r="BQ28" t="s">
        <v>3910</v>
      </c>
      <c r="BR28" t="s">
        <v>435</v>
      </c>
      <c r="BS28" t="s">
        <v>124</v>
      </c>
      <c r="BT28" t="s">
        <v>3911</v>
      </c>
      <c r="BU28" t="s">
        <v>3912</v>
      </c>
      <c r="BV28" t="s">
        <v>3912</v>
      </c>
      <c r="BW28" t="s">
        <v>3777</v>
      </c>
      <c r="BX28" t="s">
        <v>3777</v>
      </c>
      <c r="BY28" t="s">
        <v>3777</v>
      </c>
      <c r="BZ28" t="s">
        <v>3777</v>
      </c>
      <c r="CA28" t="s">
        <v>3777</v>
      </c>
      <c r="CB28" t="s">
        <v>124</v>
      </c>
      <c r="CC28" t="s">
        <v>124</v>
      </c>
      <c r="CD28" t="s">
        <v>124</v>
      </c>
      <c r="CE28" t="s">
        <v>124</v>
      </c>
      <c r="CF28" t="s">
        <v>124</v>
      </c>
      <c r="CG28" t="s">
        <v>3777</v>
      </c>
      <c r="CH28" t="s">
        <v>124</v>
      </c>
      <c r="CI28" t="s">
        <v>124</v>
      </c>
      <c r="CJ28" t="s">
        <v>124</v>
      </c>
      <c r="CK28" t="s">
        <v>124</v>
      </c>
      <c r="CL28" t="s">
        <v>124</v>
      </c>
      <c r="CM28" t="s">
        <v>3912</v>
      </c>
      <c r="CN28" t="s">
        <v>3912</v>
      </c>
      <c r="CO28" t="s">
        <v>124</v>
      </c>
      <c r="CP28" t="s">
        <v>124</v>
      </c>
      <c r="CQ28" t="s">
        <v>124</v>
      </c>
      <c r="CR28" t="s">
        <v>124</v>
      </c>
      <c r="CS28" t="s">
        <v>3777</v>
      </c>
      <c r="CT28" t="s">
        <v>3779</v>
      </c>
      <c r="CU28" t="s">
        <v>3780</v>
      </c>
      <c r="CV28" t="s">
        <v>429</v>
      </c>
      <c r="CW28" t="s">
        <v>3781</v>
      </c>
      <c r="CX28" t="s">
        <v>430</v>
      </c>
      <c r="CY28" t="s">
        <v>429</v>
      </c>
      <c r="CZ28" t="s">
        <v>431</v>
      </c>
      <c r="DA28" t="s">
        <v>432</v>
      </c>
      <c r="DB28" t="s">
        <v>3782</v>
      </c>
      <c r="DC28" t="s">
        <v>362</v>
      </c>
      <c r="DD28" t="s">
        <v>278</v>
      </c>
      <c r="DE28" t="s">
        <v>428</v>
      </c>
    </row>
    <row r="29" spans="1:109" ht="11.25" customHeight="1">
      <c r="A29" s="4" t="s">
        <v>124</v>
      </c>
      <c r="B29" t="s">
        <v>124</v>
      </c>
      <c r="C29" t="s">
        <v>124</v>
      </c>
      <c r="D29" t="s">
        <v>124</v>
      </c>
      <c r="E29" t="s">
        <v>124</v>
      </c>
      <c r="F29" t="s">
        <v>124</v>
      </c>
      <c r="G29" t="s">
        <v>124</v>
      </c>
      <c r="H29" t="s">
        <v>124</v>
      </c>
      <c r="I29" t="s">
        <v>3764</v>
      </c>
      <c r="J29" t="s">
        <v>124</v>
      </c>
      <c r="K29" t="s">
        <v>124</v>
      </c>
      <c r="L29" t="s">
        <v>124</v>
      </c>
      <c r="M29" t="s">
        <v>124</v>
      </c>
      <c r="N29" t="s">
        <v>124</v>
      </c>
      <c r="O29" t="s">
        <v>124</v>
      </c>
      <c r="P29" t="s">
        <v>124</v>
      </c>
      <c r="Q29" t="s">
        <v>124</v>
      </c>
      <c r="R29" t="s">
        <v>469</v>
      </c>
      <c r="S29" t="s">
        <v>124</v>
      </c>
      <c r="T29" t="s">
        <v>124</v>
      </c>
      <c r="U29" t="s">
        <v>101</v>
      </c>
      <c r="V29" t="s">
        <v>124</v>
      </c>
      <c r="W29" t="s">
        <v>124</v>
      </c>
      <c r="X29" t="s">
        <v>3913</v>
      </c>
      <c r="Y29" t="s">
        <v>124</v>
      </c>
      <c r="Z29" t="s">
        <v>150</v>
      </c>
      <c r="AA29" t="s">
        <v>215</v>
      </c>
      <c r="AB29" t="s">
        <v>215</v>
      </c>
      <c r="AC29" t="s">
        <v>2483</v>
      </c>
      <c r="AD29" t="s">
        <v>2483</v>
      </c>
      <c r="AE29" t="s">
        <v>2484</v>
      </c>
      <c r="AF29" t="s">
        <v>3787</v>
      </c>
      <c r="AG29" t="s">
        <v>3793</v>
      </c>
      <c r="AH29" t="s">
        <v>362</v>
      </c>
      <c r="AI29" t="s">
        <v>362</v>
      </c>
      <c r="AJ29" t="s">
        <v>3783</v>
      </c>
      <c r="AK29" t="s">
        <v>3914</v>
      </c>
      <c r="AL29" t="s">
        <v>3915</v>
      </c>
      <c r="AM29" t="s">
        <v>3916</v>
      </c>
      <c r="AN29" t="s">
        <v>3778</v>
      </c>
      <c r="AO29" t="s">
        <v>3917</v>
      </c>
      <c r="AP29" t="s">
        <v>124</v>
      </c>
      <c r="AQ29" t="s">
        <v>124</v>
      </c>
      <c r="AR29" t="s">
        <v>124</v>
      </c>
      <c r="AS29" t="s">
        <v>124</v>
      </c>
      <c r="AT29" t="s">
        <v>124</v>
      </c>
      <c r="AU29" t="s">
        <v>124</v>
      </c>
      <c r="AV29" t="s">
        <v>124</v>
      </c>
      <c r="AW29" t="s">
        <v>124</v>
      </c>
      <c r="AX29" t="s">
        <v>124</v>
      </c>
      <c r="AY29" t="s">
        <v>124</v>
      </c>
      <c r="AZ29" t="s">
        <v>124</v>
      </c>
      <c r="BA29" t="s">
        <v>124</v>
      </c>
      <c r="BB29" t="s">
        <v>124</v>
      </c>
      <c r="BC29" t="s">
        <v>124</v>
      </c>
      <c r="BD29" t="s">
        <v>124</v>
      </c>
      <c r="BE29" t="s">
        <v>124</v>
      </c>
      <c r="BF29" t="s">
        <v>124</v>
      </c>
      <c r="BG29" t="s">
        <v>124</v>
      </c>
      <c r="BH29" t="s">
        <v>124</v>
      </c>
      <c r="BI29" t="s">
        <v>124</v>
      </c>
      <c r="BJ29" t="s">
        <v>124</v>
      </c>
      <c r="BK29" t="s">
        <v>124</v>
      </c>
      <c r="BL29" t="s">
        <v>124</v>
      </c>
      <c r="BM29" t="s">
        <v>124</v>
      </c>
      <c r="BN29" t="s">
        <v>124</v>
      </c>
      <c r="BO29" t="s">
        <v>124</v>
      </c>
      <c r="BP29" t="s">
        <v>124</v>
      </c>
      <c r="BQ29" t="s">
        <v>124</v>
      </c>
      <c r="BR29" t="s">
        <v>124</v>
      </c>
      <c r="BS29" t="s">
        <v>124</v>
      </c>
      <c r="BT29" t="s">
        <v>124</v>
      </c>
      <c r="BU29" t="s">
        <v>124</v>
      </c>
      <c r="BV29" t="s">
        <v>124</v>
      </c>
      <c r="BW29" t="s">
        <v>124</v>
      </c>
      <c r="BX29" t="s">
        <v>124</v>
      </c>
      <c r="BY29" t="s">
        <v>124</v>
      </c>
      <c r="BZ29" t="s">
        <v>124</v>
      </c>
      <c r="CA29" t="s">
        <v>124</v>
      </c>
      <c r="CB29" t="s">
        <v>124</v>
      </c>
      <c r="CC29" t="s">
        <v>124</v>
      </c>
      <c r="CD29" t="s">
        <v>124</v>
      </c>
      <c r="CE29" t="s">
        <v>124</v>
      </c>
      <c r="CF29" t="s">
        <v>124</v>
      </c>
      <c r="CG29" t="s">
        <v>124</v>
      </c>
      <c r="CH29" t="s">
        <v>124</v>
      </c>
      <c r="CI29" t="s">
        <v>124</v>
      </c>
      <c r="CJ29" t="s">
        <v>124</v>
      </c>
      <c r="CK29" t="s">
        <v>124</v>
      </c>
      <c r="CL29" t="s">
        <v>124</v>
      </c>
      <c r="CM29" t="s">
        <v>124</v>
      </c>
      <c r="CN29" t="s">
        <v>124</v>
      </c>
      <c r="CO29" t="s">
        <v>124</v>
      </c>
      <c r="CP29" t="s">
        <v>124</v>
      </c>
      <c r="CQ29" t="s">
        <v>124</v>
      </c>
      <c r="CR29" t="s">
        <v>124</v>
      </c>
      <c r="CS29" t="s">
        <v>124</v>
      </c>
      <c r="CT29" t="s">
        <v>3779</v>
      </c>
      <c r="CU29" t="s">
        <v>3780</v>
      </c>
      <c r="CV29" t="s">
        <v>429</v>
      </c>
      <c r="CW29" t="s">
        <v>3781</v>
      </c>
      <c r="CX29" t="s">
        <v>430</v>
      </c>
      <c r="CY29" t="s">
        <v>429</v>
      </c>
      <c r="CZ29" t="s">
        <v>431</v>
      </c>
      <c r="DA29" t="s">
        <v>432</v>
      </c>
      <c r="DB29" t="s">
        <v>3782</v>
      </c>
      <c r="DC29" t="s">
        <v>362</v>
      </c>
      <c r="DD29" t="s">
        <v>278</v>
      </c>
      <c r="DE29" t="s">
        <v>467</v>
      </c>
    </row>
    <row r="30" spans="1:109" ht="11.25" customHeight="1">
      <c r="A30" s="4" t="s">
        <v>124</v>
      </c>
      <c r="B30" t="s">
        <v>124</v>
      </c>
      <c r="C30" t="s">
        <v>124</v>
      </c>
      <c r="D30" t="s">
        <v>124</v>
      </c>
      <c r="E30" t="s">
        <v>124</v>
      </c>
      <c r="F30" t="s">
        <v>124</v>
      </c>
      <c r="G30" t="s">
        <v>124</v>
      </c>
      <c r="H30" t="s">
        <v>124</v>
      </c>
      <c r="I30" t="s">
        <v>3764</v>
      </c>
      <c r="J30" t="s">
        <v>124</v>
      </c>
      <c r="K30" t="s">
        <v>124</v>
      </c>
      <c r="L30" t="s">
        <v>124</v>
      </c>
      <c r="M30" t="s">
        <v>124</v>
      </c>
      <c r="N30" t="s">
        <v>124</v>
      </c>
      <c r="O30" t="s">
        <v>124</v>
      </c>
      <c r="P30" t="s">
        <v>124</v>
      </c>
      <c r="Q30" t="s">
        <v>124</v>
      </c>
      <c r="R30" t="s">
        <v>3918</v>
      </c>
      <c r="S30" t="s">
        <v>124</v>
      </c>
      <c r="T30" t="s">
        <v>124</v>
      </c>
      <c r="U30" t="s">
        <v>101</v>
      </c>
      <c r="V30" t="s">
        <v>124</v>
      </c>
      <c r="W30" t="s">
        <v>124</v>
      </c>
      <c r="X30" t="s">
        <v>3765</v>
      </c>
      <c r="Y30" t="s">
        <v>124</v>
      </c>
      <c r="Z30" t="s">
        <v>215</v>
      </c>
      <c r="AA30" t="s">
        <v>215</v>
      </c>
      <c r="AB30" t="s">
        <v>150</v>
      </c>
      <c r="AC30" t="s">
        <v>341</v>
      </c>
      <c r="AD30" t="s">
        <v>341</v>
      </c>
      <c r="AE30" t="s">
        <v>342</v>
      </c>
      <c r="AF30" t="s">
        <v>3804</v>
      </c>
      <c r="AG30" t="s">
        <v>3805</v>
      </c>
      <c r="AH30" t="s">
        <v>3919</v>
      </c>
      <c r="AI30" t="s">
        <v>3807</v>
      </c>
      <c r="AJ30" t="s">
        <v>124</v>
      </c>
      <c r="AK30" t="s">
        <v>124</v>
      </c>
      <c r="AL30" t="s">
        <v>124</v>
      </c>
      <c r="AM30" t="s">
        <v>124</v>
      </c>
      <c r="AN30" t="s">
        <v>124</v>
      </c>
      <c r="AO30" t="s">
        <v>124</v>
      </c>
      <c r="AP30" t="s">
        <v>124</v>
      </c>
      <c r="AQ30" t="s">
        <v>124</v>
      </c>
      <c r="AR30" t="s">
        <v>124</v>
      </c>
      <c r="AS30" t="s">
        <v>124</v>
      </c>
      <c r="AT30" t="s">
        <v>124</v>
      </c>
      <c r="AU30" t="s">
        <v>124</v>
      </c>
      <c r="AV30" t="s">
        <v>124</v>
      </c>
      <c r="AW30" t="s">
        <v>124</v>
      </c>
      <c r="AX30" t="s">
        <v>124</v>
      </c>
      <c r="AY30" t="s">
        <v>124</v>
      </c>
      <c r="AZ30" t="s">
        <v>124</v>
      </c>
      <c r="BA30" t="s">
        <v>124</v>
      </c>
      <c r="BB30" t="s">
        <v>124</v>
      </c>
      <c r="BC30" t="s">
        <v>124</v>
      </c>
      <c r="BD30" t="s">
        <v>124</v>
      </c>
      <c r="BE30" t="s">
        <v>3808</v>
      </c>
      <c r="BF30" t="s">
        <v>3777</v>
      </c>
      <c r="BG30" t="s">
        <v>3257</v>
      </c>
      <c r="BH30" t="s">
        <v>3809</v>
      </c>
      <c r="BI30" t="s">
        <v>2985</v>
      </c>
      <c r="BJ30" t="s">
        <v>124</v>
      </c>
      <c r="BK30" t="s">
        <v>3810</v>
      </c>
      <c r="BL30" t="s">
        <v>2928</v>
      </c>
      <c r="BM30" t="s">
        <v>2928</v>
      </c>
      <c r="BN30" t="s">
        <v>3811</v>
      </c>
      <c r="BO30" t="s">
        <v>3812</v>
      </c>
      <c r="BP30" t="s">
        <v>3813</v>
      </c>
      <c r="BQ30" t="s">
        <v>3814</v>
      </c>
      <c r="BR30" t="s">
        <v>362</v>
      </c>
      <c r="BS30" t="s">
        <v>124</v>
      </c>
      <c r="BT30" t="s">
        <v>3815</v>
      </c>
      <c r="BU30" t="s">
        <v>3920</v>
      </c>
      <c r="BV30" t="s">
        <v>3920</v>
      </c>
      <c r="BW30" t="s">
        <v>3777</v>
      </c>
      <c r="BX30" t="s">
        <v>3777</v>
      </c>
      <c r="BY30" t="s">
        <v>3777</v>
      </c>
      <c r="BZ30" t="s">
        <v>3777</v>
      </c>
      <c r="CA30" t="s">
        <v>3777</v>
      </c>
      <c r="CB30" t="s">
        <v>124</v>
      </c>
      <c r="CC30" t="s">
        <v>124</v>
      </c>
      <c r="CD30" t="s">
        <v>124</v>
      </c>
      <c r="CE30" t="s">
        <v>124</v>
      </c>
      <c r="CF30" t="s">
        <v>124</v>
      </c>
      <c r="CG30" t="s">
        <v>3777</v>
      </c>
      <c r="CH30" t="s">
        <v>124</v>
      </c>
      <c r="CI30" t="s">
        <v>124</v>
      </c>
      <c r="CJ30" t="s">
        <v>124</v>
      </c>
      <c r="CK30" t="s">
        <v>124</v>
      </c>
      <c r="CL30" t="s">
        <v>124</v>
      </c>
      <c r="CM30" t="s">
        <v>3920</v>
      </c>
      <c r="CN30" t="s">
        <v>3920</v>
      </c>
      <c r="CO30" t="s">
        <v>124</v>
      </c>
      <c r="CP30" t="s">
        <v>124</v>
      </c>
      <c r="CQ30" t="s">
        <v>124</v>
      </c>
      <c r="CR30" t="s">
        <v>124</v>
      </c>
      <c r="CS30" t="s">
        <v>3778</v>
      </c>
      <c r="CT30" t="s">
        <v>3779</v>
      </c>
      <c r="CU30" t="s">
        <v>3780</v>
      </c>
      <c r="CV30" t="s">
        <v>429</v>
      </c>
      <c r="CW30" t="s">
        <v>3781</v>
      </c>
      <c r="CX30" t="s">
        <v>430</v>
      </c>
      <c r="CY30" t="s">
        <v>429</v>
      </c>
      <c r="CZ30" t="s">
        <v>431</v>
      </c>
      <c r="DA30" t="s">
        <v>432</v>
      </c>
      <c r="DB30" t="s">
        <v>3782</v>
      </c>
      <c r="DC30" t="s">
        <v>362</v>
      </c>
      <c r="DD30" t="s">
        <v>278</v>
      </c>
      <c r="DE30" t="s">
        <v>3921</v>
      </c>
    </row>
    <row r="31" spans="1:109" ht="11.25" customHeight="1">
      <c r="A31" s="4" t="s">
        <v>124</v>
      </c>
      <c r="B31" t="s">
        <v>124</v>
      </c>
      <c r="C31" t="s">
        <v>124</v>
      </c>
      <c r="D31" t="s">
        <v>124</v>
      </c>
      <c r="E31" t="s">
        <v>124</v>
      </c>
      <c r="F31" t="s">
        <v>124</v>
      </c>
      <c r="G31" t="s">
        <v>124</v>
      </c>
      <c r="H31" t="s">
        <v>124</v>
      </c>
      <c r="I31" t="s">
        <v>3764</v>
      </c>
      <c r="J31" t="s">
        <v>124</v>
      </c>
      <c r="K31" t="s">
        <v>124</v>
      </c>
      <c r="L31" t="s">
        <v>124</v>
      </c>
      <c r="M31" t="s">
        <v>124</v>
      </c>
      <c r="N31" t="s">
        <v>124</v>
      </c>
      <c r="O31" t="s">
        <v>124</v>
      </c>
      <c r="P31" t="s">
        <v>124</v>
      </c>
      <c r="Q31" t="s">
        <v>124</v>
      </c>
      <c r="R31" t="s">
        <v>3922</v>
      </c>
      <c r="S31" t="s">
        <v>124</v>
      </c>
      <c r="T31" t="s">
        <v>124</v>
      </c>
      <c r="U31" t="s">
        <v>101</v>
      </c>
      <c r="V31" t="s">
        <v>124</v>
      </c>
      <c r="W31" t="s">
        <v>124</v>
      </c>
      <c r="X31" t="s">
        <v>3765</v>
      </c>
      <c r="Y31" t="s">
        <v>124</v>
      </c>
      <c r="Z31" t="s">
        <v>215</v>
      </c>
      <c r="AA31" t="s">
        <v>215</v>
      </c>
      <c r="AB31" t="s">
        <v>150</v>
      </c>
      <c r="AC31" t="s">
        <v>341</v>
      </c>
      <c r="AD31" t="s">
        <v>341</v>
      </c>
      <c r="AE31" t="s">
        <v>342</v>
      </c>
      <c r="AF31" t="s">
        <v>3804</v>
      </c>
      <c r="AG31" t="s">
        <v>3805</v>
      </c>
      <c r="AH31" t="s">
        <v>3923</v>
      </c>
      <c r="AI31" t="s">
        <v>3807</v>
      </c>
      <c r="AJ31" t="s">
        <v>124</v>
      </c>
      <c r="AK31" t="s">
        <v>124</v>
      </c>
      <c r="AL31" t="s">
        <v>124</v>
      </c>
      <c r="AM31" t="s">
        <v>124</v>
      </c>
      <c r="AN31" t="s">
        <v>124</v>
      </c>
      <c r="AO31" t="s">
        <v>124</v>
      </c>
      <c r="AP31" t="s">
        <v>124</v>
      </c>
      <c r="AQ31" t="s">
        <v>124</v>
      </c>
      <c r="AR31" t="s">
        <v>124</v>
      </c>
      <c r="AS31" t="s">
        <v>124</v>
      </c>
      <c r="AT31" t="s">
        <v>124</v>
      </c>
      <c r="AU31" t="s">
        <v>124</v>
      </c>
      <c r="AV31" t="s">
        <v>124</v>
      </c>
      <c r="AW31" t="s">
        <v>124</v>
      </c>
      <c r="AX31" t="s">
        <v>124</v>
      </c>
      <c r="AY31" t="s">
        <v>124</v>
      </c>
      <c r="AZ31" t="s">
        <v>124</v>
      </c>
      <c r="BA31" t="s">
        <v>124</v>
      </c>
      <c r="BB31" t="s">
        <v>124</v>
      </c>
      <c r="BC31" t="s">
        <v>124</v>
      </c>
      <c r="BD31" t="s">
        <v>124</v>
      </c>
      <c r="BE31" t="s">
        <v>3808</v>
      </c>
      <c r="BF31" t="s">
        <v>3777</v>
      </c>
      <c r="BG31" t="s">
        <v>3257</v>
      </c>
      <c r="BH31" t="s">
        <v>3809</v>
      </c>
      <c r="BI31" t="s">
        <v>2985</v>
      </c>
      <c r="BJ31" t="s">
        <v>124</v>
      </c>
      <c r="BK31" t="s">
        <v>3810</v>
      </c>
      <c r="BL31" t="s">
        <v>2928</v>
      </c>
      <c r="BM31" t="s">
        <v>2928</v>
      </c>
      <c r="BN31" t="s">
        <v>3811</v>
      </c>
      <c r="BO31" t="s">
        <v>3812</v>
      </c>
      <c r="BP31" t="s">
        <v>3813</v>
      </c>
      <c r="BQ31" t="s">
        <v>3814</v>
      </c>
      <c r="BR31" t="s">
        <v>362</v>
      </c>
      <c r="BS31" t="s">
        <v>124</v>
      </c>
      <c r="BT31" t="s">
        <v>3815</v>
      </c>
      <c r="BU31" t="s">
        <v>3924</v>
      </c>
      <c r="BV31" t="s">
        <v>3924</v>
      </c>
      <c r="BW31" t="s">
        <v>3777</v>
      </c>
      <c r="BX31" t="s">
        <v>3777</v>
      </c>
      <c r="BY31" t="s">
        <v>3777</v>
      </c>
      <c r="BZ31" t="s">
        <v>3777</v>
      </c>
      <c r="CA31" t="s">
        <v>3777</v>
      </c>
      <c r="CB31" t="s">
        <v>124</v>
      </c>
      <c r="CC31" t="s">
        <v>124</v>
      </c>
      <c r="CD31" t="s">
        <v>124</v>
      </c>
      <c r="CE31" t="s">
        <v>124</v>
      </c>
      <c r="CF31" t="s">
        <v>124</v>
      </c>
      <c r="CG31" t="s">
        <v>3777</v>
      </c>
      <c r="CH31" t="s">
        <v>124</v>
      </c>
      <c r="CI31" t="s">
        <v>124</v>
      </c>
      <c r="CJ31" t="s">
        <v>124</v>
      </c>
      <c r="CK31" t="s">
        <v>124</v>
      </c>
      <c r="CL31" t="s">
        <v>124</v>
      </c>
      <c r="CM31" t="s">
        <v>3924</v>
      </c>
      <c r="CN31" t="s">
        <v>3924</v>
      </c>
      <c r="CO31" t="s">
        <v>124</v>
      </c>
      <c r="CP31" t="s">
        <v>124</v>
      </c>
      <c r="CQ31" t="s">
        <v>124</v>
      </c>
      <c r="CR31" t="s">
        <v>124</v>
      </c>
      <c r="CS31" t="s">
        <v>3925</v>
      </c>
      <c r="CT31" t="s">
        <v>3779</v>
      </c>
      <c r="CU31" t="s">
        <v>3780</v>
      </c>
      <c r="CV31" t="s">
        <v>429</v>
      </c>
      <c r="CW31" t="s">
        <v>3781</v>
      </c>
      <c r="CX31" t="s">
        <v>430</v>
      </c>
      <c r="CY31" t="s">
        <v>429</v>
      </c>
      <c r="CZ31" t="s">
        <v>431</v>
      </c>
      <c r="DA31" t="s">
        <v>432</v>
      </c>
      <c r="DB31" t="s">
        <v>3782</v>
      </c>
      <c r="DC31" t="s">
        <v>362</v>
      </c>
      <c r="DD31" t="s">
        <v>278</v>
      </c>
      <c r="DE31" t="s">
        <v>3926</v>
      </c>
    </row>
    <row r="32" spans="1:109" ht="11.25" customHeight="1">
      <c r="A32" s="4" t="s">
        <v>124</v>
      </c>
      <c r="B32" t="s">
        <v>124</v>
      </c>
      <c r="C32" t="s">
        <v>124</v>
      </c>
      <c r="D32" t="s">
        <v>124</v>
      </c>
      <c r="E32" t="s">
        <v>124</v>
      </c>
      <c r="F32" t="s">
        <v>124</v>
      </c>
      <c r="G32" t="s">
        <v>124</v>
      </c>
      <c r="H32" t="s">
        <v>124</v>
      </c>
      <c r="I32" t="s">
        <v>3764</v>
      </c>
      <c r="J32" t="s">
        <v>124</v>
      </c>
      <c r="K32" t="s">
        <v>124</v>
      </c>
      <c r="L32" t="s">
        <v>124</v>
      </c>
      <c r="M32" t="s">
        <v>124</v>
      </c>
      <c r="N32" t="s">
        <v>124</v>
      </c>
      <c r="O32" t="s">
        <v>124</v>
      </c>
      <c r="P32" t="s">
        <v>124</v>
      </c>
      <c r="Q32" t="s">
        <v>124</v>
      </c>
      <c r="R32" t="s">
        <v>3927</v>
      </c>
      <c r="S32" t="s">
        <v>124</v>
      </c>
      <c r="T32" t="s">
        <v>124</v>
      </c>
      <c r="U32" t="s">
        <v>101</v>
      </c>
      <c r="V32" t="s">
        <v>124</v>
      </c>
      <c r="W32" t="s">
        <v>124</v>
      </c>
      <c r="X32" t="s">
        <v>3765</v>
      </c>
      <c r="Y32" t="s">
        <v>124</v>
      </c>
      <c r="Z32" t="s">
        <v>215</v>
      </c>
      <c r="AA32" t="s">
        <v>215</v>
      </c>
      <c r="AB32" t="s">
        <v>150</v>
      </c>
      <c r="AC32" t="s">
        <v>341</v>
      </c>
      <c r="AD32" t="s">
        <v>341</v>
      </c>
      <c r="AE32" t="s">
        <v>342</v>
      </c>
      <c r="AF32" t="s">
        <v>3804</v>
      </c>
      <c r="AG32" t="s">
        <v>3805</v>
      </c>
      <c r="AH32" t="s">
        <v>3928</v>
      </c>
      <c r="AI32" t="s">
        <v>3807</v>
      </c>
      <c r="AJ32" t="s">
        <v>124</v>
      </c>
      <c r="AK32" t="s">
        <v>124</v>
      </c>
      <c r="AL32" t="s">
        <v>124</v>
      </c>
      <c r="AM32" t="s">
        <v>124</v>
      </c>
      <c r="AN32" t="s">
        <v>124</v>
      </c>
      <c r="AO32" t="s">
        <v>124</v>
      </c>
      <c r="AP32" t="s">
        <v>124</v>
      </c>
      <c r="AQ32" t="s">
        <v>124</v>
      </c>
      <c r="AR32" t="s">
        <v>124</v>
      </c>
      <c r="AS32" t="s">
        <v>124</v>
      </c>
      <c r="AT32" t="s">
        <v>124</v>
      </c>
      <c r="AU32" t="s">
        <v>124</v>
      </c>
      <c r="AV32" t="s">
        <v>124</v>
      </c>
      <c r="AW32" t="s">
        <v>124</v>
      </c>
      <c r="AX32" t="s">
        <v>124</v>
      </c>
      <c r="AY32" t="s">
        <v>124</v>
      </c>
      <c r="AZ32" t="s">
        <v>124</v>
      </c>
      <c r="BA32" t="s">
        <v>124</v>
      </c>
      <c r="BB32" t="s">
        <v>124</v>
      </c>
      <c r="BC32" t="s">
        <v>124</v>
      </c>
      <c r="BD32" t="s">
        <v>124</v>
      </c>
      <c r="BE32" t="s">
        <v>3808</v>
      </c>
      <c r="BF32" t="s">
        <v>3777</v>
      </c>
      <c r="BG32" t="s">
        <v>3257</v>
      </c>
      <c r="BH32" t="s">
        <v>3809</v>
      </c>
      <c r="BI32" t="s">
        <v>2985</v>
      </c>
      <c r="BJ32" t="s">
        <v>124</v>
      </c>
      <c r="BK32" t="s">
        <v>3810</v>
      </c>
      <c r="BL32" t="s">
        <v>2928</v>
      </c>
      <c r="BM32" t="s">
        <v>2928</v>
      </c>
      <c r="BN32" t="s">
        <v>3811</v>
      </c>
      <c r="BO32" t="s">
        <v>3812</v>
      </c>
      <c r="BP32" t="s">
        <v>3813</v>
      </c>
      <c r="BQ32" t="s">
        <v>3814</v>
      </c>
      <c r="BR32" t="s">
        <v>362</v>
      </c>
      <c r="BS32" t="s">
        <v>124</v>
      </c>
      <c r="BT32" t="s">
        <v>3815</v>
      </c>
      <c r="BU32" t="s">
        <v>3929</v>
      </c>
      <c r="BV32" t="s">
        <v>3929</v>
      </c>
      <c r="BW32" t="s">
        <v>3777</v>
      </c>
      <c r="BX32" t="s">
        <v>3777</v>
      </c>
      <c r="BY32" t="s">
        <v>3777</v>
      </c>
      <c r="BZ32" t="s">
        <v>3777</v>
      </c>
      <c r="CA32" t="s">
        <v>3777</v>
      </c>
      <c r="CB32" t="s">
        <v>124</v>
      </c>
      <c r="CC32" t="s">
        <v>124</v>
      </c>
      <c r="CD32" t="s">
        <v>124</v>
      </c>
      <c r="CE32" t="s">
        <v>124</v>
      </c>
      <c r="CF32" t="s">
        <v>124</v>
      </c>
      <c r="CG32" t="s">
        <v>3777</v>
      </c>
      <c r="CH32" t="s">
        <v>124</v>
      </c>
      <c r="CI32" t="s">
        <v>124</v>
      </c>
      <c r="CJ32" t="s">
        <v>124</v>
      </c>
      <c r="CK32" t="s">
        <v>124</v>
      </c>
      <c r="CL32" t="s">
        <v>124</v>
      </c>
      <c r="CM32" t="s">
        <v>3929</v>
      </c>
      <c r="CN32" t="s">
        <v>3929</v>
      </c>
      <c r="CO32" t="s">
        <v>124</v>
      </c>
      <c r="CP32" t="s">
        <v>124</v>
      </c>
      <c r="CQ32" t="s">
        <v>124</v>
      </c>
      <c r="CR32" t="s">
        <v>124</v>
      </c>
      <c r="CS32" t="s">
        <v>3925</v>
      </c>
      <c r="CT32" t="s">
        <v>3779</v>
      </c>
      <c r="CU32" t="s">
        <v>3780</v>
      </c>
      <c r="CV32" t="s">
        <v>429</v>
      </c>
      <c r="CW32" t="s">
        <v>3781</v>
      </c>
      <c r="CX32" t="s">
        <v>430</v>
      </c>
      <c r="CY32" t="s">
        <v>429</v>
      </c>
      <c r="CZ32" t="s">
        <v>431</v>
      </c>
      <c r="DA32" t="s">
        <v>432</v>
      </c>
      <c r="DB32" t="s">
        <v>3782</v>
      </c>
      <c r="DC32" t="s">
        <v>362</v>
      </c>
      <c r="DD32" t="s">
        <v>278</v>
      </c>
      <c r="DE32" t="s">
        <v>3930</v>
      </c>
    </row>
    <row r="33" spans="1:109" ht="11.25" customHeight="1">
      <c r="A33" s="4" t="s">
        <v>124</v>
      </c>
      <c r="B33" t="s">
        <v>124</v>
      </c>
      <c r="C33" t="s">
        <v>124</v>
      </c>
      <c r="D33" t="s">
        <v>124</v>
      </c>
      <c r="E33" t="s">
        <v>124</v>
      </c>
      <c r="F33" t="s">
        <v>124</v>
      </c>
      <c r="G33" t="s">
        <v>124</v>
      </c>
      <c r="H33" t="s">
        <v>124</v>
      </c>
      <c r="I33" t="s">
        <v>3764</v>
      </c>
      <c r="J33" t="s">
        <v>124</v>
      </c>
      <c r="K33" t="s">
        <v>124</v>
      </c>
      <c r="L33" t="s">
        <v>124</v>
      </c>
      <c r="M33" t="s">
        <v>124</v>
      </c>
      <c r="N33" t="s">
        <v>124</v>
      </c>
      <c r="O33" t="s">
        <v>124</v>
      </c>
      <c r="P33" t="s">
        <v>124</v>
      </c>
      <c r="Q33" t="s">
        <v>124</v>
      </c>
      <c r="R33" t="s">
        <v>3931</v>
      </c>
      <c r="S33" t="s">
        <v>124</v>
      </c>
      <c r="T33" t="s">
        <v>124</v>
      </c>
      <c r="U33" t="s">
        <v>101</v>
      </c>
      <c r="V33" t="s">
        <v>124</v>
      </c>
      <c r="W33" t="s">
        <v>124</v>
      </c>
      <c r="X33" t="s">
        <v>3765</v>
      </c>
      <c r="Y33" t="s">
        <v>124</v>
      </c>
      <c r="Z33" t="s">
        <v>215</v>
      </c>
      <c r="AA33" t="s">
        <v>215</v>
      </c>
      <c r="AB33" t="s">
        <v>150</v>
      </c>
      <c r="AC33" t="s">
        <v>341</v>
      </c>
      <c r="AD33" t="s">
        <v>341</v>
      </c>
      <c r="AE33" t="s">
        <v>342</v>
      </c>
      <c r="AF33" t="s">
        <v>3804</v>
      </c>
      <c r="AG33" t="s">
        <v>3805</v>
      </c>
      <c r="AH33" t="s">
        <v>3919</v>
      </c>
      <c r="AI33" t="s">
        <v>3807</v>
      </c>
      <c r="AJ33" t="s">
        <v>124</v>
      </c>
      <c r="AK33" t="s">
        <v>124</v>
      </c>
      <c r="AL33" t="s">
        <v>124</v>
      </c>
      <c r="AM33" t="s">
        <v>124</v>
      </c>
      <c r="AN33" t="s">
        <v>124</v>
      </c>
      <c r="AO33" t="s">
        <v>124</v>
      </c>
      <c r="AP33" t="s">
        <v>124</v>
      </c>
      <c r="AQ33" t="s">
        <v>124</v>
      </c>
      <c r="AR33" t="s">
        <v>124</v>
      </c>
      <c r="AS33" t="s">
        <v>124</v>
      </c>
      <c r="AT33" t="s">
        <v>124</v>
      </c>
      <c r="AU33" t="s">
        <v>124</v>
      </c>
      <c r="AV33" t="s">
        <v>124</v>
      </c>
      <c r="AW33" t="s">
        <v>124</v>
      </c>
      <c r="AX33" t="s">
        <v>124</v>
      </c>
      <c r="AY33" t="s">
        <v>124</v>
      </c>
      <c r="AZ33" t="s">
        <v>124</v>
      </c>
      <c r="BA33" t="s">
        <v>124</v>
      </c>
      <c r="BB33" t="s">
        <v>124</v>
      </c>
      <c r="BC33" t="s">
        <v>124</v>
      </c>
      <c r="BD33" t="s">
        <v>124</v>
      </c>
      <c r="BE33" t="s">
        <v>3808</v>
      </c>
      <c r="BF33" t="s">
        <v>3777</v>
      </c>
      <c r="BG33" t="s">
        <v>3257</v>
      </c>
      <c r="BH33" t="s">
        <v>3809</v>
      </c>
      <c r="BI33" t="s">
        <v>2985</v>
      </c>
      <c r="BJ33" t="s">
        <v>124</v>
      </c>
      <c r="BK33" t="s">
        <v>3810</v>
      </c>
      <c r="BL33" t="s">
        <v>2928</v>
      </c>
      <c r="BM33" t="s">
        <v>2928</v>
      </c>
      <c r="BN33" t="s">
        <v>3811</v>
      </c>
      <c r="BO33" t="s">
        <v>3812</v>
      </c>
      <c r="BP33" t="s">
        <v>3813</v>
      </c>
      <c r="BQ33" t="s">
        <v>3814</v>
      </c>
      <c r="BR33" t="s">
        <v>362</v>
      </c>
      <c r="BS33" t="s">
        <v>124</v>
      </c>
      <c r="BT33" t="s">
        <v>3815</v>
      </c>
      <c r="BU33" t="s">
        <v>3932</v>
      </c>
      <c r="BV33" t="s">
        <v>3932</v>
      </c>
      <c r="BW33" t="s">
        <v>3777</v>
      </c>
      <c r="BX33" t="s">
        <v>3777</v>
      </c>
      <c r="BY33" t="s">
        <v>3777</v>
      </c>
      <c r="BZ33" t="s">
        <v>3777</v>
      </c>
      <c r="CA33" t="s">
        <v>3777</v>
      </c>
      <c r="CB33" t="s">
        <v>124</v>
      </c>
      <c r="CC33" t="s">
        <v>124</v>
      </c>
      <c r="CD33" t="s">
        <v>124</v>
      </c>
      <c r="CE33" t="s">
        <v>124</v>
      </c>
      <c r="CF33" t="s">
        <v>124</v>
      </c>
      <c r="CG33" t="s">
        <v>3777</v>
      </c>
      <c r="CH33" t="s">
        <v>124</v>
      </c>
      <c r="CI33" t="s">
        <v>124</v>
      </c>
      <c r="CJ33" t="s">
        <v>124</v>
      </c>
      <c r="CK33" t="s">
        <v>124</v>
      </c>
      <c r="CL33" t="s">
        <v>124</v>
      </c>
      <c r="CM33" t="s">
        <v>3932</v>
      </c>
      <c r="CN33" t="s">
        <v>3932</v>
      </c>
      <c r="CO33" t="s">
        <v>124</v>
      </c>
      <c r="CP33" t="s">
        <v>124</v>
      </c>
      <c r="CQ33" t="s">
        <v>124</v>
      </c>
      <c r="CR33" t="s">
        <v>124</v>
      </c>
      <c r="CS33" t="s">
        <v>3925</v>
      </c>
      <c r="CT33" t="s">
        <v>3779</v>
      </c>
      <c r="CU33" t="s">
        <v>3780</v>
      </c>
      <c r="CV33" t="s">
        <v>429</v>
      </c>
      <c r="CW33" t="s">
        <v>3781</v>
      </c>
      <c r="CX33" t="s">
        <v>430</v>
      </c>
      <c r="CY33" t="s">
        <v>429</v>
      </c>
      <c r="CZ33" t="s">
        <v>431</v>
      </c>
      <c r="DA33" t="s">
        <v>432</v>
      </c>
      <c r="DB33" t="s">
        <v>3782</v>
      </c>
      <c r="DC33" t="s">
        <v>362</v>
      </c>
      <c r="DD33" t="s">
        <v>278</v>
      </c>
      <c r="DE33" t="s">
        <v>3921</v>
      </c>
    </row>
    <row r="34" spans="1:109" ht="11.25" customHeight="1">
      <c r="A34" s="4" t="s">
        <v>124</v>
      </c>
      <c r="B34" t="s">
        <v>124</v>
      </c>
      <c r="C34" t="s">
        <v>124</v>
      </c>
      <c r="D34" t="s">
        <v>124</v>
      </c>
      <c r="E34" t="s">
        <v>124</v>
      </c>
      <c r="F34" t="s">
        <v>124</v>
      </c>
      <c r="G34" t="s">
        <v>124</v>
      </c>
      <c r="H34" t="s">
        <v>124</v>
      </c>
      <c r="I34" t="s">
        <v>3764</v>
      </c>
      <c r="J34" t="s">
        <v>124</v>
      </c>
      <c r="K34" t="s">
        <v>124</v>
      </c>
      <c r="L34" t="s">
        <v>124</v>
      </c>
      <c r="M34" t="s">
        <v>124</v>
      </c>
      <c r="N34" t="s">
        <v>124</v>
      </c>
      <c r="O34" t="s">
        <v>124</v>
      </c>
      <c r="P34" t="s">
        <v>124</v>
      </c>
      <c r="Q34" t="s">
        <v>124</v>
      </c>
      <c r="R34" t="s">
        <v>3933</v>
      </c>
      <c r="S34" t="s">
        <v>124</v>
      </c>
      <c r="T34" t="s">
        <v>124</v>
      </c>
      <c r="U34" t="s">
        <v>101</v>
      </c>
      <c r="V34" t="s">
        <v>124</v>
      </c>
      <c r="W34" t="s">
        <v>124</v>
      </c>
      <c r="X34" t="s">
        <v>3765</v>
      </c>
      <c r="Y34" t="s">
        <v>124</v>
      </c>
      <c r="Z34" t="s">
        <v>215</v>
      </c>
      <c r="AA34" t="s">
        <v>215</v>
      </c>
      <c r="AB34" t="s">
        <v>150</v>
      </c>
      <c r="AC34" t="s">
        <v>341</v>
      </c>
      <c r="AD34" t="s">
        <v>341</v>
      </c>
      <c r="AE34" t="s">
        <v>342</v>
      </c>
      <c r="AF34" t="s">
        <v>3804</v>
      </c>
      <c r="AG34" t="s">
        <v>3805</v>
      </c>
      <c r="AH34" t="s">
        <v>3934</v>
      </c>
      <c r="AI34" t="s">
        <v>3807</v>
      </c>
      <c r="AJ34" t="s">
        <v>124</v>
      </c>
      <c r="AK34" t="s">
        <v>124</v>
      </c>
      <c r="AL34" t="s">
        <v>124</v>
      </c>
      <c r="AM34" t="s">
        <v>124</v>
      </c>
      <c r="AN34" t="s">
        <v>124</v>
      </c>
      <c r="AO34" t="s">
        <v>124</v>
      </c>
      <c r="AP34" t="s">
        <v>124</v>
      </c>
      <c r="AQ34" t="s">
        <v>124</v>
      </c>
      <c r="AR34" t="s">
        <v>124</v>
      </c>
      <c r="AS34" t="s">
        <v>124</v>
      </c>
      <c r="AT34" t="s">
        <v>124</v>
      </c>
      <c r="AU34" t="s">
        <v>124</v>
      </c>
      <c r="AV34" t="s">
        <v>124</v>
      </c>
      <c r="AW34" t="s">
        <v>124</v>
      </c>
      <c r="AX34" t="s">
        <v>124</v>
      </c>
      <c r="AY34" t="s">
        <v>124</v>
      </c>
      <c r="AZ34" t="s">
        <v>124</v>
      </c>
      <c r="BA34" t="s">
        <v>124</v>
      </c>
      <c r="BB34" t="s">
        <v>124</v>
      </c>
      <c r="BC34" t="s">
        <v>124</v>
      </c>
      <c r="BD34" t="s">
        <v>124</v>
      </c>
      <c r="BE34" t="s">
        <v>3858</v>
      </c>
      <c r="BF34" t="s">
        <v>3777</v>
      </c>
      <c r="BG34" t="s">
        <v>3257</v>
      </c>
      <c r="BH34" t="s">
        <v>3809</v>
      </c>
      <c r="BI34" t="s">
        <v>2985</v>
      </c>
      <c r="BJ34" t="s">
        <v>124</v>
      </c>
      <c r="BK34" t="s">
        <v>3810</v>
      </c>
      <c r="BL34" t="s">
        <v>2928</v>
      </c>
      <c r="BM34" t="s">
        <v>2928</v>
      </c>
      <c r="BN34" t="s">
        <v>3811</v>
      </c>
      <c r="BO34" t="s">
        <v>3812</v>
      </c>
      <c r="BP34" t="s">
        <v>3813</v>
      </c>
      <c r="BQ34" t="s">
        <v>3814</v>
      </c>
      <c r="BR34" t="s">
        <v>362</v>
      </c>
      <c r="BS34" t="s">
        <v>124</v>
      </c>
      <c r="BT34" t="s">
        <v>3815</v>
      </c>
      <c r="BU34" t="s">
        <v>3935</v>
      </c>
      <c r="BV34" t="s">
        <v>3935</v>
      </c>
      <c r="BW34" t="s">
        <v>3777</v>
      </c>
      <c r="BX34" t="s">
        <v>3777</v>
      </c>
      <c r="BY34" t="s">
        <v>3777</v>
      </c>
      <c r="BZ34" t="s">
        <v>3777</v>
      </c>
      <c r="CA34" t="s">
        <v>3777</v>
      </c>
      <c r="CB34" t="s">
        <v>124</v>
      </c>
      <c r="CC34" t="s">
        <v>124</v>
      </c>
      <c r="CD34" t="s">
        <v>124</v>
      </c>
      <c r="CE34" t="s">
        <v>124</v>
      </c>
      <c r="CF34" t="s">
        <v>124</v>
      </c>
      <c r="CG34" t="s">
        <v>3777</v>
      </c>
      <c r="CH34" t="s">
        <v>124</v>
      </c>
      <c r="CI34" t="s">
        <v>124</v>
      </c>
      <c r="CJ34" t="s">
        <v>124</v>
      </c>
      <c r="CK34" t="s">
        <v>124</v>
      </c>
      <c r="CL34" t="s">
        <v>124</v>
      </c>
      <c r="CM34" t="s">
        <v>3935</v>
      </c>
      <c r="CN34" t="s">
        <v>3935</v>
      </c>
      <c r="CO34" t="s">
        <v>124</v>
      </c>
      <c r="CP34" t="s">
        <v>124</v>
      </c>
      <c r="CQ34" t="s">
        <v>124</v>
      </c>
      <c r="CR34" t="s">
        <v>124</v>
      </c>
      <c r="CS34" t="s">
        <v>3900</v>
      </c>
      <c r="CT34" t="s">
        <v>3779</v>
      </c>
      <c r="CU34" t="s">
        <v>3780</v>
      </c>
      <c r="CV34" t="s">
        <v>429</v>
      </c>
      <c r="CW34" t="s">
        <v>3781</v>
      </c>
      <c r="CX34" t="s">
        <v>430</v>
      </c>
      <c r="CY34" t="s">
        <v>429</v>
      </c>
      <c r="CZ34" t="s">
        <v>431</v>
      </c>
      <c r="DA34" t="s">
        <v>432</v>
      </c>
      <c r="DB34" t="s">
        <v>3782</v>
      </c>
      <c r="DC34" t="s">
        <v>362</v>
      </c>
      <c r="DD34" t="s">
        <v>278</v>
      </c>
      <c r="DE34" t="s">
        <v>3936</v>
      </c>
    </row>
    <row r="35" spans="1:109" ht="11.25" customHeight="1">
      <c r="A35" s="4" t="s">
        <v>124</v>
      </c>
      <c r="B35" t="s">
        <v>124</v>
      </c>
      <c r="C35" t="s">
        <v>124</v>
      </c>
      <c r="D35" t="s">
        <v>124</v>
      </c>
      <c r="E35" t="s">
        <v>124</v>
      </c>
      <c r="F35" t="s">
        <v>124</v>
      </c>
      <c r="G35" t="s">
        <v>124</v>
      </c>
      <c r="H35" t="s">
        <v>124</v>
      </c>
      <c r="I35" t="s">
        <v>3764</v>
      </c>
      <c r="J35" t="s">
        <v>124</v>
      </c>
      <c r="K35" t="s">
        <v>124</v>
      </c>
      <c r="L35" t="s">
        <v>124</v>
      </c>
      <c r="M35" t="s">
        <v>124</v>
      </c>
      <c r="N35" t="s">
        <v>124</v>
      </c>
      <c r="O35" t="s">
        <v>124</v>
      </c>
      <c r="P35" t="s">
        <v>124</v>
      </c>
      <c r="Q35" t="s">
        <v>124</v>
      </c>
      <c r="R35" t="s">
        <v>3937</v>
      </c>
      <c r="S35" t="s">
        <v>124</v>
      </c>
      <c r="T35" t="s">
        <v>124</v>
      </c>
      <c r="U35" t="s">
        <v>101</v>
      </c>
      <c r="V35" t="s">
        <v>124</v>
      </c>
      <c r="W35" t="s">
        <v>124</v>
      </c>
      <c r="X35" t="s">
        <v>3765</v>
      </c>
      <c r="Y35" t="s">
        <v>124</v>
      </c>
      <c r="Z35" t="s">
        <v>215</v>
      </c>
      <c r="AA35" t="s">
        <v>215</v>
      </c>
      <c r="AB35" t="s">
        <v>150</v>
      </c>
      <c r="AC35" t="s">
        <v>341</v>
      </c>
      <c r="AD35" t="s">
        <v>341</v>
      </c>
      <c r="AE35" t="s">
        <v>342</v>
      </c>
      <c r="AF35" t="s">
        <v>3804</v>
      </c>
      <c r="AG35" t="s">
        <v>3805</v>
      </c>
      <c r="AH35" t="s">
        <v>3919</v>
      </c>
      <c r="AI35" t="s">
        <v>3807</v>
      </c>
      <c r="AJ35" t="s">
        <v>124</v>
      </c>
      <c r="AK35" t="s">
        <v>124</v>
      </c>
      <c r="AL35" t="s">
        <v>124</v>
      </c>
      <c r="AM35" t="s">
        <v>124</v>
      </c>
      <c r="AN35" t="s">
        <v>124</v>
      </c>
      <c r="AO35" t="s">
        <v>124</v>
      </c>
      <c r="AP35" t="s">
        <v>124</v>
      </c>
      <c r="AQ35" t="s">
        <v>124</v>
      </c>
      <c r="AR35" t="s">
        <v>124</v>
      </c>
      <c r="AS35" t="s">
        <v>124</v>
      </c>
      <c r="AT35" t="s">
        <v>124</v>
      </c>
      <c r="AU35" t="s">
        <v>124</v>
      </c>
      <c r="AV35" t="s">
        <v>124</v>
      </c>
      <c r="AW35" t="s">
        <v>124</v>
      </c>
      <c r="AX35" t="s">
        <v>124</v>
      </c>
      <c r="AY35" t="s">
        <v>124</v>
      </c>
      <c r="AZ35" t="s">
        <v>124</v>
      </c>
      <c r="BA35" t="s">
        <v>124</v>
      </c>
      <c r="BB35" t="s">
        <v>124</v>
      </c>
      <c r="BC35" t="s">
        <v>124</v>
      </c>
      <c r="BD35" t="s">
        <v>124</v>
      </c>
      <c r="BE35" t="s">
        <v>3858</v>
      </c>
      <c r="BF35" t="s">
        <v>3777</v>
      </c>
      <c r="BG35" t="s">
        <v>3257</v>
      </c>
      <c r="BH35" t="s">
        <v>3809</v>
      </c>
      <c r="BI35" t="s">
        <v>2985</v>
      </c>
      <c r="BJ35" t="s">
        <v>124</v>
      </c>
      <c r="BK35" t="s">
        <v>3810</v>
      </c>
      <c r="BL35" t="s">
        <v>2928</v>
      </c>
      <c r="BM35" t="s">
        <v>2928</v>
      </c>
      <c r="BN35" t="s">
        <v>3811</v>
      </c>
      <c r="BO35" t="s">
        <v>3812</v>
      </c>
      <c r="BP35" t="s">
        <v>3813</v>
      </c>
      <c r="BQ35" t="s">
        <v>3814</v>
      </c>
      <c r="BR35" t="s">
        <v>362</v>
      </c>
      <c r="BS35" t="s">
        <v>124</v>
      </c>
      <c r="BT35" t="s">
        <v>3815</v>
      </c>
      <c r="BU35" t="s">
        <v>3938</v>
      </c>
      <c r="BV35" t="s">
        <v>3938</v>
      </c>
      <c r="BW35" t="s">
        <v>3777</v>
      </c>
      <c r="BX35" t="s">
        <v>3777</v>
      </c>
      <c r="BY35" t="s">
        <v>3777</v>
      </c>
      <c r="BZ35" t="s">
        <v>3777</v>
      </c>
      <c r="CA35" t="s">
        <v>3777</v>
      </c>
      <c r="CB35" t="s">
        <v>124</v>
      </c>
      <c r="CC35" t="s">
        <v>124</v>
      </c>
      <c r="CD35" t="s">
        <v>124</v>
      </c>
      <c r="CE35" t="s">
        <v>124</v>
      </c>
      <c r="CF35" t="s">
        <v>124</v>
      </c>
      <c r="CG35" t="s">
        <v>3777</v>
      </c>
      <c r="CH35" t="s">
        <v>124</v>
      </c>
      <c r="CI35" t="s">
        <v>124</v>
      </c>
      <c r="CJ35" t="s">
        <v>124</v>
      </c>
      <c r="CK35" t="s">
        <v>124</v>
      </c>
      <c r="CL35" t="s">
        <v>124</v>
      </c>
      <c r="CM35" t="s">
        <v>3938</v>
      </c>
      <c r="CN35" t="s">
        <v>3938</v>
      </c>
      <c r="CO35" t="s">
        <v>124</v>
      </c>
      <c r="CP35" t="s">
        <v>124</v>
      </c>
      <c r="CQ35" t="s">
        <v>124</v>
      </c>
      <c r="CR35" t="s">
        <v>124</v>
      </c>
      <c r="CS35" t="s">
        <v>3817</v>
      </c>
      <c r="CT35" t="s">
        <v>3779</v>
      </c>
      <c r="CU35" t="s">
        <v>3780</v>
      </c>
      <c r="CV35" t="s">
        <v>429</v>
      </c>
      <c r="CW35" t="s">
        <v>3781</v>
      </c>
      <c r="CX35" t="s">
        <v>430</v>
      </c>
      <c r="CY35" t="s">
        <v>429</v>
      </c>
      <c r="CZ35" t="s">
        <v>431</v>
      </c>
      <c r="DA35" t="s">
        <v>432</v>
      </c>
      <c r="DB35" t="s">
        <v>3782</v>
      </c>
      <c r="DC35" t="s">
        <v>362</v>
      </c>
      <c r="DD35" t="s">
        <v>278</v>
      </c>
      <c r="DE35" t="s">
        <v>3921</v>
      </c>
    </row>
    <row r="36" spans="1:109" ht="11.25" customHeight="1">
      <c r="A36" s="4" t="s">
        <v>124</v>
      </c>
      <c r="B36" t="s">
        <v>124</v>
      </c>
      <c r="C36" t="s">
        <v>124</v>
      </c>
      <c r="D36" t="s">
        <v>124</v>
      </c>
      <c r="E36" t="s">
        <v>124</v>
      </c>
      <c r="F36" t="s">
        <v>124</v>
      </c>
      <c r="G36" t="s">
        <v>124</v>
      </c>
      <c r="H36" t="s">
        <v>124</v>
      </c>
      <c r="I36" t="s">
        <v>3764</v>
      </c>
      <c r="J36" t="s">
        <v>124</v>
      </c>
      <c r="K36" t="s">
        <v>124</v>
      </c>
      <c r="L36" t="s">
        <v>124</v>
      </c>
      <c r="M36" t="s">
        <v>124</v>
      </c>
      <c r="N36" t="s">
        <v>124</v>
      </c>
      <c r="O36" t="s">
        <v>124</v>
      </c>
      <c r="P36" t="s">
        <v>124</v>
      </c>
      <c r="Q36" t="s">
        <v>124</v>
      </c>
      <c r="R36" t="s">
        <v>3939</v>
      </c>
      <c r="S36" t="s">
        <v>124</v>
      </c>
      <c r="T36" t="s">
        <v>124</v>
      </c>
      <c r="U36" t="s">
        <v>101</v>
      </c>
      <c r="V36" t="s">
        <v>124</v>
      </c>
      <c r="W36" t="s">
        <v>124</v>
      </c>
      <c r="X36" t="s">
        <v>3765</v>
      </c>
      <c r="Y36" t="s">
        <v>124</v>
      </c>
      <c r="Z36" t="s">
        <v>215</v>
      </c>
      <c r="AA36" t="s">
        <v>215</v>
      </c>
      <c r="AB36" t="s">
        <v>150</v>
      </c>
      <c r="AC36" t="s">
        <v>341</v>
      </c>
      <c r="AD36" t="s">
        <v>341</v>
      </c>
      <c r="AE36" t="s">
        <v>342</v>
      </c>
      <c r="AF36" t="s">
        <v>3804</v>
      </c>
      <c r="AG36" t="s">
        <v>3805</v>
      </c>
      <c r="AH36" t="s">
        <v>3940</v>
      </c>
      <c r="AI36" t="s">
        <v>3807</v>
      </c>
      <c r="AJ36" t="s">
        <v>124</v>
      </c>
      <c r="AK36" t="s">
        <v>124</v>
      </c>
      <c r="AL36" t="s">
        <v>124</v>
      </c>
      <c r="AM36" t="s">
        <v>124</v>
      </c>
      <c r="AN36" t="s">
        <v>124</v>
      </c>
      <c r="AO36" t="s">
        <v>124</v>
      </c>
      <c r="AP36" t="s">
        <v>124</v>
      </c>
      <c r="AQ36" t="s">
        <v>124</v>
      </c>
      <c r="AR36" t="s">
        <v>124</v>
      </c>
      <c r="AS36" t="s">
        <v>124</v>
      </c>
      <c r="AT36" t="s">
        <v>124</v>
      </c>
      <c r="AU36" t="s">
        <v>124</v>
      </c>
      <c r="AV36" t="s">
        <v>124</v>
      </c>
      <c r="AW36" t="s">
        <v>124</v>
      </c>
      <c r="AX36" t="s">
        <v>124</v>
      </c>
      <c r="AY36" t="s">
        <v>124</v>
      </c>
      <c r="AZ36" t="s">
        <v>124</v>
      </c>
      <c r="BA36" t="s">
        <v>124</v>
      </c>
      <c r="BB36" t="s">
        <v>124</v>
      </c>
      <c r="BC36" t="s">
        <v>124</v>
      </c>
      <c r="BD36" t="s">
        <v>124</v>
      </c>
      <c r="BE36" t="s">
        <v>3808</v>
      </c>
      <c r="BF36" t="s">
        <v>3777</v>
      </c>
      <c r="BG36" t="s">
        <v>3257</v>
      </c>
      <c r="BH36" t="s">
        <v>3809</v>
      </c>
      <c r="BI36" t="s">
        <v>2985</v>
      </c>
      <c r="BJ36" t="s">
        <v>124</v>
      </c>
      <c r="BK36" t="s">
        <v>3810</v>
      </c>
      <c r="BL36" t="s">
        <v>2928</v>
      </c>
      <c r="BM36" t="s">
        <v>2928</v>
      </c>
      <c r="BN36" t="s">
        <v>3811</v>
      </c>
      <c r="BO36" t="s">
        <v>3812</v>
      </c>
      <c r="BP36" t="s">
        <v>3813</v>
      </c>
      <c r="BQ36" t="s">
        <v>3814</v>
      </c>
      <c r="BR36" t="s">
        <v>362</v>
      </c>
      <c r="BS36" t="s">
        <v>124</v>
      </c>
      <c r="BT36" t="s">
        <v>3815</v>
      </c>
      <c r="BU36" t="s">
        <v>3941</v>
      </c>
      <c r="BV36" t="s">
        <v>3941</v>
      </c>
      <c r="BW36" t="s">
        <v>3777</v>
      </c>
      <c r="BX36" t="s">
        <v>3777</v>
      </c>
      <c r="BY36" t="s">
        <v>3777</v>
      </c>
      <c r="BZ36" t="s">
        <v>3777</v>
      </c>
      <c r="CA36" t="s">
        <v>3777</v>
      </c>
      <c r="CB36" t="s">
        <v>124</v>
      </c>
      <c r="CC36" t="s">
        <v>124</v>
      </c>
      <c r="CD36" t="s">
        <v>124</v>
      </c>
      <c r="CE36" t="s">
        <v>124</v>
      </c>
      <c r="CF36" t="s">
        <v>124</v>
      </c>
      <c r="CG36" t="s">
        <v>3777</v>
      </c>
      <c r="CH36" t="s">
        <v>124</v>
      </c>
      <c r="CI36" t="s">
        <v>124</v>
      </c>
      <c r="CJ36" t="s">
        <v>124</v>
      </c>
      <c r="CK36" t="s">
        <v>124</v>
      </c>
      <c r="CL36" t="s">
        <v>124</v>
      </c>
      <c r="CM36" t="s">
        <v>3941</v>
      </c>
      <c r="CN36" t="s">
        <v>3941</v>
      </c>
      <c r="CO36" t="s">
        <v>124</v>
      </c>
      <c r="CP36" t="s">
        <v>124</v>
      </c>
      <c r="CQ36" t="s">
        <v>124</v>
      </c>
      <c r="CR36" t="s">
        <v>124</v>
      </c>
      <c r="CS36" t="s">
        <v>3925</v>
      </c>
      <c r="CT36" t="s">
        <v>3779</v>
      </c>
      <c r="CU36" t="s">
        <v>3780</v>
      </c>
      <c r="CV36" t="s">
        <v>429</v>
      </c>
      <c r="CW36" t="s">
        <v>3781</v>
      </c>
      <c r="CX36" t="s">
        <v>430</v>
      </c>
      <c r="CY36" t="s">
        <v>429</v>
      </c>
      <c r="CZ36" t="s">
        <v>431</v>
      </c>
      <c r="DA36" t="s">
        <v>432</v>
      </c>
      <c r="DB36" t="s">
        <v>3782</v>
      </c>
      <c r="DC36" t="s">
        <v>362</v>
      </c>
      <c r="DD36" t="s">
        <v>278</v>
      </c>
      <c r="DE36" t="s">
        <v>3942</v>
      </c>
    </row>
    <row r="37" spans="1:109" ht="11.25" customHeight="1">
      <c r="A37" s="4" t="s">
        <v>124</v>
      </c>
      <c r="B37" t="s">
        <v>124</v>
      </c>
      <c r="C37" t="s">
        <v>124</v>
      </c>
      <c r="D37" t="s">
        <v>124</v>
      </c>
      <c r="E37" t="s">
        <v>124</v>
      </c>
      <c r="F37" t="s">
        <v>124</v>
      </c>
      <c r="G37" t="s">
        <v>124</v>
      </c>
      <c r="H37" t="s">
        <v>124</v>
      </c>
      <c r="I37" t="s">
        <v>3764</v>
      </c>
      <c r="J37" t="s">
        <v>124</v>
      </c>
      <c r="K37" t="s">
        <v>124</v>
      </c>
      <c r="L37" t="s">
        <v>124</v>
      </c>
      <c r="M37" t="s">
        <v>124</v>
      </c>
      <c r="N37" t="s">
        <v>124</v>
      </c>
      <c r="O37" t="s">
        <v>124</v>
      </c>
      <c r="P37" t="s">
        <v>124</v>
      </c>
      <c r="Q37" t="s">
        <v>124</v>
      </c>
      <c r="R37" t="s">
        <v>3943</v>
      </c>
      <c r="S37" t="s">
        <v>124</v>
      </c>
      <c r="T37" t="s">
        <v>124</v>
      </c>
      <c r="U37" t="s">
        <v>101</v>
      </c>
      <c r="V37" t="s">
        <v>124</v>
      </c>
      <c r="W37" t="s">
        <v>124</v>
      </c>
      <c r="X37" t="s">
        <v>3765</v>
      </c>
      <c r="Y37" t="s">
        <v>124</v>
      </c>
      <c r="Z37" t="s">
        <v>215</v>
      </c>
      <c r="AA37" t="s">
        <v>215</v>
      </c>
      <c r="AB37" t="s">
        <v>150</v>
      </c>
      <c r="AC37" t="s">
        <v>341</v>
      </c>
      <c r="AD37" t="s">
        <v>341</v>
      </c>
      <c r="AE37" t="s">
        <v>342</v>
      </c>
      <c r="AF37" t="s">
        <v>3804</v>
      </c>
      <c r="AG37" t="s">
        <v>3805</v>
      </c>
      <c r="AH37" t="s">
        <v>3944</v>
      </c>
      <c r="AI37" t="s">
        <v>3807</v>
      </c>
      <c r="AJ37" t="s">
        <v>124</v>
      </c>
      <c r="AK37" t="s">
        <v>124</v>
      </c>
      <c r="AL37" t="s">
        <v>124</v>
      </c>
      <c r="AM37" t="s">
        <v>124</v>
      </c>
      <c r="AN37" t="s">
        <v>124</v>
      </c>
      <c r="AO37" t="s">
        <v>124</v>
      </c>
      <c r="AP37" t="s">
        <v>124</v>
      </c>
      <c r="AQ37" t="s">
        <v>124</v>
      </c>
      <c r="AR37" t="s">
        <v>124</v>
      </c>
      <c r="AS37" t="s">
        <v>124</v>
      </c>
      <c r="AT37" t="s">
        <v>124</v>
      </c>
      <c r="AU37" t="s">
        <v>124</v>
      </c>
      <c r="AV37" t="s">
        <v>124</v>
      </c>
      <c r="AW37" t="s">
        <v>124</v>
      </c>
      <c r="AX37" t="s">
        <v>124</v>
      </c>
      <c r="AY37" t="s">
        <v>124</v>
      </c>
      <c r="AZ37" t="s">
        <v>124</v>
      </c>
      <c r="BA37" t="s">
        <v>124</v>
      </c>
      <c r="BB37" t="s">
        <v>124</v>
      </c>
      <c r="BC37" t="s">
        <v>124</v>
      </c>
      <c r="BD37" t="s">
        <v>124</v>
      </c>
      <c r="BE37" t="s">
        <v>3808</v>
      </c>
      <c r="BF37" t="s">
        <v>3777</v>
      </c>
      <c r="BG37" t="s">
        <v>3257</v>
      </c>
      <c r="BH37" t="s">
        <v>3809</v>
      </c>
      <c r="BI37" t="s">
        <v>2985</v>
      </c>
      <c r="BJ37" t="s">
        <v>124</v>
      </c>
      <c r="BK37" t="s">
        <v>3810</v>
      </c>
      <c r="BL37" t="s">
        <v>2928</v>
      </c>
      <c r="BM37" t="s">
        <v>2928</v>
      </c>
      <c r="BN37" t="s">
        <v>3811</v>
      </c>
      <c r="BO37" t="s">
        <v>3812</v>
      </c>
      <c r="BP37" t="s">
        <v>3813</v>
      </c>
      <c r="BQ37" t="s">
        <v>3814</v>
      </c>
      <c r="BR37" t="s">
        <v>362</v>
      </c>
      <c r="BS37" t="s">
        <v>124</v>
      </c>
      <c r="BT37" t="s">
        <v>3815</v>
      </c>
      <c r="BU37" t="s">
        <v>3945</v>
      </c>
      <c r="BV37" t="s">
        <v>3945</v>
      </c>
      <c r="BW37" t="s">
        <v>3777</v>
      </c>
      <c r="BX37" t="s">
        <v>3777</v>
      </c>
      <c r="BY37" t="s">
        <v>3777</v>
      </c>
      <c r="BZ37" t="s">
        <v>3777</v>
      </c>
      <c r="CA37" t="s">
        <v>3777</v>
      </c>
      <c r="CB37" t="s">
        <v>124</v>
      </c>
      <c r="CC37" t="s">
        <v>124</v>
      </c>
      <c r="CD37" t="s">
        <v>124</v>
      </c>
      <c r="CE37" t="s">
        <v>124</v>
      </c>
      <c r="CF37" t="s">
        <v>124</v>
      </c>
      <c r="CG37" t="s">
        <v>3777</v>
      </c>
      <c r="CH37" t="s">
        <v>124</v>
      </c>
      <c r="CI37" t="s">
        <v>124</v>
      </c>
      <c r="CJ37" t="s">
        <v>124</v>
      </c>
      <c r="CK37" t="s">
        <v>124</v>
      </c>
      <c r="CL37" t="s">
        <v>124</v>
      </c>
      <c r="CM37" t="s">
        <v>3945</v>
      </c>
      <c r="CN37" t="s">
        <v>3945</v>
      </c>
      <c r="CO37" t="s">
        <v>124</v>
      </c>
      <c r="CP37" t="s">
        <v>124</v>
      </c>
      <c r="CQ37" t="s">
        <v>124</v>
      </c>
      <c r="CR37" t="s">
        <v>124</v>
      </c>
      <c r="CS37" t="s">
        <v>3946</v>
      </c>
      <c r="CT37" t="s">
        <v>3779</v>
      </c>
      <c r="CU37" t="s">
        <v>3780</v>
      </c>
      <c r="CV37" t="s">
        <v>429</v>
      </c>
      <c r="CW37" t="s">
        <v>3781</v>
      </c>
      <c r="CX37" t="s">
        <v>430</v>
      </c>
      <c r="CY37" t="s">
        <v>429</v>
      </c>
      <c r="CZ37" t="s">
        <v>431</v>
      </c>
      <c r="DA37" t="s">
        <v>432</v>
      </c>
      <c r="DB37" t="s">
        <v>3782</v>
      </c>
      <c r="DC37" t="s">
        <v>362</v>
      </c>
      <c r="DD37" t="s">
        <v>278</v>
      </c>
      <c r="DE37" t="s">
        <v>3947</v>
      </c>
    </row>
    <row r="38" spans="1:109" ht="11.25" customHeight="1">
      <c r="A38" s="4" t="s">
        <v>124</v>
      </c>
      <c r="B38" t="s">
        <v>124</v>
      </c>
      <c r="C38" t="s">
        <v>124</v>
      </c>
      <c r="D38" t="s">
        <v>124</v>
      </c>
      <c r="E38" t="s">
        <v>124</v>
      </c>
      <c r="F38" t="s">
        <v>124</v>
      </c>
      <c r="G38" t="s">
        <v>124</v>
      </c>
      <c r="H38" t="s">
        <v>124</v>
      </c>
      <c r="I38" t="s">
        <v>3764</v>
      </c>
      <c r="J38" t="s">
        <v>124</v>
      </c>
      <c r="K38" t="s">
        <v>124</v>
      </c>
      <c r="L38" t="s">
        <v>124</v>
      </c>
      <c r="M38" t="s">
        <v>124</v>
      </c>
      <c r="N38" t="s">
        <v>124</v>
      </c>
      <c r="O38" t="s">
        <v>124</v>
      </c>
      <c r="P38" t="s">
        <v>124</v>
      </c>
      <c r="Q38" t="s">
        <v>124</v>
      </c>
      <c r="R38" t="s">
        <v>479</v>
      </c>
      <c r="S38" t="s">
        <v>124</v>
      </c>
      <c r="T38" t="s">
        <v>124</v>
      </c>
      <c r="U38" t="s">
        <v>101</v>
      </c>
      <c r="V38" t="s">
        <v>124</v>
      </c>
      <c r="W38" t="s">
        <v>124</v>
      </c>
      <c r="X38" t="s">
        <v>3913</v>
      </c>
      <c r="Y38" t="s">
        <v>124</v>
      </c>
      <c r="Z38" t="s">
        <v>150</v>
      </c>
      <c r="AA38" t="s">
        <v>215</v>
      </c>
      <c r="AB38" t="s">
        <v>215</v>
      </c>
      <c r="AC38" t="s">
        <v>341</v>
      </c>
      <c r="AD38" t="s">
        <v>341</v>
      </c>
      <c r="AE38" t="s">
        <v>342</v>
      </c>
      <c r="AF38" t="s">
        <v>3866</v>
      </c>
      <c r="AG38" t="s">
        <v>3867</v>
      </c>
      <c r="AH38" t="s">
        <v>3948</v>
      </c>
      <c r="AI38" t="s">
        <v>362</v>
      </c>
      <c r="AJ38" t="s">
        <v>3852</v>
      </c>
      <c r="AK38" t="s">
        <v>3949</v>
      </c>
      <c r="AL38" t="s">
        <v>3950</v>
      </c>
      <c r="AM38" t="s">
        <v>3916</v>
      </c>
      <c r="AN38" t="s">
        <v>3778</v>
      </c>
      <c r="AO38" t="s">
        <v>3951</v>
      </c>
      <c r="AP38" t="s">
        <v>124</v>
      </c>
      <c r="AQ38" t="s">
        <v>124</v>
      </c>
      <c r="AR38" t="s">
        <v>124</v>
      </c>
      <c r="AS38" t="s">
        <v>124</v>
      </c>
      <c r="AT38" t="s">
        <v>124</v>
      </c>
      <c r="AU38" t="s">
        <v>124</v>
      </c>
      <c r="AV38" t="s">
        <v>124</v>
      </c>
      <c r="AW38" t="s">
        <v>124</v>
      </c>
      <c r="AX38" t="s">
        <v>124</v>
      </c>
      <c r="AY38" t="s">
        <v>124</v>
      </c>
      <c r="AZ38" t="s">
        <v>124</v>
      </c>
      <c r="BA38" t="s">
        <v>124</v>
      </c>
      <c r="BB38" t="s">
        <v>124</v>
      </c>
      <c r="BC38" t="s">
        <v>124</v>
      </c>
      <c r="BD38" t="s">
        <v>124</v>
      </c>
      <c r="BE38" t="s">
        <v>124</v>
      </c>
      <c r="BF38" t="s">
        <v>124</v>
      </c>
      <c r="BG38" t="s">
        <v>124</v>
      </c>
      <c r="BH38" t="s">
        <v>124</v>
      </c>
      <c r="BI38" t="s">
        <v>124</v>
      </c>
      <c r="BJ38" t="s">
        <v>124</v>
      </c>
      <c r="BK38" t="s">
        <v>124</v>
      </c>
      <c r="BL38" t="s">
        <v>124</v>
      </c>
      <c r="BM38" t="s">
        <v>124</v>
      </c>
      <c r="BN38" t="s">
        <v>124</v>
      </c>
      <c r="BO38" t="s">
        <v>124</v>
      </c>
      <c r="BP38" t="s">
        <v>124</v>
      </c>
      <c r="BQ38" t="s">
        <v>124</v>
      </c>
      <c r="BR38" t="s">
        <v>124</v>
      </c>
      <c r="BS38" t="s">
        <v>124</v>
      </c>
      <c r="BT38" t="s">
        <v>124</v>
      </c>
      <c r="BU38" t="s">
        <v>124</v>
      </c>
      <c r="BV38" t="s">
        <v>124</v>
      </c>
      <c r="BW38" t="s">
        <v>124</v>
      </c>
      <c r="BX38" t="s">
        <v>124</v>
      </c>
      <c r="BY38" t="s">
        <v>124</v>
      </c>
      <c r="BZ38" t="s">
        <v>124</v>
      </c>
      <c r="CA38" t="s">
        <v>124</v>
      </c>
      <c r="CB38" t="s">
        <v>124</v>
      </c>
      <c r="CC38" t="s">
        <v>124</v>
      </c>
      <c r="CD38" t="s">
        <v>124</v>
      </c>
      <c r="CE38" t="s">
        <v>124</v>
      </c>
      <c r="CF38" t="s">
        <v>124</v>
      </c>
      <c r="CG38" t="s">
        <v>124</v>
      </c>
      <c r="CH38" t="s">
        <v>124</v>
      </c>
      <c r="CI38" t="s">
        <v>124</v>
      </c>
      <c r="CJ38" t="s">
        <v>124</v>
      </c>
      <c r="CK38" t="s">
        <v>124</v>
      </c>
      <c r="CL38" t="s">
        <v>124</v>
      </c>
      <c r="CM38" t="s">
        <v>124</v>
      </c>
      <c r="CN38" t="s">
        <v>124</v>
      </c>
      <c r="CO38" t="s">
        <v>124</v>
      </c>
      <c r="CP38" t="s">
        <v>124</v>
      </c>
      <c r="CQ38" t="s">
        <v>124</v>
      </c>
      <c r="CR38" t="s">
        <v>124</v>
      </c>
      <c r="CS38" t="s">
        <v>124</v>
      </c>
      <c r="CT38" t="s">
        <v>3779</v>
      </c>
      <c r="CU38" t="s">
        <v>3780</v>
      </c>
      <c r="CV38" t="s">
        <v>429</v>
      </c>
      <c r="CW38" t="s">
        <v>3781</v>
      </c>
      <c r="CX38" t="s">
        <v>430</v>
      </c>
      <c r="CY38" t="s">
        <v>429</v>
      </c>
      <c r="CZ38" t="s">
        <v>431</v>
      </c>
      <c r="DA38" t="s">
        <v>432</v>
      </c>
      <c r="DB38" t="s">
        <v>3782</v>
      </c>
      <c r="DC38" t="s">
        <v>362</v>
      </c>
      <c r="DD38" t="s">
        <v>278</v>
      </c>
      <c r="DE38" t="s">
        <v>480</v>
      </c>
    </row>
    <row r="39" spans="1:109" ht="11.25" customHeight="1">
      <c r="A39" s="4" t="s">
        <v>124</v>
      </c>
      <c r="B39" t="s">
        <v>124</v>
      </c>
      <c r="C39" t="s">
        <v>124</v>
      </c>
      <c r="D39" t="s">
        <v>124</v>
      </c>
      <c r="E39" t="s">
        <v>124</v>
      </c>
      <c r="F39" t="s">
        <v>124</v>
      </c>
      <c r="G39" t="s">
        <v>124</v>
      </c>
      <c r="H39" t="s">
        <v>124</v>
      </c>
      <c r="I39" t="s">
        <v>3764</v>
      </c>
      <c r="J39" t="s">
        <v>124</v>
      </c>
      <c r="K39" t="s">
        <v>124</v>
      </c>
      <c r="L39" t="s">
        <v>124</v>
      </c>
      <c r="M39" t="s">
        <v>124</v>
      </c>
      <c r="N39" t="s">
        <v>124</v>
      </c>
      <c r="O39" t="s">
        <v>124</v>
      </c>
      <c r="P39" t="s">
        <v>124</v>
      </c>
      <c r="Q39" t="s">
        <v>124</v>
      </c>
      <c r="R39" t="s">
        <v>491</v>
      </c>
      <c r="S39" t="s">
        <v>124</v>
      </c>
      <c r="T39" t="s">
        <v>124</v>
      </c>
      <c r="U39" t="s">
        <v>101</v>
      </c>
      <c r="V39" t="s">
        <v>124</v>
      </c>
      <c r="W39" t="s">
        <v>124</v>
      </c>
      <c r="X39" t="s">
        <v>3913</v>
      </c>
      <c r="Y39" t="s">
        <v>124</v>
      </c>
      <c r="Z39" t="s">
        <v>150</v>
      </c>
      <c r="AA39" t="s">
        <v>215</v>
      </c>
      <c r="AB39" t="s">
        <v>215</v>
      </c>
      <c r="AC39" t="s">
        <v>2483</v>
      </c>
      <c r="AD39" t="s">
        <v>2483</v>
      </c>
      <c r="AE39" t="s">
        <v>2484</v>
      </c>
      <c r="AF39" t="s">
        <v>3841</v>
      </c>
      <c r="AG39" t="s">
        <v>3842</v>
      </c>
      <c r="AH39" t="s">
        <v>362</v>
      </c>
      <c r="AI39" t="s">
        <v>362</v>
      </c>
      <c r="AJ39" t="s">
        <v>3843</v>
      </c>
      <c r="AK39" t="s">
        <v>3952</v>
      </c>
      <c r="AL39" t="s">
        <v>3915</v>
      </c>
      <c r="AM39" t="s">
        <v>3916</v>
      </c>
      <c r="AN39" t="s">
        <v>3778</v>
      </c>
      <c r="AO39" t="s">
        <v>3953</v>
      </c>
      <c r="AP39" t="s">
        <v>124</v>
      </c>
      <c r="AQ39" t="s">
        <v>124</v>
      </c>
      <c r="AR39" t="s">
        <v>124</v>
      </c>
      <c r="AS39" t="s">
        <v>124</v>
      </c>
      <c r="AT39" t="s">
        <v>124</v>
      </c>
      <c r="AU39" t="s">
        <v>124</v>
      </c>
      <c r="AV39" t="s">
        <v>124</v>
      </c>
      <c r="AW39" t="s">
        <v>124</v>
      </c>
      <c r="AX39" t="s">
        <v>124</v>
      </c>
      <c r="AY39" t="s">
        <v>124</v>
      </c>
      <c r="AZ39" t="s">
        <v>124</v>
      </c>
      <c r="BA39" t="s">
        <v>124</v>
      </c>
      <c r="BB39" t="s">
        <v>124</v>
      </c>
      <c r="BC39" t="s">
        <v>124</v>
      </c>
      <c r="BD39" t="s">
        <v>124</v>
      </c>
      <c r="BE39" t="s">
        <v>124</v>
      </c>
      <c r="BF39" t="s">
        <v>124</v>
      </c>
      <c r="BG39" t="s">
        <v>124</v>
      </c>
      <c r="BH39" t="s">
        <v>124</v>
      </c>
      <c r="BI39" t="s">
        <v>124</v>
      </c>
      <c r="BJ39" t="s">
        <v>124</v>
      </c>
      <c r="BK39" t="s">
        <v>124</v>
      </c>
      <c r="BL39" t="s">
        <v>124</v>
      </c>
      <c r="BM39" t="s">
        <v>124</v>
      </c>
      <c r="BN39" t="s">
        <v>124</v>
      </c>
      <c r="BO39" t="s">
        <v>124</v>
      </c>
      <c r="BP39" t="s">
        <v>124</v>
      </c>
      <c r="BQ39" t="s">
        <v>124</v>
      </c>
      <c r="BR39" t="s">
        <v>124</v>
      </c>
      <c r="BS39" t="s">
        <v>124</v>
      </c>
      <c r="BT39" t="s">
        <v>124</v>
      </c>
      <c r="BU39" t="s">
        <v>124</v>
      </c>
      <c r="BV39" t="s">
        <v>124</v>
      </c>
      <c r="BW39" t="s">
        <v>124</v>
      </c>
      <c r="BX39" t="s">
        <v>124</v>
      </c>
      <c r="BY39" t="s">
        <v>124</v>
      </c>
      <c r="BZ39" t="s">
        <v>124</v>
      </c>
      <c r="CA39" t="s">
        <v>124</v>
      </c>
      <c r="CB39" t="s">
        <v>124</v>
      </c>
      <c r="CC39" t="s">
        <v>124</v>
      </c>
      <c r="CD39" t="s">
        <v>124</v>
      </c>
      <c r="CE39" t="s">
        <v>124</v>
      </c>
      <c r="CF39" t="s">
        <v>124</v>
      </c>
      <c r="CG39" t="s">
        <v>124</v>
      </c>
      <c r="CH39" t="s">
        <v>124</v>
      </c>
      <c r="CI39" t="s">
        <v>124</v>
      </c>
      <c r="CJ39" t="s">
        <v>124</v>
      </c>
      <c r="CK39" t="s">
        <v>124</v>
      </c>
      <c r="CL39" t="s">
        <v>124</v>
      </c>
      <c r="CM39" t="s">
        <v>124</v>
      </c>
      <c r="CN39" t="s">
        <v>124</v>
      </c>
      <c r="CO39" t="s">
        <v>124</v>
      </c>
      <c r="CP39" t="s">
        <v>124</v>
      </c>
      <c r="CQ39" t="s">
        <v>124</v>
      </c>
      <c r="CR39" t="s">
        <v>124</v>
      </c>
      <c r="CS39" t="s">
        <v>124</v>
      </c>
      <c r="CT39" t="s">
        <v>3779</v>
      </c>
      <c r="CU39" t="s">
        <v>3780</v>
      </c>
      <c r="CV39" t="s">
        <v>429</v>
      </c>
      <c r="CW39" t="s">
        <v>3781</v>
      </c>
      <c r="CX39" t="s">
        <v>430</v>
      </c>
      <c r="CY39" t="s">
        <v>429</v>
      </c>
      <c r="CZ39" t="s">
        <v>431</v>
      </c>
      <c r="DA39" t="s">
        <v>432</v>
      </c>
      <c r="DB39" t="s">
        <v>3782</v>
      </c>
      <c r="DC39" t="s">
        <v>362</v>
      </c>
      <c r="DD39" t="s">
        <v>278</v>
      </c>
      <c r="DE39" t="s">
        <v>489</v>
      </c>
    </row>
    <row r="40" spans="1:109" ht="11.25" customHeight="1">
      <c r="A40" s="4" t="s">
        <v>124</v>
      </c>
      <c r="B40" t="s">
        <v>124</v>
      </c>
      <c r="C40" t="s">
        <v>124</v>
      </c>
      <c r="D40" t="s">
        <v>124</v>
      </c>
      <c r="E40" t="s">
        <v>124</v>
      </c>
      <c r="F40" t="s">
        <v>124</v>
      </c>
      <c r="G40" t="s">
        <v>124</v>
      </c>
      <c r="H40" t="s">
        <v>124</v>
      </c>
      <c r="I40" t="s">
        <v>3764</v>
      </c>
      <c r="J40" t="s">
        <v>124</v>
      </c>
      <c r="K40" t="s">
        <v>124</v>
      </c>
      <c r="L40" t="s">
        <v>124</v>
      </c>
      <c r="M40" t="s">
        <v>124</v>
      </c>
      <c r="N40" t="s">
        <v>124</v>
      </c>
      <c r="O40" t="s">
        <v>124</v>
      </c>
      <c r="P40" t="s">
        <v>124</v>
      </c>
      <c r="Q40" t="s">
        <v>124</v>
      </c>
      <c r="R40" t="s">
        <v>485</v>
      </c>
      <c r="S40" t="s">
        <v>124</v>
      </c>
      <c r="T40" t="s">
        <v>124</v>
      </c>
      <c r="U40" t="s">
        <v>101</v>
      </c>
      <c r="V40" t="s">
        <v>124</v>
      </c>
      <c r="W40" t="s">
        <v>124</v>
      </c>
      <c r="X40" t="s">
        <v>3913</v>
      </c>
      <c r="Y40" t="s">
        <v>124</v>
      </c>
      <c r="Z40" t="s">
        <v>150</v>
      </c>
      <c r="AA40" t="s">
        <v>215</v>
      </c>
      <c r="AB40" t="s">
        <v>215</v>
      </c>
      <c r="AC40" t="s">
        <v>2483</v>
      </c>
      <c r="AD40" t="s">
        <v>2483</v>
      </c>
      <c r="AE40" t="s">
        <v>2484</v>
      </c>
      <c r="AF40" t="s">
        <v>3954</v>
      </c>
      <c r="AG40" t="s">
        <v>3955</v>
      </c>
      <c r="AH40" t="s">
        <v>362</v>
      </c>
      <c r="AI40" t="s">
        <v>362</v>
      </c>
      <c r="AJ40" t="s">
        <v>3956</v>
      </c>
      <c r="AK40" t="s">
        <v>3952</v>
      </c>
      <c r="AL40" t="s">
        <v>3957</v>
      </c>
      <c r="AM40" t="s">
        <v>3916</v>
      </c>
      <c r="AN40" t="s">
        <v>3778</v>
      </c>
      <c r="AO40" t="s">
        <v>3958</v>
      </c>
      <c r="AP40" t="s">
        <v>124</v>
      </c>
      <c r="AQ40" t="s">
        <v>124</v>
      </c>
      <c r="AR40" t="s">
        <v>124</v>
      </c>
      <c r="AS40" t="s">
        <v>124</v>
      </c>
      <c r="AT40" t="s">
        <v>124</v>
      </c>
      <c r="AU40" t="s">
        <v>124</v>
      </c>
      <c r="AV40" t="s">
        <v>124</v>
      </c>
      <c r="AW40" t="s">
        <v>124</v>
      </c>
      <c r="AX40" t="s">
        <v>124</v>
      </c>
      <c r="AY40" t="s">
        <v>124</v>
      </c>
      <c r="AZ40" t="s">
        <v>124</v>
      </c>
      <c r="BA40" t="s">
        <v>124</v>
      </c>
      <c r="BB40" t="s">
        <v>124</v>
      </c>
      <c r="BC40" t="s">
        <v>124</v>
      </c>
      <c r="BD40" t="s">
        <v>124</v>
      </c>
      <c r="BE40" t="s">
        <v>124</v>
      </c>
      <c r="BF40" t="s">
        <v>124</v>
      </c>
      <c r="BG40" t="s">
        <v>124</v>
      </c>
      <c r="BH40" t="s">
        <v>124</v>
      </c>
      <c r="BI40" t="s">
        <v>124</v>
      </c>
      <c r="BJ40" t="s">
        <v>124</v>
      </c>
      <c r="BK40" t="s">
        <v>124</v>
      </c>
      <c r="BL40" t="s">
        <v>124</v>
      </c>
      <c r="BM40" t="s">
        <v>124</v>
      </c>
      <c r="BN40" t="s">
        <v>124</v>
      </c>
      <c r="BO40" t="s">
        <v>124</v>
      </c>
      <c r="BP40" t="s">
        <v>124</v>
      </c>
      <c r="BQ40" t="s">
        <v>124</v>
      </c>
      <c r="BR40" t="s">
        <v>124</v>
      </c>
      <c r="BS40" t="s">
        <v>124</v>
      </c>
      <c r="BT40" t="s">
        <v>124</v>
      </c>
      <c r="BU40" t="s">
        <v>124</v>
      </c>
      <c r="BV40" t="s">
        <v>124</v>
      </c>
      <c r="BW40" t="s">
        <v>124</v>
      </c>
      <c r="BX40" t="s">
        <v>124</v>
      </c>
      <c r="BY40" t="s">
        <v>124</v>
      </c>
      <c r="BZ40" t="s">
        <v>124</v>
      </c>
      <c r="CA40" t="s">
        <v>124</v>
      </c>
      <c r="CB40" t="s">
        <v>124</v>
      </c>
      <c r="CC40" t="s">
        <v>124</v>
      </c>
      <c r="CD40" t="s">
        <v>124</v>
      </c>
      <c r="CE40" t="s">
        <v>124</v>
      </c>
      <c r="CF40" t="s">
        <v>124</v>
      </c>
      <c r="CG40" t="s">
        <v>124</v>
      </c>
      <c r="CH40" t="s">
        <v>124</v>
      </c>
      <c r="CI40" t="s">
        <v>124</v>
      </c>
      <c r="CJ40" t="s">
        <v>124</v>
      </c>
      <c r="CK40" t="s">
        <v>124</v>
      </c>
      <c r="CL40" t="s">
        <v>124</v>
      </c>
      <c r="CM40" t="s">
        <v>124</v>
      </c>
      <c r="CN40" t="s">
        <v>124</v>
      </c>
      <c r="CO40" t="s">
        <v>124</v>
      </c>
      <c r="CP40" t="s">
        <v>124</v>
      </c>
      <c r="CQ40" t="s">
        <v>124</v>
      </c>
      <c r="CR40" t="s">
        <v>124</v>
      </c>
      <c r="CS40" t="s">
        <v>124</v>
      </c>
      <c r="CT40" t="s">
        <v>3779</v>
      </c>
      <c r="CU40" t="s">
        <v>3780</v>
      </c>
      <c r="CV40" t="s">
        <v>429</v>
      </c>
      <c r="CW40" t="s">
        <v>3781</v>
      </c>
      <c r="CX40" t="s">
        <v>430</v>
      </c>
      <c r="CY40" t="s">
        <v>429</v>
      </c>
      <c r="CZ40" t="s">
        <v>431</v>
      </c>
      <c r="DA40" t="s">
        <v>432</v>
      </c>
      <c r="DB40" t="s">
        <v>3782</v>
      </c>
      <c r="DC40" t="s">
        <v>362</v>
      </c>
      <c r="DD40" t="s">
        <v>278</v>
      </c>
      <c r="DE40" t="s">
        <v>486</v>
      </c>
    </row>
    <row r="41" spans="1:109" ht="11.25" customHeight="1">
      <c r="A41" s="4" t="s">
        <v>124</v>
      </c>
      <c r="B41" t="s">
        <v>124</v>
      </c>
      <c r="C41" t="s">
        <v>124</v>
      </c>
      <c r="D41" t="s">
        <v>124</v>
      </c>
      <c r="E41" t="s">
        <v>124</v>
      </c>
      <c r="F41" t="s">
        <v>124</v>
      </c>
      <c r="G41" t="s">
        <v>124</v>
      </c>
      <c r="H41" t="s">
        <v>124</v>
      </c>
      <c r="I41" t="s">
        <v>3764</v>
      </c>
      <c r="J41" t="s">
        <v>124</v>
      </c>
      <c r="K41" t="s">
        <v>124</v>
      </c>
      <c r="L41" t="s">
        <v>124</v>
      </c>
      <c r="M41" t="s">
        <v>124</v>
      </c>
      <c r="N41" t="s">
        <v>124</v>
      </c>
      <c r="O41" t="s">
        <v>124</v>
      </c>
      <c r="P41" t="s">
        <v>124</v>
      </c>
      <c r="Q41" t="s">
        <v>124</v>
      </c>
      <c r="R41" t="s">
        <v>3959</v>
      </c>
      <c r="S41" t="s">
        <v>124</v>
      </c>
      <c r="T41" t="s">
        <v>124</v>
      </c>
      <c r="U41" t="s">
        <v>101</v>
      </c>
      <c r="V41" t="s">
        <v>124</v>
      </c>
      <c r="W41" t="s">
        <v>124</v>
      </c>
      <c r="X41" t="s">
        <v>3765</v>
      </c>
      <c r="Y41" t="s">
        <v>124</v>
      </c>
      <c r="Z41" t="s">
        <v>215</v>
      </c>
      <c r="AA41" t="s">
        <v>215</v>
      </c>
      <c r="AB41" t="s">
        <v>150</v>
      </c>
      <c r="AC41" t="s">
        <v>341</v>
      </c>
      <c r="AD41" t="s">
        <v>341</v>
      </c>
      <c r="AE41" t="s">
        <v>342</v>
      </c>
      <c r="AF41" t="s">
        <v>3960</v>
      </c>
      <c r="AG41" t="s">
        <v>3961</v>
      </c>
      <c r="AH41" t="s">
        <v>3962</v>
      </c>
      <c r="AI41" t="s">
        <v>3807</v>
      </c>
      <c r="AJ41" t="s">
        <v>124</v>
      </c>
      <c r="AK41" t="s">
        <v>124</v>
      </c>
      <c r="AL41" t="s">
        <v>124</v>
      </c>
      <c r="AM41" t="s">
        <v>124</v>
      </c>
      <c r="AN41" t="s">
        <v>124</v>
      </c>
      <c r="AO41" t="s">
        <v>124</v>
      </c>
      <c r="AP41" t="s">
        <v>124</v>
      </c>
      <c r="AQ41" t="s">
        <v>124</v>
      </c>
      <c r="AR41" t="s">
        <v>124</v>
      </c>
      <c r="AS41" t="s">
        <v>124</v>
      </c>
      <c r="AT41" t="s">
        <v>124</v>
      </c>
      <c r="AU41" t="s">
        <v>124</v>
      </c>
      <c r="AV41" t="s">
        <v>124</v>
      </c>
      <c r="AW41" t="s">
        <v>124</v>
      </c>
      <c r="AX41" t="s">
        <v>124</v>
      </c>
      <c r="AY41" t="s">
        <v>124</v>
      </c>
      <c r="AZ41" t="s">
        <v>124</v>
      </c>
      <c r="BA41" t="s">
        <v>124</v>
      </c>
      <c r="BB41" t="s">
        <v>124</v>
      </c>
      <c r="BC41" t="s">
        <v>124</v>
      </c>
      <c r="BD41" t="s">
        <v>124</v>
      </c>
      <c r="BE41" t="s">
        <v>3808</v>
      </c>
      <c r="BF41" t="s">
        <v>3777</v>
      </c>
      <c r="BG41" t="s">
        <v>3257</v>
      </c>
      <c r="BH41" t="s">
        <v>3809</v>
      </c>
      <c r="BI41" t="s">
        <v>2985</v>
      </c>
      <c r="BJ41" t="s">
        <v>124</v>
      </c>
      <c r="BK41" t="s">
        <v>3810</v>
      </c>
      <c r="BL41" t="s">
        <v>2928</v>
      </c>
      <c r="BM41" t="s">
        <v>2928</v>
      </c>
      <c r="BN41" t="s">
        <v>3811</v>
      </c>
      <c r="BO41" t="s">
        <v>3812</v>
      </c>
      <c r="BP41" t="s">
        <v>3813</v>
      </c>
      <c r="BQ41" t="s">
        <v>3814</v>
      </c>
      <c r="BR41" t="s">
        <v>362</v>
      </c>
      <c r="BS41" t="s">
        <v>124</v>
      </c>
      <c r="BT41" t="s">
        <v>3815</v>
      </c>
      <c r="BU41" t="s">
        <v>3963</v>
      </c>
      <c r="BV41" t="s">
        <v>3963</v>
      </c>
      <c r="BW41" t="s">
        <v>3777</v>
      </c>
      <c r="BX41" t="s">
        <v>3777</v>
      </c>
      <c r="BY41" t="s">
        <v>3777</v>
      </c>
      <c r="BZ41" t="s">
        <v>3777</v>
      </c>
      <c r="CA41" t="s">
        <v>3777</v>
      </c>
      <c r="CB41" t="s">
        <v>124</v>
      </c>
      <c r="CC41" t="s">
        <v>124</v>
      </c>
      <c r="CD41" t="s">
        <v>124</v>
      </c>
      <c r="CE41" t="s">
        <v>124</v>
      </c>
      <c r="CF41" t="s">
        <v>124</v>
      </c>
      <c r="CG41" t="s">
        <v>3777</v>
      </c>
      <c r="CH41" t="s">
        <v>124</v>
      </c>
      <c r="CI41" t="s">
        <v>124</v>
      </c>
      <c r="CJ41" t="s">
        <v>124</v>
      </c>
      <c r="CK41" t="s">
        <v>124</v>
      </c>
      <c r="CL41" t="s">
        <v>124</v>
      </c>
      <c r="CM41" t="s">
        <v>3963</v>
      </c>
      <c r="CN41" t="s">
        <v>3963</v>
      </c>
      <c r="CO41" t="s">
        <v>124</v>
      </c>
      <c r="CP41" t="s">
        <v>124</v>
      </c>
      <c r="CQ41" t="s">
        <v>124</v>
      </c>
      <c r="CR41" t="s">
        <v>124</v>
      </c>
      <c r="CS41" t="s">
        <v>3778</v>
      </c>
      <c r="CT41" t="s">
        <v>3779</v>
      </c>
      <c r="CU41" t="s">
        <v>3780</v>
      </c>
      <c r="CV41" t="s">
        <v>429</v>
      </c>
      <c r="CW41" t="s">
        <v>3781</v>
      </c>
      <c r="CX41" t="s">
        <v>430</v>
      </c>
      <c r="CY41" t="s">
        <v>429</v>
      </c>
      <c r="CZ41" t="s">
        <v>431</v>
      </c>
      <c r="DA41" t="s">
        <v>432</v>
      </c>
      <c r="DB41" t="s">
        <v>3782</v>
      </c>
      <c r="DC41" t="s">
        <v>362</v>
      </c>
      <c r="DD41" t="s">
        <v>278</v>
      </c>
      <c r="DE41" t="s">
        <v>3964</v>
      </c>
    </row>
    <row r="42" spans="1:109" ht="11.25" customHeight="1">
      <c r="A42" s="4" t="s">
        <v>124</v>
      </c>
      <c r="B42" t="s">
        <v>124</v>
      </c>
      <c r="C42" t="s">
        <v>124</v>
      </c>
      <c r="D42" t="s">
        <v>124</v>
      </c>
      <c r="E42" t="s">
        <v>124</v>
      </c>
      <c r="F42" t="s">
        <v>124</v>
      </c>
      <c r="G42" t="s">
        <v>124</v>
      </c>
      <c r="H42" t="s">
        <v>124</v>
      </c>
      <c r="I42" t="s">
        <v>3764</v>
      </c>
      <c r="J42" t="s">
        <v>124</v>
      </c>
      <c r="K42" t="s">
        <v>124</v>
      </c>
      <c r="L42" t="s">
        <v>124</v>
      </c>
      <c r="M42" t="s">
        <v>124</v>
      </c>
      <c r="N42" t="s">
        <v>124</v>
      </c>
      <c r="O42" t="s">
        <v>124</v>
      </c>
      <c r="P42" t="s">
        <v>124</v>
      </c>
      <c r="Q42" t="s">
        <v>124</v>
      </c>
      <c r="R42" t="s">
        <v>3965</v>
      </c>
      <c r="S42" t="s">
        <v>124</v>
      </c>
      <c r="T42" t="s">
        <v>124</v>
      </c>
      <c r="U42" t="s">
        <v>101</v>
      </c>
      <c r="V42" t="s">
        <v>124</v>
      </c>
      <c r="W42" t="s">
        <v>124</v>
      </c>
      <c r="X42" t="s">
        <v>3765</v>
      </c>
      <c r="Y42" t="s">
        <v>124</v>
      </c>
      <c r="Z42" t="s">
        <v>215</v>
      </c>
      <c r="AA42" t="s">
        <v>215</v>
      </c>
      <c r="AB42" t="s">
        <v>150</v>
      </c>
      <c r="AC42" t="s">
        <v>341</v>
      </c>
      <c r="AD42" t="s">
        <v>341</v>
      </c>
      <c r="AE42" t="s">
        <v>342</v>
      </c>
      <c r="AF42" t="s">
        <v>3804</v>
      </c>
      <c r="AG42" t="s">
        <v>3805</v>
      </c>
      <c r="AH42" t="s">
        <v>3919</v>
      </c>
      <c r="AI42" t="s">
        <v>3807</v>
      </c>
      <c r="AJ42" t="s">
        <v>124</v>
      </c>
      <c r="AK42" t="s">
        <v>124</v>
      </c>
      <c r="AL42" t="s">
        <v>124</v>
      </c>
      <c r="AM42" t="s">
        <v>124</v>
      </c>
      <c r="AN42" t="s">
        <v>124</v>
      </c>
      <c r="AO42" t="s">
        <v>124</v>
      </c>
      <c r="AP42" t="s">
        <v>124</v>
      </c>
      <c r="AQ42" t="s">
        <v>124</v>
      </c>
      <c r="AR42" t="s">
        <v>124</v>
      </c>
      <c r="AS42" t="s">
        <v>124</v>
      </c>
      <c r="AT42" t="s">
        <v>124</v>
      </c>
      <c r="AU42" t="s">
        <v>124</v>
      </c>
      <c r="AV42" t="s">
        <v>124</v>
      </c>
      <c r="AW42" t="s">
        <v>124</v>
      </c>
      <c r="AX42" t="s">
        <v>124</v>
      </c>
      <c r="AY42" t="s">
        <v>124</v>
      </c>
      <c r="AZ42" t="s">
        <v>124</v>
      </c>
      <c r="BA42" t="s">
        <v>124</v>
      </c>
      <c r="BB42" t="s">
        <v>124</v>
      </c>
      <c r="BC42" t="s">
        <v>124</v>
      </c>
      <c r="BD42" t="s">
        <v>124</v>
      </c>
      <c r="BE42" t="s">
        <v>3808</v>
      </c>
      <c r="BF42" t="s">
        <v>3777</v>
      </c>
      <c r="BG42" t="s">
        <v>3257</v>
      </c>
      <c r="BH42" t="s">
        <v>3809</v>
      </c>
      <c r="BI42" t="s">
        <v>2985</v>
      </c>
      <c r="BJ42" t="s">
        <v>124</v>
      </c>
      <c r="BK42" t="s">
        <v>3810</v>
      </c>
      <c r="BL42" t="s">
        <v>2928</v>
      </c>
      <c r="BM42" t="s">
        <v>2928</v>
      </c>
      <c r="BN42" t="s">
        <v>3811</v>
      </c>
      <c r="BO42" t="s">
        <v>3812</v>
      </c>
      <c r="BP42" t="s">
        <v>3813</v>
      </c>
      <c r="BQ42" t="s">
        <v>3814</v>
      </c>
      <c r="BR42" t="s">
        <v>362</v>
      </c>
      <c r="BS42" t="s">
        <v>124</v>
      </c>
      <c r="BT42" t="s">
        <v>3815</v>
      </c>
      <c r="BU42" t="s">
        <v>3966</v>
      </c>
      <c r="BV42" t="s">
        <v>3966</v>
      </c>
      <c r="BW42" t="s">
        <v>3777</v>
      </c>
      <c r="BX42" t="s">
        <v>3777</v>
      </c>
      <c r="BY42" t="s">
        <v>3777</v>
      </c>
      <c r="BZ42" t="s">
        <v>3777</v>
      </c>
      <c r="CA42" t="s">
        <v>3777</v>
      </c>
      <c r="CB42" t="s">
        <v>124</v>
      </c>
      <c r="CC42" t="s">
        <v>124</v>
      </c>
      <c r="CD42" t="s">
        <v>124</v>
      </c>
      <c r="CE42" t="s">
        <v>124</v>
      </c>
      <c r="CF42" t="s">
        <v>124</v>
      </c>
      <c r="CG42" t="s">
        <v>3777</v>
      </c>
      <c r="CH42" t="s">
        <v>124</v>
      </c>
      <c r="CI42" t="s">
        <v>124</v>
      </c>
      <c r="CJ42" t="s">
        <v>124</v>
      </c>
      <c r="CK42" t="s">
        <v>124</v>
      </c>
      <c r="CL42" t="s">
        <v>124</v>
      </c>
      <c r="CM42" t="s">
        <v>3966</v>
      </c>
      <c r="CN42" t="s">
        <v>3966</v>
      </c>
      <c r="CO42" t="s">
        <v>124</v>
      </c>
      <c r="CP42" t="s">
        <v>124</v>
      </c>
      <c r="CQ42" t="s">
        <v>124</v>
      </c>
      <c r="CR42" t="s">
        <v>124</v>
      </c>
      <c r="CS42" t="s">
        <v>3925</v>
      </c>
      <c r="CT42" t="s">
        <v>3779</v>
      </c>
      <c r="CU42" t="s">
        <v>3780</v>
      </c>
      <c r="CV42" t="s">
        <v>429</v>
      </c>
      <c r="CW42" t="s">
        <v>3781</v>
      </c>
      <c r="CX42" t="s">
        <v>430</v>
      </c>
      <c r="CY42" t="s">
        <v>429</v>
      </c>
      <c r="CZ42" t="s">
        <v>431</v>
      </c>
      <c r="DA42" t="s">
        <v>432</v>
      </c>
      <c r="DB42" t="s">
        <v>3782</v>
      </c>
      <c r="DC42" t="s">
        <v>362</v>
      </c>
      <c r="DD42" t="s">
        <v>278</v>
      </c>
      <c r="DE42" t="s">
        <v>3921</v>
      </c>
    </row>
    <row r="43" spans="1:109" ht="11.25" customHeight="1">
      <c r="A43" s="4" t="s">
        <v>124</v>
      </c>
      <c r="B43" t="s">
        <v>124</v>
      </c>
      <c r="C43" t="s">
        <v>124</v>
      </c>
      <c r="D43" t="s">
        <v>124</v>
      </c>
      <c r="E43" t="s">
        <v>124</v>
      </c>
      <c r="F43" t="s">
        <v>124</v>
      </c>
      <c r="G43" t="s">
        <v>124</v>
      </c>
      <c r="H43" t="s">
        <v>124</v>
      </c>
      <c r="I43" t="s">
        <v>3764</v>
      </c>
      <c r="J43" t="s">
        <v>124</v>
      </c>
      <c r="K43" t="s">
        <v>124</v>
      </c>
      <c r="L43" t="s">
        <v>124</v>
      </c>
      <c r="M43" t="s">
        <v>124</v>
      </c>
      <c r="N43" t="s">
        <v>124</v>
      </c>
      <c r="O43" t="s">
        <v>124</v>
      </c>
      <c r="P43" t="s">
        <v>124</v>
      </c>
      <c r="Q43" t="s">
        <v>124</v>
      </c>
      <c r="R43" t="s">
        <v>3967</v>
      </c>
      <c r="S43" t="s">
        <v>124</v>
      </c>
      <c r="T43" t="s">
        <v>124</v>
      </c>
      <c r="U43" t="s">
        <v>101</v>
      </c>
      <c r="V43" t="s">
        <v>124</v>
      </c>
      <c r="W43" t="s">
        <v>124</v>
      </c>
      <c r="X43" t="s">
        <v>3765</v>
      </c>
      <c r="Y43" t="s">
        <v>124</v>
      </c>
      <c r="Z43" t="s">
        <v>215</v>
      </c>
      <c r="AA43" t="s">
        <v>215</v>
      </c>
      <c r="AB43" t="s">
        <v>150</v>
      </c>
      <c r="AC43" t="s">
        <v>341</v>
      </c>
      <c r="AD43" t="s">
        <v>341</v>
      </c>
      <c r="AE43" t="s">
        <v>342</v>
      </c>
      <c r="AF43" t="s">
        <v>3804</v>
      </c>
      <c r="AG43" t="s">
        <v>3805</v>
      </c>
      <c r="AH43" t="s">
        <v>3919</v>
      </c>
      <c r="AI43" t="s">
        <v>3968</v>
      </c>
      <c r="AJ43" t="s">
        <v>124</v>
      </c>
      <c r="AK43" t="s">
        <v>124</v>
      </c>
      <c r="AL43" t="s">
        <v>124</v>
      </c>
      <c r="AM43" t="s">
        <v>124</v>
      </c>
      <c r="AN43" t="s">
        <v>124</v>
      </c>
      <c r="AO43" t="s">
        <v>124</v>
      </c>
      <c r="AP43" t="s">
        <v>124</v>
      </c>
      <c r="AQ43" t="s">
        <v>124</v>
      </c>
      <c r="AR43" t="s">
        <v>124</v>
      </c>
      <c r="AS43" t="s">
        <v>124</v>
      </c>
      <c r="AT43" t="s">
        <v>124</v>
      </c>
      <c r="AU43" t="s">
        <v>124</v>
      </c>
      <c r="AV43" t="s">
        <v>124</v>
      </c>
      <c r="AW43" t="s">
        <v>124</v>
      </c>
      <c r="AX43" t="s">
        <v>124</v>
      </c>
      <c r="AY43" t="s">
        <v>124</v>
      </c>
      <c r="AZ43" t="s">
        <v>124</v>
      </c>
      <c r="BA43" t="s">
        <v>124</v>
      </c>
      <c r="BB43" t="s">
        <v>124</v>
      </c>
      <c r="BC43" t="s">
        <v>124</v>
      </c>
      <c r="BD43" t="s">
        <v>124</v>
      </c>
      <c r="BE43" t="s">
        <v>3969</v>
      </c>
      <c r="BF43" t="s">
        <v>3777</v>
      </c>
      <c r="BG43" t="s">
        <v>3257</v>
      </c>
      <c r="BH43" t="s">
        <v>3809</v>
      </c>
      <c r="BI43" t="s">
        <v>2985</v>
      </c>
      <c r="BJ43" t="s">
        <v>124</v>
      </c>
      <c r="BK43" t="s">
        <v>3810</v>
      </c>
      <c r="BL43" t="s">
        <v>2928</v>
      </c>
      <c r="BM43" t="s">
        <v>2928</v>
      </c>
      <c r="BN43" t="s">
        <v>3811</v>
      </c>
      <c r="BO43" t="s">
        <v>3812</v>
      </c>
      <c r="BP43" t="s">
        <v>3813</v>
      </c>
      <c r="BQ43" t="s">
        <v>3814</v>
      </c>
      <c r="BR43" t="s">
        <v>362</v>
      </c>
      <c r="BS43" t="s">
        <v>124</v>
      </c>
      <c r="BT43" t="s">
        <v>3970</v>
      </c>
      <c r="BU43" t="s">
        <v>3971</v>
      </c>
      <c r="BV43" t="s">
        <v>3777</v>
      </c>
      <c r="BW43" t="s">
        <v>3777</v>
      </c>
      <c r="BX43" t="s">
        <v>3777</v>
      </c>
      <c r="BY43" t="s">
        <v>3971</v>
      </c>
      <c r="BZ43" t="s">
        <v>3777</v>
      </c>
      <c r="CA43" t="s">
        <v>3777</v>
      </c>
      <c r="CB43" t="s">
        <v>124</v>
      </c>
      <c r="CC43" t="s">
        <v>124</v>
      </c>
      <c r="CD43" t="s">
        <v>124</v>
      </c>
      <c r="CE43" t="s">
        <v>124</v>
      </c>
      <c r="CF43" t="s">
        <v>124</v>
      </c>
      <c r="CG43" t="s">
        <v>3777</v>
      </c>
      <c r="CH43" t="s">
        <v>124</v>
      </c>
      <c r="CI43" t="s">
        <v>124</v>
      </c>
      <c r="CJ43" t="s">
        <v>124</v>
      </c>
      <c r="CK43" t="s">
        <v>124</v>
      </c>
      <c r="CL43" t="s">
        <v>124</v>
      </c>
      <c r="CM43" t="s">
        <v>3971</v>
      </c>
      <c r="CN43" t="s">
        <v>124</v>
      </c>
      <c r="CO43" t="s">
        <v>124</v>
      </c>
      <c r="CP43" t="s">
        <v>124</v>
      </c>
      <c r="CQ43" t="s">
        <v>3971</v>
      </c>
      <c r="CR43" t="s">
        <v>124</v>
      </c>
      <c r="CS43" t="s">
        <v>3778</v>
      </c>
      <c r="CT43" t="s">
        <v>3779</v>
      </c>
      <c r="CU43" t="s">
        <v>3780</v>
      </c>
      <c r="CV43" t="s">
        <v>429</v>
      </c>
      <c r="CW43" t="s">
        <v>3781</v>
      </c>
      <c r="CX43" t="s">
        <v>430</v>
      </c>
      <c r="CY43" t="s">
        <v>429</v>
      </c>
      <c r="CZ43" t="s">
        <v>431</v>
      </c>
      <c r="DA43" t="s">
        <v>432</v>
      </c>
      <c r="DB43" t="s">
        <v>3782</v>
      </c>
      <c r="DC43" t="s">
        <v>362</v>
      </c>
      <c r="DD43" t="s">
        <v>278</v>
      </c>
      <c r="DE43" t="s">
        <v>3972</v>
      </c>
    </row>
    <row r="44" spans="1:109" ht="11.25" customHeight="1">
      <c r="A44" s="4" t="s">
        <v>124</v>
      </c>
      <c r="B44" t="s">
        <v>124</v>
      </c>
      <c r="C44" t="s">
        <v>124</v>
      </c>
      <c r="D44" t="s">
        <v>124</v>
      </c>
      <c r="E44" t="s">
        <v>124</v>
      </c>
      <c r="F44" t="s">
        <v>124</v>
      </c>
      <c r="G44" t="s">
        <v>124</v>
      </c>
      <c r="H44" t="s">
        <v>124</v>
      </c>
      <c r="I44" t="s">
        <v>3764</v>
      </c>
      <c r="J44" t="s">
        <v>124</v>
      </c>
      <c r="K44" t="s">
        <v>124</v>
      </c>
      <c r="L44" t="s">
        <v>124</v>
      </c>
      <c r="M44" t="s">
        <v>124</v>
      </c>
      <c r="N44" t="s">
        <v>124</v>
      </c>
      <c r="O44" t="s">
        <v>124</v>
      </c>
      <c r="P44" t="s">
        <v>124</v>
      </c>
      <c r="Q44" t="s">
        <v>124</v>
      </c>
      <c r="R44" t="s">
        <v>3973</v>
      </c>
      <c r="S44" t="s">
        <v>124</v>
      </c>
      <c r="T44" t="s">
        <v>124</v>
      </c>
      <c r="U44" t="s">
        <v>101</v>
      </c>
      <c r="V44" t="s">
        <v>124</v>
      </c>
      <c r="W44" t="s">
        <v>124</v>
      </c>
      <c r="X44" t="s">
        <v>3765</v>
      </c>
      <c r="Y44" t="s">
        <v>124</v>
      </c>
      <c r="Z44" t="s">
        <v>215</v>
      </c>
      <c r="AA44" t="s">
        <v>215</v>
      </c>
      <c r="AB44" t="s">
        <v>150</v>
      </c>
      <c r="AC44" t="s">
        <v>341</v>
      </c>
      <c r="AD44" t="s">
        <v>341</v>
      </c>
      <c r="AE44" t="s">
        <v>342</v>
      </c>
      <c r="AF44" t="s">
        <v>3804</v>
      </c>
      <c r="AG44" t="s">
        <v>3805</v>
      </c>
      <c r="AH44" t="s">
        <v>3974</v>
      </c>
      <c r="AI44" t="s">
        <v>3807</v>
      </c>
      <c r="AJ44" t="s">
        <v>124</v>
      </c>
      <c r="AK44" t="s">
        <v>124</v>
      </c>
      <c r="AL44" t="s">
        <v>124</v>
      </c>
      <c r="AM44" t="s">
        <v>124</v>
      </c>
      <c r="AN44" t="s">
        <v>124</v>
      </c>
      <c r="AO44" t="s">
        <v>124</v>
      </c>
      <c r="AP44" t="s">
        <v>124</v>
      </c>
      <c r="AQ44" t="s">
        <v>124</v>
      </c>
      <c r="AR44" t="s">
        <v>124</v>
      </c>
      <c r="AS44" t="s">
        <v>124</v>
      </c>
      <c r="AT44" t="s">
        <v>124</v>
      </c>
      <c r="AU44" t="s">
        <v>124</v>
      </c>
      <c r="AV44" t="s">
        <v>124</v>
      </c>
      <c r="AW44" t="s">
        <v>124</v>
      </c>
      <c r="AX44" t="s">
        <v>124</v>
      </c>
      <c r="AY44" t="s">
        <v>124</v>
      </c>
      <c r="AZ44" t="s">
        <v>124</v>
      </c>
      <c r="BA44" t="s">
        <v>124</v>
      </c>
      <c r="BB44" t="s">
        <v>124</v>
      </c>
      <c r="BC44" t="s">
        <v>124</v>
      </c>
      <c r="BD44" t="s">
        <v>124</v>
      </c>
      <c r="BE44" t="s">
        <v>3808</v>
      </c>
      <c r="BF44" t="s">
        <v>3777</v>
      </c>
      <c r="BG44" t="s">
        <v>3257</v>
      </c>
      <c r="BH44" t="s">
        <v>3809</v>
      </c>
      <c r="BI44" t="s">
        <v>2985</v>
      </c>
      <c r="BJ44" t="s">
        <v>124</v>
      </c>
      <c r="BK44" t="s">
        <v>3810</v>
      </c>
      <c r="BL44" t="s">
        <v>2928</v>
      </c>
      <c r="BM44" t="s">
        <v>2928</v>
      </c>
      <c r="BN44" t="s">
        <v>3811</v>
      </c>
      <c r="BO44" t="s">
        <v>3812</v>
      </c>
      <c r="BP44" t="s">
        <v>3813</v>
      </c>
      <c r="BQ44" t="s">
        <v>3814</v>
      </c>
      <c r="BR44" t="s">
        <v>362</v>
      </c>
      <c r="BS44" t="s">
        <v>124</v>
      </c>
      <c r="BT44" t="s">
        <v>3815</v>
      </c>
      <c r="BU44" t="s">
        <v>3975</v>
      </c>
      <c r="BV44" t="s">
        <v>3975</v>
      </c>
      <c r="BW44" t="s">
        <v>3777</v>
      </c>
      <c r="BX44" t="s">
        <v>3777</v>
      </c>
      <c r="BY44" t="s">
        <v>3777</v>
      </c>
      <c r="BZ44" t="s">
        <v>3777</v>
      </c>
      <c r="CA44" t="s">
        <v>3777</v>
      </c>
      <c r="CB44" t="s">
        <v>124</v>
      </c>
      <c r="CC44" t="s">
        <v>124</v>
      </c>
      <c r="CD44" t="s">
        <v>124</v>
      </c>
      <c r="CE44" t="s">
        <v>124</v>
      </c>
      <c r="CF44" t="s">
        <v>124</v>
      </c>
      <c r="CG44" t="s">
        <v>3777</v>
      </c>
      <c r="CH44" t="s">
        <v>124</v>
      </c>
      <c r="CI44" t="s">
        <v>124</v>
      </c>
      <c r="CJ44" t="s">
        <v>124</v>
      </c>
      <c r="CK44" t="s">
        <v>124</v>
      </c>
      <c r="CL44" t="s">
        <v>124</v>
      </c>
      <c r="CM44" t="s">
        <v>3975</v>
      </c>
      <c r="CN44" t="s">
        <v>3975</v>
      </c>
      <c r="CO44" t="s">
        <v>124</v>
      </c>
      <c r="CP44" t="s">
        <v>124</v>
      </c>
      <c r="CQ44" t="s">
        <v>124</v>
      </c>
      <c r="CR44" t="s">
        <v>124</v>
      </c>
      <c r="CS44" t="s">
        <v>3976</v>
      </c>
      <c r="CT44" t="s">
        <v>3779</v>
      </c>
      <c r="CU44" t="s">
        <v>3780</v>
      </c>
      <c r="CV44" t="s">
        <v>429</v>
      </c>
      <c r="CW44" t="s">
        <v>3781</v>
      </c>
      <c r="CX44" t="s">
        <v>430</v>
      </c>
      <c r="CY44" t="s">
        <v>429</v>
      </c>
      <c r="CZ44" t="s">
        <v>431</v>
      </c>
      <c r="DA44" t="s">
        <v>432</v>
      </c>
      <c r="DB44" t="s">
        <v>3782</v>
      </c>
      <c r="DC44" t="s">
        <v>362</v>
      </c>
      <c r="DD44" t="s">
        <v>278</v>
      </c>
      <c r="DE44" t="s">
        <v>3977</v>
      </c>
    </row>
    <row r="45" spans="1:109" ht="11.25" customHeight="1">
      <c r="A45" s="4" t="s">
        <v>124</v>
      </c>
      <c r="B45" t="s">
        <v>124</v>
      </c>
      <c r="C45" t="s">
        <v>124</v>
      </c>
      <c r="D45" t="s">
        <v>124</v>
      </c>
      <c r="E45" t="s">
        <v>124</v>
      </c>
      <c r="F45" t="s">
        <v>124</v>
      </c>
      <c r="G45" t="s">
        <v>124</v>
      </c>
      <c r="H45" t="s">
        <v>124</v>
      </c>
      <c r="I45" t="s">
        <v>3764</v>
      </c>
      <c r="J45" t="s">
        <v>124</v>
      </c>
      <c r="K45" t="s">
        <v>124</v>
      </c>
      <c r="L45" t="s">
        <v>124</v>
      </c>
      <c r="M45" t="s">
        <v>124</v>
      </c>
      <c r="N45" t="s">
        <v>124</v>
      </c>
      <c r="O45" t="s">
        <v>124</v>
      </c>
      <c r="P45" t="s">
        <v>124</v>
      </c>
      <c r="Q45" t="s">
        <v>124</v>
      </c>
      <c r="R45" t="s">
        <v>463</v>
      </c>
      <c r="S45" t="s">
        <v>124</v>
      </c>
      <c r="T45" t="s">
        <v>124</v>
      </c>
      <c r="U45" t="s">
        <v>101</v>
      </c>
      <c r="V45" t="s">
        <v>124</v>
      </c>
      <c r="W45" t="s">
        <v>124</v>
      </c>
      <c r="X45" t="s">
        <v>3913</v>
      </c>
      <c r="Y45" t="s">
        <v>124</v>
      </c>
      <c r="Z45" t="s">
        <v>150</v>
      </c>
      <c r="AA45" t="s">
        <v>215</v>
      </c>
      <c r="AB45" t="s">
        <v>215</v>
      </c>
      <c r="AC45" t="s">
        <v>341</v>
      </c>
      <c r="AD45" t="s">
        <v>341</v>
      </c>
      <c r="AE45" t="s">
        <v>342</v>
      </c>
      <c r="AF45" t="s">
        <v>3766</v>
      </c>
      <c r="AG45" t="s">
        <v>3767</v>
      </c>
      <c r="AH45" t="s">
        <v>3978</v>
      </c>
      <c r="AI45" t="s">
        <v>362</v>
      </c>
      <c r="AJ45" t="s">
        <v>3979</v>
      </c>
      <c r="AK45" t="s">
        <v>3979</v>
      </c>
      <c r="AL45" t="s">
        <v>3950</v>
      </c>
      <c r="AM45" t="s">
        <v>3916</v>
      </c>
      <c r="AN45" t="s">
        <v>3778</v>
      </c>
      <c r="AO45" t="s">
        <v>3980</v>
      </c>
      <c r="AP45" t="s">
        <v>124</v>
      </c>
      <c r="AQ45" t="s">
        <v>124</v>
      </c>
      <c r="AR45" t="s">
        <v>124</v>
      </c>
      <c r="AS45" t="s">
        <v>124</v>
      </c>
      <c r="AT45" t="s">
        <v>124</v>
      </c>
      <c r="AU45" t="s">
        <v>124</v>
      </c>
      <c r="AV45" t="s">
        <v>124</v>
      </c>
      <c r="AW45" t="s">
        <v>124</v>
      </c>
      <c r="AX45" t="s">
        <v>124</v>
      </c>
      <c r="AY45" t="s">
        <v>124</v>
      </c>
      <c r="AZ45" t="s">
        <v>124</v>
      </c>
      <c r="BA45" t="s">
        <v>124</v>
      </c>
      <c r="BB45" t="s">
        <v>124</v>
      </c>
      <c r="BC45" t="s">
        <v>124</v>
      </c>
      <c r="BD45" t="s">
        <v>124</v>
      </c>
      <c r="BE45" t="s">
        <v>124</v>
      </c>
      <c r="BF45" t="s">
        <v>124</v>
      </c>
      <c r="BG45" t="s">
        <v>124</v>
      </c>
      <c r="BH45" t="s">
        <v>124</v>
      </c>
      <c r="BI45" t="s">
        <v>124</v>
      </c>
      <c r="BJ45" t="s">
        <v>124</v>
      </c>
      <c r="BK45" t="s">
        <v>124</v>
      </c>
      <c r="BL45" t="s">
        <v>124</v>
      </c>
      <c r="BM45" t="s">
        <v>124</v>
      </c>
      <c r="BN45" t="s">
        <v>124</v>
      </c>
      <c r="BO45" t="s">
        <v>124</v>
      </c>
      <c r="BP45" t="s">
        <v>124</v>
      </c>
      <c r="BQ45" t="s">
        <v>124</v>
      </c>
      <c r="BR45" t="s">
        <v>124</v>
      </c>
      <c r="BS45" t="s">
        <v>124</v>
      </c>
      <c r="BT45" t="s">
        <v>124</v>
      </c>
      <c r="BU45" t="s">
        <v>124</v>
      </c>
      <c r="BV45" t="s">
        <v>124</v>
      </c>
      <c r="BW45" t="s">
        <v>124</v>
      </c>
      <c r="BX45" t="s">
        <v>124</v>
      </c>
      <c r="BY45" t="s">
        <v>124</v>
      </c>
      <c r="BZ45" t="s">
        <v>124</v>
      </c>
      <c r="CA45" t="s">
        <v>124</v>
      </c>
      <c r="CB45" t="s">
        <v>124</v>
      </c>
      <c r="CC45" t="s">
        <v>124</v>
      </c>
      <c r="CD45" t="s">
        <v>124</v>
      </c>
      <c r="CE45" t="s">
        <v>124</v>
      </c>
      <c r="CF45" t="s">
        <v>124</v>
      </c>
      <c r="CG45" t="s">
        <v>124</v>
      </c>
      <c r="CH45" t="s">
        <v>124</v>
      </c>
      <c r="CI45" t="s">
        <v>124</v>
      </c>
      <c r="CJ45" t="s">
        <v>124</v>
      </c>
      <c r="CK45" t="s">
        <v>124</v>
      </c>
      <c r="CL45" t="s">
        <v>124</v>
      </c>
      <c r="CM45" t="s">
        <v>124</v>
      </c>
      <c r="CN45" t="s">
        <v>124</v>
      </c>
      <c r="CO45" t="s">
        <v>124</v>
      </c>
      <c r="CP45" t="s">
        <v>124</v>
      </c>
      <c r="CQ45" t="s">
        <v>124</v>
      </c>
      <c r="CR45" t="s">
        <v>124</v>
      </c>
      <c r="CS45" t="s">
        <v>124</v>
      </c>
      <c r="CT45" t="s">
        <v>3779</v>
      </c>
      <c r="CU45" t="s">
        <v>3780</v>
      </c>
      <c r="CV45" t="s">
        <v>429</v>
      </c>
      <c r="CW45" t="s">
        <v>3781</v>
      </c>
      <c r="CX45" t="s">
        <v>430</v>
      </c>
      <c r="CY45" t="s">
        <v>429</v>
      </c>
      <c r="CZ45" t="s">
        <v>431</v>
      </c>
      <c r="DA45" t="s">
        <v>432</v>
      </c>
      <c r="DB45" t="s">
        <v>3782</v>
      </c>
      <c r="DC45" t="s">
        <v>362</v>
      </c>
      <c r="DD45" t="s">
        <v>278</v>
      </c>
      <c r="DE45" t="s">
        <v>464</v>
      </c>
    </row>
    <row r="46" spans="1:109" ht="11.25" customHeight="1">
      <c r="A46" s="4" t="s">
        <v>124</v>
      </c>
      <c r="B46" t="s">
        <v>124</v>
      </c>
      <c r="C46" t="s">
        <v>124</v>
      </c>
      <c r="D46" t="s">
        <v>124</v>
      </c>
      <c r="E46" t="s">
        <v>124</v>
      </c>
      <c r="F46" t="s">
        <v>124</v>
      </c>
      <c r="G46" t="s">
        <v>124</v>
      </c>
      <c r="H46" t="s">
        <v>124</v>
      </c>
      <c r="I46" t="s">
        <v>3764</v>
      </c>
      <c r="J46" t="s">
        <v>124</v>
      </c>
      <c r="K46" t="s">
        <v>124</v>
      </c>
      <c r="L46" t="s">
        <v>124</v>
      </c>
      <c r="M46" t="s">
        <v>124</v>
      </c>
      <c r="N46" t="s">
        <v>124</v>
      </c>
      <c r="O46" t="s">
        <v>124</v>
      </c>
      <c r="P46" t="s">
        <v>124</v>
      </c>
      <c r="Q46" t="s">
        <v>124</v>
      </c>
      <c r="R46" t="s">
        <v>461</v>
      </c>
      <c r="S46" t="s">
        <v>124</v>
      </c>
      <c r="T46" t="s">
        <v>124</v>
      </c>
      <c r="U46" t="s">
        <v>101</v>
      </c>
      <c r="V46" t="s">
        <v>124</v>
      </c>
      <c r="W46" t="s">
        <v>124</v>
      </c>
      <c r="X46" t="s">
        <v>3913</v>
      </c>
      <c r="Y46" t="s">
        <v>124</v>
      </c>
      <c r="Z46" t="s">
        <v>150</v>
      </c>
      <c r="AA46" t="s">
        <v>215</v>
      </c>
      <c r="AB46" t="s">
        <v>215</v>
      </c>
      <c r="AC46" t="s">
        <v>341</v>
      </c>
      <c r="AD46" t="s">
        <v>341</v>
      </c>
      <c r="AE46" t="s">
        <v>342</v>
      </c>
      <c r="AF46" t="s">
        <v>3766</v>
      </c>
      <c r="AG46" t="s">
        <v>3767</v>
      </c>
      <c r="AH46" t="s">
        <v>3981</v>
      </c>
      <c r="AI46" t="s">
        <v>319</v>
      </c>
      <c r="AJ46" t="s">
        <v>3868</v>
      </c>
      <c r="AK46" t="s">
        <v>3949</v>
      </c>
      <c r="AL46" t="s">
        <v>3950</v>
      </c>
      <c r="AM46" t="s">
        <v>3916</v>
      </c>
      <c r="AN46" t="s">
        <v>3778</v>
      </c>
      <c r="AO46" t="s">
        <v>3982</v>
      </c>
      <c r="AP46" t="s">
        <v>124</v>
      </c>
      <c r="AQ46" t="s">
        <v>124</v>
      </c>
      <c r="AR46" t="s">
        <v>124</v>
      </c>
      <c r="AS46" t="s">
        <v>124</v>
      </c>
      <c r="AT46" t="s">
        <v>124</v>
      </c>
      <c r="AU46" t="s">
        <v>124</v>
      </c>
      <c r="AV46" t="s">
        <v>124</v>
      </c>
      <c r="AW46" t="s">
        <v>124</v>
      </c>
      <c r="AX46" t="s">
        <v>124</v>
      </c>
      <c r="AY46" t="s">
        <v>124</v>
      </c>
      <c r="AZ46" t="s">
        <v>124</v>
      </c>
      <c r="BA46" t="s">
        <v>124</v>
      </c>
      <c r="BB46" t="s">
        <v>124</v>
      </c>
      <c r="BC46" t="s">
        <v>124</v>
      </c>
      <c r="BD46" t="s">
        <v>124</v>
      </c>
      <c r="BE46" t="s">
        <v>124</v>
      </c>
      <c r="BF46" t="s">
        <v>124</v>
      </c>
      <c r="BG46" t="s">
        <v>124</v>
      </c>
      <c r="BH46" t="s">
        <v>124</v>
      </c>
      <c r="BI46" t="s">
        <v>124</v>
      </c>
      <c r="BJ46" t="s">
        <v>124</v>
      </c>
      <c r="BK46" t="s">
        <v>124</v>
      </c>
      <c r="BL46" t="s">
        <v>124</v>
      </c>
      <c r="BM46" t="s">
        <v>124</v>
      </c>
      <c r="BN46" t="s">
        <v>124</v>
      </c>
      <c r="BO46" t="s">
        <v>124</v>
      </c>
      <c r="BP46" t="s">
        <v>124</v>
      </c>
      <c r="BQ46" t="s">
        <v>124</v>
      </c>
      <c r="BR46" t="s">
        <v>124</v>
      </c>
      <c r="BS46" t="s">
        <v>124</v>
      </c>
      <c r="BT46" t="s">
        <v>124</v>
      </c>
      <c r="BU46" t="s">
        <v>124</v>
      </c>
      <c r="BV46" t="s">
        <v>124</v>
      </c>
      <c r="BW46" t="s">
        <v>124</v>
      </c>
      <c r="BX46" t="s">
        <v>124</v>
      </c>
      <c r="BY46" t="s">
        <v>124</v>
      </c>
      <c r="BZ46" t="s">
        <v>124</v>
      </c>
      <c r="CA46" t="s">
        <v>124</v>
      </c>
      <c r="CB46" t="s">
        <v>124</v>
      </c>
      <c r="CC46" t="s">
        <v>124</v>
      </c>
      <c r="CD46" t="s">
        <v>124</v>
      </c>
      <c r="CE46" t="s">
        <v>124</v>
      </c>
      <c r="CF46" t="s">
        <v>124</v>
      </c>
      <c r="CG46" t="s">
        <v>124</v>
      </c>
      <c r="CH46" t="s">
        <v>124</v>
      </c>
      <c r="CI46" t="s">
        <v>124</v>
      </c>
      <c r="CJ46" t="s">
        <v>124</v>
      </c>
      <c r="CK46" t="s">
        <v>124</v>
      </c>
      <c r="CL46" t="s">
        <v>124</v>
      </c>
      <c r="CM46" t="s">
        <v>124</v>
      </c>
      <c r="CN46" t="s">
        <v>124</v>
      </c>
      <c r="CO46" t="s">
        <v>124</v>
      </c>
      <c r="CP46" t="s">
        <v>124</v>
      </c>
      <c r="CQ46" t="s">
        <v>124</v>
      </c>
      <c r="CR46" t="s">
        <v>124</v>
      </c>
      <c r="CS46" t="s">
        <v>124</v>
      </c>
      <c r="CT46" t="s">
        <v>3779</v>
      </c>
      <c r="CU46" t="s">
        <v>3780</v>
      </c>
      <c r="CV46" t="s">
        <v>429</v>
      </c>
      <c r="CW46" t="s">
        <v>3781</v>
      </c>
      <c r="CX46" t="s">
        <v>430</v>
      </c>
      <c r="CY46" t="s">
        <v>429</v>
      </c>
      <c r="CZ46" t="s">
        <v>431</v>
      </c>
      <c r="DA46" t="s">
        <v>432</v>
      </c>
      <c r="DB46" t="s">
        <v>3782</v>
      </c>
      <c r="DC46" t="s">
        <v>362</v>
      </c>
      <c r="DD46" t="s">
        <v>278</v>
      </c>
      <c r="DE46" t="s">
        <v>462</v>
      </c>
    </row>
    <row r="47" spans="1:109" ht="11.25" customHeight="1">
      <c r="A47" s="4" t="s">
        <v>124</v>
      </c>
      <c r="B47" t="s">
        <v>124</v>
      </c>
      <c r="C47" t="s">
        <v>124</v>
      </c>
      <c r="D47" t="s">
        <v>124</v>
      </c>
      <c r="E47" t="s">
        <v>124</v>
      </c>
      <c r="F47" t="s">
        <v>124</v>
      </c>
      <c r="G47" t="s">
        <v>124</v>
      </c>
      <c r="H47" t="s">
        <v>124</v>
      </c>
      <c r="I47" t="s">
        <v>3764</v>
      </c>
      <c r="J47" t="s">
        <v>124</v>
      </c>
      <c r="K47" t="s">
        <v>124</v>
      </c>
      <c r="L47" t="s">
        <v>124</v>
      </c>
      <c r="M47" t="s">
        <v>124</v>
      </c>
      <c r="N47" t="s">
        <v>124</v>
      </c>
      <c r="O47" t="s">
        <v>124</v>
      </c>
      <c r="P47" t="s">
        <v>124</v>
      </c>
      <c r="Q47" t="s">
        <v>124</v>
      </c>
      <c r="R47" t="s">
        <v>471</v>
      </c>
      <c r="S47" t="s">
        <v>124</v>
      </c>
      <c r="T47" t="s">
        <v>124</v>
      </c>
      <c r="U47" t="s">
        <v>101</v>
      </c>
      <c r="V47" t="s">
        <v>124</v>
      </c>
      <c r="W47" t="s">
        <v>124</v>
      </c>
      <c r="X47" t="s">
        <v>3913</v>
      </c>
      <c r="Y47" t="s">
        <v>124</v>
      </c>
      <c r="Z47" t="s">
        <v>150</v>
      </c>
      <c r="AA47" t="s">
        <v>215</v>
      </c>
      <c r="AB47" t="s">
        <v>215</v>
      </c>
      <c r="AC47" t="s">
        <v>2483</v>
      </c>
      <c r="AD47" t="s">
        <v>2483</v>
      </c>
      <c r="AE47" t="s">
        <v>2484</v>
      </c>
      <c r="AF47" t="s">
        <v>3787</v>
      </c>
      <c r="AG47" t="s">
        <v>3793</v>
      </c>
      <c r="AH47" t="s">
        <v>362</v>
      </c>
      <c r="AI47" t="s">
        <v>362</v>
      </c>
      <c r="AJ47" t="s">
        <v>3783</v>
      </c>
      <c r="AK47" t="s">
        <v>3777</v>
      </c>
      <c r="AL47" t="s">
        <v>3950</v>
      </c>
      <c r="AM47" t="s">
        <v>3916</v>
      </c>
      <c r="AN47" t="s">
        <v>3778</v>
      </c>
      <c r="AO47" t="s">
        <v>3951</v>
      </c>
      <c r="AP47" t="s">
        <v>124</v>
      </c>
      <c r="AQ47" t="s">
        <v>124</v>
      </c>
      <c r="AR47" t="s">
        <v>124</v>
      </c>
      <c r="AS47" t="s">
        <v>124</v>
      </c>
      <c r="AT47" t="s">
        <v>124</v>
      </c>
      <c r="AU47" t="s">
        <v>124</v>
      </c>
      <c r="AV47" t="s">
        <v>124</v>
      </c>
      <c r="AW47" t="s">
        <v>124</v>
      </c>
      <c r="AX47" t="s">
        <v>124</v>
      </c>
      <c r="AY47" t="s">
        <v>124</v>
      </c>
      <c r="AZ47" t="s">
        <v>124</v>
      </c>
      <c r="BA47" t="s">
        <v>124</v>
      </c>
      <c r="BB47" t="s">
        <v>124</v>
      </c>
      <c r="BC47" t="s">
        <v>124</v>
      </c>
      <c r="BD47" t="s">
        <v>124</v>
      </c>
      <c r="BE47" t="s">
        <v>124</v>
      </c>
      <c r="BF47" t="s">
        <v>124</v>
      </c>
      <c r="BG47" t="s">
        <v>124</v>
      </c>
      <c r="BH47" t="s">
        <v>124</v>
      </c>
      <c r="BI47" t="s">
        <v>124</v>
      </c>
      <c r="BJ47" t="s">
        <v>124</v>
      </c>
      <c r="BK47" t="s">
        <v>124</v>
      </c>
      <c r="BL47" t="s">
        <v>124</v>
      </c>
      <c r="BM47" t="s">
        <v>124</v>
      </c>
      <c r="BN47" t="s">
        <v>124</v>
      </c>
      <c r="BO47" t="s">
        <v>124</v>
      </c>
      <c r="BP47" t="s">
        <v>124</v>
      </c>
      <c r="BQ47" t="s">
        <v>124</v>
      </c>
      <c r="BR47" t="s">
        <v>124</v>
      </c>
      <c r="BS47" t="s">
        <v>124</v>
      </c>
      <c r="BT47" t="s">
        <v>124</v>
      </c>
      <c r="BU47" t="s">
        <v>124</v>
      </c>
      <c r="BV47" t="s">
        <v>124</v>
      </c>
      <c r="BW47" t="s">
        <v>124</v>
      </c>
      <c r="BX47" t="s">
        <v>124</v>
      </c>
      <c r="BY47" t="s">
        <v>124</v>
      </c>
      <c r="BZ47" t="s">
        <v>124</v>
      </c>
      <c r="CA47" t="s">
        <v>124</v>
      </c>
      <c r="CB47" t="s">
        <v>124</v>
      </c>
      <c r="CC47" t="s">
        <v>124</v>
      </c>
      <c r="CD47" t="s">
        <v>124</v>
      </c>
      <c r="CE47" t="s">
        <v>124</v>
      </c>
      <c r="CF47" t="s">
        <v>124</v>
      </c>
      <c r="CG47" t="s">
        <v>124</v>
      </c>
      <c r="CH47" t="s">
        <v>124</v>
      </c>
      <c r="CI47" t="s">
        <v>124</v>
      </c>
      <c r="CJ47" t="s">
        <v>124</v>
      </c>
      <c r="CK47" t="s">
        <v>124</v>
      </c>
      <c r="CL47" t="s">
        <v>124</v>
      </c>
      <c r="CM47" t="s">
        <v>124</v>
      </c>
      <c r="CN47" t="s">
        <v>124</v>
      </c>
      <c r="CO47" t="s">
        <v>124</v>
      </c>
      <c r="CP47" t="s">
        <v>124</v>
      </c>
      <c r="CQ47" t="s">
        <v>124</v>
      </c>
      <c r="CR47" t="s">
        <v>124</v>
      </c>
      <c r="CS47" t="s">
        <v>124</v>
      </c>
      <c r="CT47" t="s">
        <v>3779</v>
      </c>
      <c r="CU47" t="s">
        <v>3780</v>
      </c>
      <c r="CV47" t="s">
        <v>429</v>
      </c>
      <c r="CW47" t="s">
        <v>3781</v>
      </c>
      <c r="CX47" t="s">
        <v>430</v>
      </c>
      <c r="CY47" t="s">
        <v>429</v>
      </c>
      <c r="CZ47" t="s">
        <v>431</v>
      </c>
      <c r="DA47" t="s">
        <v>432</v>
      </c>
      <c r="DB47" t="s">
        <v>3782</v>
      </c>
      <c r="DC47" t="s">
        <v>362</v>
      </c>
      <c r="DD47" t="s">
        <v>278</v>
      </c>
      <c r="DE47" t="s">
        <v>467</v>
      </c>
    </row>
    <row r="48" spans="1:109" ht="11.25" customHeight="1">
      <c r="A48" s="4" t="s">
        <v>124</v>
      </c>
      <c r="B48" t="s">
        <v>124</v>
      </c>
      <c r="C48" t="s">
        <v>124</v>
      </c>
      <c r="D48" t="s">
        <v>124</v>
      </c>
      <c r="E48" t="s">
        <v>124</v>
      </c>
      <c r="F48" t="s">
        <v>124</v>
      </c>
      <c r="G48" t="s">
        <v>124</v>
      </c>
      <c r="H48" t="s">
        <v>124</v>
      </c>
      <c r="I48" t="s">
        <v>3764</v>
      </c>
      <c r="J48" t="s">
        <v>124</v>
      </c>
      <c r="K48" t="s">
        <v>124</v>
      </c>
      <c r="L48" t="s">
        <v>124</v>
      </c>
      <c r="M48" t="s">
        <v>124</v>
      </c>
      <c r="N48" t="s">
        <v>124</v>
      </c>
      <c r="O48" t="s">
        <v>124</v>
      </c>
      <c r="P48" t="s">
        <v>124</v>
      </c>
      <c r="Q48" t="s">
        <v>124</v>
      </c>
      <c r="R48" t="s">
        <v>449</v>
      </c>
      <c r="S48" t="s">
        <v>124</v>
      </c>
      <c r="T48" t="s">
        <v>124</v>
      </c>
      <c r="U48" t="s">
        <v>101</v>
      </c>
      <c r="V48" t="s">
        <v>124</v>
      </c>
      <c r="W48" t="s">
        <v>124</v>
      </c>
      <c r="X48" t="s">
        <v>3913</v>
      </c>
      <c r="Y48" t="s">
        <v>124</v>
      </c>
      <c r="Z48" t="s">
        <v>150</v>
      </c>
      <c r="AA48" t="s">
        <v>215</v>
      </c>
      <c r="AB48" t="s">
        <v>215</v>
      </c>
      <c r="AC48" t="s">
        <v>341</v>
      </c>
      <c r="AD48" t="s">
        <v>341</v>
      </c>
      <c r="AE48" t="s">
        <v>342</v>
      </c>
      <c r="AF48" t="s">
        <v>3766</v>
      </c>
      <c r="AG48" t="s">
        <v>3767</v>
      </c>
      <c r="AH48" t="s">
        <v>362</v>
      </c>
      <c r="AI48" t="s">
        <v>362</v>
      </c>
      <c r="AJ48" t="s">
        <v>3851</v>
      </c>
      <c r="AK48" t="s">
        <v>3914</v>
      </c>
      <c r="AL48" t="s">
        <v>3950</v>
      </c>
      <c r="AM48" t="s">
        <v>3916</v>
      </c>
      <c r="AN48" t="s">
        <v>3778</v>
      </c>
      <c r="AO48" t="s">
        <v>3983</v>
      </c>
      <c r="AP48" t="s">
        <v>124</v>
      </c>
      <c r="AQ48" t="s">
        <v>124</v>
      </c>
      <c r="AR48" t="s">
        <v>124</v>
      </c>
      <c r="AS48" t="s">
        <v>124</v>
      </c>
      <c r="AT48" t="s">
        <v>124</v>
      </c>
      <c r="AU48" t="s">
        <v>124</v>
      </c>
      <c r="AV48" t="s">
        <v>124</v>
      </c>
      <c r="AW48" t="s">
        <v>124</v>
      </c>
      <c r="AX48" t="s">
        <v>124</v>
      </c>
      <c r="AY48" t="s">
        <v>124</v>
      </c>
      <c r="AZ48" t="s">
        <v>124</v>
      </c>
      <c r="BA48" t="s">
        <v>124</v>
      </c>
      <c r="BB48" t="s">
        <v>124</v>
      </c>
      <c r="BC48" t="s">
        <v>124</v>
      </c>
      <c r="BD48" t="s">
        <v>124</v>
      </c>
      <c r="BE48" t="s">
        <v>124</v>
      </c>
      <c r="BF48" t="s">
        <v>124</v>
      </c>
      <c r="BG48" t="s">
        <v>124</v>
      </c>
      <c r="BH48" t="s">
        <v>124</v>
      </c>
      <c r="BI48" t="s">
        <v>124</v>
      </c>
      <c r="BJ48" t="s">
        <v>124</v>
      </c>
      <c r="BK48" t="s">
        <v>124</v>
      </c>
      <c r="BL48" t="s">
        <v>124</v>
      </c>
      <c r="BM48" t="s">
        <v>124</v>
      </c>
      <c r="BN48" t="s">
        <v>124</v>
      </c>
      <c r="BO48" t="s">
        <v>124</v>
      </c>
      <c r="BP48" t="s">
        <v>124</v>
      </c>
      <c r="BQ48" t="s">
        <v>124</v>
      </c>
      <c r="BR48" t="s">
        <v>124</v>
      </c>
      <c r="BS48" t="s">
        <v>124</v>
      </c>
      <c r="BT48" t="s">
        <v>124</v>
      </c>
      <c r="BU48" t="s">
        <v>124</v>
      </c>
      <c r="BV48" t="s">
        <v>124</v>
      </c>
      <c r="BW48" t="s">
        <v>124</v>
      </c>
      <c r="BX48" t="s">
        <v>124</v>
      </c>
      <c r="BY48" t="s">
        <v>124</v>
      </c>
      <c r="BZ48" t="s">
        <v>124</v>
      </c>
      <c r="CA48" t="s">
        <v>124</v>
      </c>
      <c r="CB48" t="s">
        <v>124</v>
      </c>
      <c r="CC48" t="s">
        <v>124</v>
      </c>
      <c r="CD48" t="s">
        <v>124</v>
      </c>
      <c r="CE48" t="s">
        <v>124</v>
      </c>
      <c r="CF48" t="s">
        <v>124</v>
      </c>
      <c r="CG48" t="s">
        <v>124</v>
      </c>
      <c r="CH48" t="s">
        <v>124</v>
      </c>
      <c r="CI48" t="s">
        <v>124</v>
      </c>
      <c r="CJ48" t="s">
        <v>124</v>
      </c>
      <c r="CK48" t="s">
        <v>124</v>
      </c>
      <c r="CL48" t="s">
        <v>124</v>
      </c>
      <c r="CM48" t="s">
        <v>124</v>
      </c>
      <c r="CN48" t="s">
        <v>124</v>
      </c>
      <c r="CO48" t="s">
        <v>124</v>
      </c>
      <c r="CP48" t="s">
        <v>124</v>
      </c>
      <c r="CQ48" t="s">
        <v>124</v>
      </c>
      <c r="CR48" t="s">
        <v>124</v>
      </c>
      <c r="CS48" t="s">
        <v>124</v>
      </c>
      <c r="CT48" t="s">
        <v>3779</v>
      </c>
      <c r="CU48" t="s">
        <v>3780</v>
      </c>
      <c r="CV48" t="s">
        <v>429</v>
      </c>
      <c r="CW48" t="s">
        <v>3781</v>
      </c>
      <c r="CX48" t="s">
        <v>430</v>
      </c>
      <c r="CY48" t="s">
        <v>429</v>
      </c>
      <c r="CZ48" t="s">
        <v>431</v>
      </c>
      <c r="DA48" t="s">
        <v>432</v>
      </c>
      <c r="DB48" t="s">
        <v>3782</v>
      </c>
      <c r="DC48" t="s">
        <v>362</v>
      </c>
      <c r="DD48" t="s">
        <v>278</v>
      </c>
      <c r="DE48" t="s">
        <v>428</v>
      </c>
    </row>
    <row r="49" spans="1:109" ht="11.25" customHeight="1">
      <c r="A49" s="4" t="s">
        <v>124</v>
      </c>
      <c r="B49" t="s">
        <v>124</v>
      </c>
      <c r="C49" t="s">
        <v>124</v>
      </c>
      <c r="D49" t="s">
        <v>124</v>
      </c>
      <c r="E49" t="s">
        <v>124</v>
      </c>
      <c r="F49" t="s">
        <v>124</v>
      </c>
      <c r="G49" t="s">
        <v>124</v>
      </c>
      <c r="H49" t="s">
        <v>124</v>
      </c>
      <c r="I49" t="s">
        <v>3764</v>
      </c>
      <c r="J49" t="s">
        <v>124</v>
      </c>
      <c r="K49" t="s">
        <v>124</v>
      </c>
      <c r="L49" t="s">
        <v>124</v>
      </c>
      <c r="M49" t="s">
        <v>124</v>
      </c>
      <c r="N49" t="s">
        <v>124</v>
      </c>
      <c r="O49" t="s">
        <v>124</v>
      </c>
      <c r="P49" t="s">
        <v>124</v>
      </c>
      <c r="Q49" t="s">
        <v>124</v>
      </c>
      <c r="R49" t="s">
        <v>458</v>
      </c>
      <c r="S49" t="s">
        <v>124</v>
      </c>
      <c r="T49" t="s">
        <v>124</v>
      </c>
      <c r="U49" t="s">
        <v>101</v>
      </c>
      <c r="V49" t="s">
        <v>124</v>
      </c>
      <c r="W49" t="s">
        <v>124</v>
      </c>
      <c r="X49" t="s">
        <v>3913</v>
      </c>
      <c r="Y49" t="s">
        <v>124</v>
      </c>
      <c r="Z49" t="s">
        <v>150</v>
      </c>
      <c r="AA49" t="s">
        <v>215</v>
      </c>
      <c r="AB49" t="s">
        <v>215</v>
      </c>
      <c r="AC49" t="s">
        <v>341</v>
      </c>
      <c r="AD49" t="s">
        <v>341</v>
      </c>
      <c r="AE49" t="s">
        <v>342</v>
      </c>
      <c r="AF49" t="s">
        <v>3766</v>
      </c>
      <c r="AG49" t="s">
        <v>3767</v>
      </c>
      <c r="AH49" t="s">
        <v>3984</v>
      </c>
      <c r="AI49" t="s">
        <v>362</v>
      </c>
      <c r="AJ49" t="s">
        <v>3979</v>
      </c>
      <c r="AK49" t="s">
        <v>3979</v>
      </c>
      <c r="AL49" t="s">
        <v>3950</v>
      </c>
      <c r="AM49" t="s">
        <v>3916</v>
      </c>
      <c r="AN49" t="s">
        <v>3778</v>
      </c>
      <c r="AO49" t="s">
        <v>3985</v>
      </c>
      <c r="AP49" t="s">
        <v>124</v>
      </c>
      <c r="AQ49" t="s">
        <v>124</v>
      </c>
      <c r="AR49" t="s">
        <v>124</v>
      </c>
      <c r="AS49" t="s">
        <v>124</v>
      </c>
      <c r="AT49" t="s">
        <v>124</v>
      </c>
      <c r="AU49" t="s">
        <v>124</v>
      </c>
      <c r="AV49" t="s">
        <v>124</v>
      </c>
      <c r="AW49" t="s">
        <v>124</v>
      </c>
      <c r="AX49" t="s">
        <v>124</v>
      </c>
      <c r="AY49" t="s">
        <v>124</v>
      </c>
      <c r="AZ49" t="s">
        <v>124</v>
      </c>
      <c r="BA49" t="s">
        <v>124</v>
      </c>
      <c r="BB49" t="s">
        <v>124</v>
      </c>
      <c r="BC49" t="s">
        <v>124</v>
      </c>
      <c r="BD49" t="s">
        <v>124</v>
      </c>
      <c r="BE49" t="s">
        <v>124</v>
      </c>
      <c r="BF49" t="s">
        <v>124</v>
      </c>
      <c r="BG49" t="s">
        <v>124</v>
      </c>
      <c r="BH49" t="s">
        <v>124</v>
      </c>
      <c r="BI49" t="s">
        <v>124</v>
      </c>
      <c r="BJ49" t="s">
        <v>124</v>
      </c>
      <c r="BK49" t="s">
        <v>124</v>
      </c>
      <c r="BL49" t="s">
        <v>124</v>
      </c>
      <c r="BM49" t="s">
        <v>124</v>
      </c>
      <c r="BN49" t="s">
        <v>124</v>
      </c>
      <c r="BO49" t="s">
        <v>124</v>
      </c>
      <c r="BP49" t="s">
        <v>124</v>
      </c>
      <c r="BQ49" t="s">
        <v>124</v>
      </c>
      <c r="BR49" t="s">
        <v>124</v>
      </c>
      <c r="BS49" t="s">
        <v>124</v>
      </c>
      <c r="BT49" t="s">
        <v>124</v>
      </c>
      <c r="BU49" t="s">
        <v>124</v>
      </c>
      <c r="BV49" t="s">
        <v>124</v>
      </c>
      <c r="BW49" t="s">
        <v>124</v>
      </c>
      <c r="BX49" t="s">
        <v>124</v>
      </c>
      <c r="BY49" t="s">
        <v>124</v>
      </c>
      <c r="BZ49" t="s">
        <v>124</v>
      </c>
      <c r="CA49" t="s">
        <v>124</v>
      </c>
      <c r="CB49" t="s">
        <v>124</v>
      </c>
      <c r="CC49" t="s">
        <v>124</v>
      </c>
      <c r="CD49" t="s">
        <v>124</v>
      </c>
      <c r="CE49" t="s">
        <v>124</v>
      </c>
      <c r="CF49" t="s">
        <v>124</v>
      </c>
      <c r="CG49" t="s">
        <v>124</v>
      </c>
      <c r="CH49" t="s">
        <v>124</v>
      </c>
      <c r="CI49" t="s">
        <v>124</v>
      </c>
      <c r="CJ49" t="s">
        <v>124</v>
      </c>
      <c r="CK49" t="s">
        <v>124</v>
      </c>
      <c r="CL49" t="s">
        <v>124</v>
      </c>
      <c r="CM49" t="s">
        <v>124</v>
      </c>
      <c r="CN49" t="s">
        <v>124</v>
      </c>
      <c r="CO49" t="s">
        <v>124</v>
      </c>
      <c r="CP49" t="s">
        <v>124</v>
      </c>
      <c r="CQ49" t="s">
        <v>124</v>
      </c>
      <c r="CR49" t="s">
        <v>124</v>
      </c>
      <c r="CS49" t="s">
        <v>124</v>
      </c>
      <c r="CT49" t="s">
        <v>3779</v>
      </c>
      <c r="CU49" t="s">
        <v>3780</v>
      </c>
      <c r="CV49" t="s">
        <v>429</v>
      </c>
      <c r="CW49" t="s">
        <v>3781</v>
      </c>
      <c r="CX49" t="s">
        <v>430</v>
      </c>
      <c r="CY49" t="s">
        <v>429</v>
      </c>
      <c r="CZ49" t="s">
        <v>431</v>
      </c>
      <c r="DA49" t="s">
        <v>432</v>
      </c>
      <c r="DB49" t="s">
        <v>3782</v>
      </c>
      <c r="DC49" t="s">
        <v>362</v>
      </c>
      <c r="DD49" t="s">
        <v>278</v>
      </c>
      <c r="DE49" t="s">
        <v>459</v>
      </c>
    </row>
    <row r="50" spans="1:109" ht="11.25" customHeight="1">
      <c r="A50" s="4" t="s">
        <v>124</v>
      </c>
      <c r="B50" t="s">
        <v>124</v>
      </c>
      <c r="C50" t="s">
        <v>124</v>
      </c>
      <c r="D50" t="s">
        <v>124</v>
      </c>
      <c r="E50" t="s">
        <v>124</v>
      </c>
      <c r="F50" t="s">
        <v>124</v>
      </c>
      <c r="G50" t="s">
        <v>124</v>
      </c>
      <c r="H50" t="s">
        <v>124</v>
      </c>
      <c r="I50" t="s">
        <v>3764</v>
      </c>
      <c r="J50" t="s">
        <v>124</v>
      </c>
      <c r="K50" t="s">
        <v>124</v>
      </c>
      <c r="L50" t="s">
        <v>124</v>
      </c>
      <c r="M50" t="s">
        <v>124</v>
      </c>
      <c r="N50" t="s">
        <v>124</v>
      </c>
      <c r="O50" t="s">
        <v>124</v>
      </c>
      <c r="P50" t="s">
        <v>124</v>
      </c>
      <c r="Q50" t="s">
        <v>124</v>
      </c>
      <c r="R50" t="s">
        <v>451</v>
      </c>
      <c r="S50" t="s">
        <v>124</v>
      </c>
      <c r="T50" t="s">
        <v>124</v>
      </c>
      <c r="U50" t="s">
        <v>101</v>
      </c>
      <c r="V50" t="s">
        <v>124</v>
      </c>
      <c r="W50" t="s">
        <v>124</v>
      </c>
      <c r="X50" t="s">
        <v>3765</v>
      </c>
      <c r="Y50" t="s">
        <v>124</v>
      </c>
      <c r="Z50" t="s">
        <v>215</v>
      </c>
      <c r="AA50" t="s">
        <v>215</v>
      </c>
      <c r="AB50" t="s">
        <v>150</v>
      </c>
      <c r="AC50" t="s">
        <v>341</v>
      </c>
      <c r="AD50" t="s">
        <v>341</v>
      </c>
      <c r="AE50" t="s">
        <v>342</v>
      </c>
      <c r="AF50" t="s">
        <v>3766</v>
      </c>
      <c r="AG50" t="s">
        <v>3767</v>
      </c>
      <c r="AH50" t="s">
        <v>362</v>
      </c>
      <c r="AI50" t="s">
        <v>362</v>
      </c>
      <c r="AJ50" t="s">
        <v>124</v>
      </c>
      <c r="AK50" t="s">
        <v>124</v>
      </c>
      <c r="AL50" t="s">
        <v>124</v>
      </c>
      <c r="AM50" t="s">
        <v>124</v>
      </c>
      <c r="AN50" t="s">
        <v>124</v>
      </c>
      <c r="AO50" t="s">
        <v>124</v>
      </c>
      <c r="AP50" t="s">
        <v>124</v>
      </c>
      <c r="AQ50" t="s">
        <v>124</v>
      </c>
      <c r="AR50" t="s">
        <v>124</v>
      </c>
      <c r="AS50" t="s">
        <v>124</v>
      </c>
      <c r="AT50" t="s">
        <v>124</v>
      </c>
      <c r="AU50" t="s">
        <v>124</v>
      </c>
      <c r="AV50" t="s">
        <v>124</v>
      </c>
      <c r="AW50" t="s">
        <v>124</v>
      </c>
      <c r="AX50" t="s">
        <v>124</v>
      </c>
      <c r="AY50" t="s">
        <v>124</v>
      </c>
      <c r="AZ50" t="s">
        <v>124</v>
      </c>
      <c r="BA50" t="s">
        <v>124</v>
      </c>
      <c r="BB50" t="s">
        <v>124</v>
      </c>
      <c r="BC50" t="s">
        <v>124</v>
      </c>
      <c r="BD50" t="s">
        <v>124</v>
      </c>
      <c r="BE50" t="s">
        <v>3986</v>
      </c>
      <c r="BF50" t="s">
        <v>3987</v>
      </c>
      <c r="BG50" t="s">
        <v>111</v>
      </c>
      <c r="BH50" t="s">
        <v>3770</v>
      </c>
      <c r="BI50" t="s">
        <v>122</v>
      </c>
      <c r="BJ50" t="s">
        <v>124</v>
      </c>
      <c r="BK50" t="s">
        <v>3853</v>
      </c>
      <c r="BL50" t="s">
        <v>341</v>
      </c>
      <c r="BM50" t="s">
        <v>341</v>
      </c>
      <c r="BN50" t="s">
        <v>3772</v>
      </c>
      <c r="BO50" t="s">
        <v>3766</v>
      </c>
      <c r="BP50" t="s">
        <v>3773</v>
      </c>
      <c r="BQ50" t="s">
        <v>362</v>
      </c>
      <c r="BR50" t="s">
        <v>362</v>
      </c>
      <c r="BS50" t="s">
        <v>124</v>
      </c>
      <c r="BT50" t="s">
        <v>3775</v>
      </c>
      <c r="BU50" t="s">
        <v>3988</v>
      </c>
      <c r="BV50" t="s">
        <v>3989</v>
      </c>
      <c r="BW50" t="s">
        <v>3990</v>
      </c>
      <c r="BX50" t="s">
        <v>3777</v>
      </c>
      <c r="BY50" t="s">
        <v>3777</v>
      </c>
      <c r="BZ50" t="s">
        <v>3777</v>
      </c>
      <c r="CA50" t="s">
        <v>3777</v>
      </c>
      <c r="CB50" t="s">
        <v>124</v>
      </c>
      <c r="CC50" t="s">
        <v>124</v>
      </c>
      <c r="CD50" t="s">
        <v>124</v>
      </c>
      <c r="CE50" t="s">
        <v>124</v>
      </c>
      <c r="CF50" t="s">
        <v>124</v>
      </c>
      <c r="CG50" t="s">
        <v>3777</v>
      </c>
      <c r="CH50" t="s">
        <v>124</v>
      </c>
      <c r="CI50" t="s">
        <v>124</v>
      </c>
      <c r="CJ50" t="s">
        <v>124</v>
      </c>
      <c r="CK50" t="s">
        <v>124</v>
      </c>
      <c r="CL50" t="s">
        <v>124</v>
      </c>
      <c r="CM50" t="s">
        <v>3988</v>
      </c>
      <c r="CN50" t="s">
        <v>3989</v>
      </c>
      <c r="CO50" t="s">
        <v>3990</v>
      </c>
      <c r="CP50" t="s">
        <v>124</v>
      </c>
      <c r="CQ50" t="s">
        <v>124</v>
      </c>
      <c r="CR50" t="s">
        <v>124</v>
      </c>
      <c r="CS50" t="s">
        <v>3778</v>
      </c>
      <c r="CT50" t="s">
        <v>3779</v>
      </c>
      <c r="CU50" t="s">
        <v>3780</v>
      </c>
      <c r="CV50" t="s">
        <v>429</v>
      </c>
      <c r="CW50" t="s">
        <v>3781</v>
      </c>
      <c r="CX50" t="s">
        <v>430</v>
      </c>
      <c r="CY50" t="s">
        <v>429</v>
      </c>
      <c r="CZ50" t="s">
        <v>431</v>
      </c>
      <c r="DA50" t="s">
        <v>432</v>
      </c>
      <c r="DB50" t="s">
        <v>3782</v>
      </c>
      <c r="DC50" t="s">
        <v>362</v>
      </c>
      <c r="DD50" t="s">
        <v>278</v>
      </c>
      <c r="DE50" t="s">
        <v>428</v>
      </c>
    </row>
    <row r="51" spans="1:109" ht="11.25" customHeight="1">
      <c r="A51" s="4" t="s">
        <v>124</v>
      </c>
      <c r="B51" t="s">
        <v>124</v>
      </c>
      <c r="C51" t="s">
        <v>124</v>
      </c>
      <c r="D51" t="s">
        <v>124</v>
      </c>
      <c r="E51" t="s">
        <v>124</v>
      </c>
      <c r="F51" t="s">
        <v>124</v>
      </c>
      <c r="G51" t="s">
        <v>124</v>
      </c>
      <c r="H51" t="s">
        <v>124</v>
      </c>
      <c r="I51" t="s">
        <v>3764</v>
      </c>
      <c r="J51" t="s">
        <v>124</v>
      </c>
      <c r="K51" t="s">
        <v>124</v>
      </c>
      <c r="L51" t="s">
        <v>124</v>
      </c>
      <c r="M51" t="s">
        <v>124</v>
      </c>
      <c r="N51" t="s">
        <v>124</v>
      </c>
      <c r="O51" t="s">
        <v>124</v>
      </c>
      <c r="P51" t="s">
        <v>124</v>
      </c>
      <c r="Q51" t="s">
        <v>124</v>
      </c>
      <c r="R51" t="s">
        <v>453</v>
      </c>
      <c r="S51" t="s">
        <v>124</v>
      </c>
      <c r="T51" t="s">
        <v>124</v>
      </c>
      <c r="U51" t="s">
        <v>101</v>
      </c>
      <c r="V51" t="s">
        <v>124</v>
      </c>
      <c r="W51" t="s">
        <v>124</v>
      </c>
      <c r="X51" t="s">
        <v>3765</v>
      </c>
      <c r="Y51" t="s">
        <v>124</v>
      </c>
      <c r="Z51" t="s">
        <v>215</v>
      </c>
      <c r="AA51" t="s">
        <v>215</v>
      </c>
      <c r="AB51" t="s">
        <v>150</v>
      </c>
      <c r="AC51" t="s">
        <v>341</v>
      </c>
      <c r="AD51" t="s">
        <v>341</v>
      </c>
      <c r="AE51" t="s">
        <v>342</v>
      </c>
      <c r="AF51" t="s">
        <v>3766</v>
      </c>
      <c r="AG51" t="s">
        <v>3767</v>
      </c>
      <c r="AH51" t="s">
        <v>362</v>
      </c>
      <c r="AI51" t="s">
        <v>362</v>
      </c>
      <c r="AJ51" t="s">
        <v>124</v>
      </c>
      <c r="AK51" t="s">
        <v>124</v>
      </c>
      <c r="AL51" t="s">
        <v>124</v>
      </c>
      <c r="AM51" t="s">
        <v>124</v>
      </c>
      <c r="AN51" t="s">
        <v>124</v>
      </c>
      <c r="AO51" t="s">
        <v>124</v>
      </c>
      <c r="AP51" t="s">
        <v>124</v>
      </c>
      <c r="AQ51" t="s">
        <v>124</v>
      </c>
      <c r="AR51" t="s">
        <v>124</v>
      </c>
      <c r="AS51" t="s">
        <v>124</v>
      </c>
      <c r="AT51" t="s">
        <v>124</v>
      </c>
      <c r="AU51" t="s">
        <v>124</v>
      </c>
      <c r="AV51" t="s">
        <v>124</v>
      </c>
      <c r="AW51" t="s">
        <v>124</v>
      </c>
      <c r="AX51" t="s">
        <v>124</v>
      </c>
      <c r="AY51" t="s">
        <v>124</v>
      </c>
      <c r="AZ51" t="s">
        <v>124</v>
      </c>
      <c r="BA51" t="s">
        <v>124</v>
      </c>
      <c r="BB51" t="s">
        <v>124</v>
      </c>
      <c r="BC51" t="s">
        <v>124</v>
      </c>
      <c r="BD51" t="s">
        <v>124</v>
      </c>
      <c r="BE51" t="s">
        <v>3868</v>
      </c>
      <c r="BF51" t="s">
        <v>3991</v>
      </c>
      <c r="BG51" t="s">
        <v>111</v>
      </c>
      <c r="BH51" t="s">
        <v>3770</v>
      </c>
      <c r="BI51" t="s">
        <v>122</v>
      </c>
      <c r="BJ51" t="s">
        <v>124</v>
      </c>
      <c r="BK51" t="s">
        <v>3771</v>
      </c>
      <c r="BL51" t="s">
        <v>341</v>
      </c>
      <c r="BM51" t="s">
        <v>341</v>
      </c>
      <c r="BN51" t="s">
        <v>3772</v>
      </c>
      <c r="BO51" t="s">
        <v>3766</v>
      </c>
      <c r="BP51" t="s">
        <v>3773</v>
      </c>
      <c r="BQ51" t="s">
        <v>3774</v>
      </c>
      <c r="BR51" t="s">
        <v>319</v>
      </c>
      <c r="BS51" t="s">
        <v>124</v>
      </c>
      <c r="BT51" t="s">
        <v>3775</v>
      </c>
      <c r="BU51" t="s">
        <v>3992</v>
      </c>
      <c r="BV51" t="s">
        <v>3777</v>
      </c>
      <c r="BW51" t="s">
        <v>3992</v>
      </c>
      <c r="BX51" t="s">
        <v>3777</v>
      </c>
      <c r="BY51" t="s">
        <v>3777</v>
      </c>
      <c r="BZ51" t="s">
        <v>3777</v>
      </c>
      <c r="CA51" t="s">
        <v>3777</v>
      </c>
      <c r="CB51" t="s">
        <v>124</v>
      </c>
      <c r="CC51" t="s">
        <v>124</v>
      </c>
      <c r="CD51" t="s">
        <v>124</v>
      </c>
      <c r="CE51" t="s">
        <v>124</v>
      </c>
      <c r="CF51" t="s">
        <v>124</v>
      </c>
      <c r="CG51" t="s">
        <v>3777</v>
      </c>
      <c r="CH51" t="s">
        <v>124</v>
      </c>
      <c r="CI51" t="s">
        <v>124</v>
      </c>
      <c r="CJ51" t="s">
        <v>124</v>
      </c>
      <c r="CK51" t="s">
        <v>124</v>
      </c>
      <c r="CL51" t="s">
        <v>124</v>
      </c>
      <c r="CM51" t="s">
        <v>3992</v>
      </c>
      <c r="CN51" t="s">
        <v>124</v>
      </c>
      <c r="CO51" t="s">
        <v>3992</v>
      </c>
      <c r="CP51" t="s">
        <v>124</v>
      </c>
      <c r="CQ51" t="s">
        <v>124</v>
      </c>
      <c r="CR51" t="s">
        <v>124</v>
      </c>
      <c r="CS51" t="s">
        <v>3778</v>
      </c>
      <c r="CT51" t="s">
        <v>3779</v>
      </c>
      <c r="CU51" t="s">
        <v>3780</v>
      </c>
      <c r="CV51" t="s">
        <v>429</v>
      </c>
      <c r="CW51" t="s">
        <v>3781</v>
      </c>
      <c r="CX51" t="s">
        <v>430</v>
      </c>
      <c r="CY51" t="s">
        <v>429</v>
      </c>
      <c r="CZ51" t="s">
        <v>431</v>
      </c>
      <c r="DA51" t="s">
        <v>432</v>
      </c>
      <c r="DB51" t="s">
        <v>3782</v>
      </c>
      <c r="DC51" t="s">
        <v>362</v>
      </c>
      <c r="DD51" t="s">
        <v>278</v>
      </c>
      <c r="DE51" t="s">
        <v>428</v>
      </c>
    </row>
    <row r="52" spans="1:109" ht="11.25" customHeight="1">
      <c r="A52" s="4" t="s">
        <v>124</v>
      </c>
      <c r="B52" t="s">
        <v>124</v>
      </c>
      <c r="C52" t="s">
        <v>124</v>
      </c>
      <c r="D52" t="s">
        <v>124</v>
      </c>
      <c r="E52" t="s">
        <v>124</v>
      </c>
      <c r="F52" t="s">
        <v>124</v>
      </c>
      <c r="G52" t="s">
        <v>124</v>
      </c>
      <c r="H52" t="s">
        <v>124</v>
      </c>
      <c r="I52" t="s">
        <v>3764</v>
      </c>
      <c r="J52" t="s">
        <v>124</v>
      </c>
      <c r="K52" t="s">
        <v>124</v>
      </c>
      <c r="L52" t="s">
        <v>124</v>
      </c>
      <c r="M52" t="s">
        <v>124</v>
      </c>
      <c r="N52" t="s">
        <v>124</v>
      </c>
      <c r="O52" t="s">
        <v>124</v>
      </c>
      <c r="P52" t="s">
        <v>124</v>
      </c>
      <c r="Q52" t="s">
        <v>124</v>
      </c>
      <c r="R52" t="s">
        <v>455</v>
      </c>
      <c r="S52" t="s">
        <v>124</v>
      </c>
      <c r="T52" t="s">
        <v>124</v>
      </c>
      <c r="U52" t="s">
        <v>101</v>
      </c>
      <c r="V52" t="s">
        <v>124</v>
      </c>
      <c r="W52" t="s">
        <v>124</v>
      </c>
      <c r="X52" t="s">
        <v>3765</v>
      </c>
      <c r="Y52" t="s">
        <v>124</v>
      </c>
      <c r="Z52" t="s">
        <v>215</v>
      </c>
      <c r="AA52" t="s">
        <v>215</v>
      </c>
      <c r="AB52" t="s">
        <v>150</v>
      </c>
      <c r="AC52" t="s">
        <v>341</v>
      </c>
      <c r="AD52" t="s">
        <v>341</v>
      </c>
      <c r="AE52" t="s">
        <v>342</v>
      </c>
      <c r="AF52" t="s">
        <v>3766</v>
      </c>
      <c r="AG52" t="s">
        <v>3767</v>
      </c>
      <c r="AH52" t="s">
        <v>362</v>
      </c>
      <c r="AI52" t="s">
        <v>362</v>
      </c>
      <c r="AJ52" t="s">
        <v>124</v>
      </c>
      <c r="AK52" t="s">
        <v>124</v>
      </c>
      <c r="AL52" t="s">
        <v>124</v>
      </c>
      <c r="AM52" t="s">
        <v>124</v>
      </c>
      <c r="AN52" t="s">
        <v>124</v>
      </c>
      <c r="AO52" t="s">
        <v>124</v>
      </c>
      <c r="AP52" t="s">
        <v>124</v>
      </c>
      <c r="AQ52" t="s">
        <v>124</v>
      </c>
      <c r="AR52" t="s">
        <v>124</v>
      </c>
      <c r="AS52" t="s">
        <v>124</v>
      </c>
      <c r="AT52" t="s">
        <v>124</v>
      </c>
      <c r="AU52" t="s">
        <v>124</v>
      </c>
      <c r="AV52" t="s">
        <v>124</v>
      </c>
      <c r="AW52" t="s">
        <v>124</v>
      </c>
      <c r="AX52" t="s">
        <v>124</v>
      </c>
      <c r="AY52" t="s">
        <v>124</v>
      </c>
      <c r="AZ52" t="s">
        <v>124</v>
      </c>
      <c r="BA52" t="s">
        <v>124</v>
      </c>
      <c r="BB52" t="s">
        <v>124</v>
      </c>
      <c r="BC52" t="s">
        <v>124</v>
      </c>
      <c r="BD52" t="s">
        <v>124</v>
      </c>
      <c r="BE52" t="s">
        <v>3993</v>
      </c>
      <c r="BF52" t="s">
        <v>3843</v>
      </c>
      <c r="BG52" t="s">
        <v>111</v>
      </c>
      <c r="BH52" t="s">
        <v>3770</v>
      </c>
      <c r="BI52" t="s">
        <v>122</v>
      </c>
      <c r="BJ52" t="s">
        <v>124</v>
      </c>
      <c r="BK52" t="s">
        <v>3908</v>
      </c>
      <c r="BL52" t="s">
        <v>341</v>
      </c>
      <c r="BM52" t="s">
        <v>341</v>
      </c>
      <c r="BN52" t="s">
        <v>3772</v>
      </c>
      <c r="BO52" t="s">
        <v>3766</v>
      </c>
      <c r="BP52" t="s">
        <v>3773</v>
      </c>
      <c r="BQ52" t="s">
        <v>362</v>
      </c>
      <c r="BR52" t="s">
        <v>362</v>
      </c>
      <c r="BS52" t="s">
        <v>124</v>
      </c>
      <c r="BT52" t="s">
        <v>3892</v>
      </c>
      <c r="BU52" t="s">
        <v>3994</v>
      </c>
      <c r="BV52" t="s">
        <v>3777</v>
      </c>
      <c r="BW52" t="s">
        <v>3994</v>
      </c>
      <c r="BX52" t="s">
        <v>3777</v>
      </c>
      <c r="BY52" t="s">
        <v>3777</v>
      </c>
      <c r="BZ52" t="s">
        <v>3777</v>
      </c>
      <c r="CA52" t="s">
        <v>3777</v>
      </c>
      <c r="CB52" t="s">
        <v>124</v>
      </c>
      <c r="CC52" t="s">
        <v>124</v>
      </c>
      <c r="CD52" t="s">
        <v>124</v>
      </c>
      <c r="CE52" t="s">
        <v>124</v>
      </c>
      <c r="CF52" t="s">
        <v>124</v>
      </c>
      <c r="CG52" t="s">
        <v>3777</v>
      </c>
      <c r="CH52" t="s">
        <v>124</v>
      </c>
      <c r="CI52" t="s">
        <v>124</v>
      </c>
      <c r="CJ52" t="s">
        <v>124</v>
      </c>
      <c r="CK52" t="s">
        <v>124</v>
      </c>
      <c r="CL52" t="s">
        <v>124</v>
      </c>
      <c r="CM52" t="s">
        <v>3994</v>
      </c>
      <c r="CN52" t="s">
        <v>124</v>
      </c>
      <c r="CO52" t="s">
        <v>3994</v>
      </c>
      <c r="CP52" t="s">
        <v>124</v>
      </c>
      <c r="CQ52" t="s">
        <v>124</v>
      </c>
      <c r="CR52" t="s">
        <v>124</v>
      </c>
      <c r="CS52" t="s">
        <v>3777</v>
      </c>
      <c r="CT52" t="s">
        <v>3779</v>
      </c>
      <c r="CU52" t="s">
        <v>3780</v>
      </c>
      <c r="CV52" t="s">
        <v>429</v>
      </c>
      <c r="CW52" t="s">
        <v>3781</v>
      </c>
      <c r="CX52" t="s">
        <v>430</v>
      </c>
      <c r="CY52" t="s">
        <v>429</v>
      </c>
      <c r="CZ52" t="s">
        <v>431</v>
      </c>
      <c r="DA52" t="s">
        <v>432</v>
      </c>
      <c r="DB52" t="s">
        <v>3782</v>
      </c>
      <c r="DC52" t="s">
        <v>362</v>
      </c>
      <c r="DD52" t="s">
        <v>278</v>
      </c>
      <c r="DE52" t="s">
        <v>428</v>
      </c>
    </row>
    <row r="53" spans="1:109" ht="11.25" customHeight="1">
      <c r="A53" s="4" t="s">
        <v>124</v>
      </c>
      <c r="B53" t="s">
        <v>124</v>
      </c>
      <c r="C53" t="s">
        <v>124</v>
      </c>
      <c r="D53" t="s">
        <v>124</v>
      </c>
      <c r="E53" t="s">
        <v>124</v>
      </c>
      <c r="F53" t="s">
        <v>124</v>
      </c>
      <c r="G53" t="s">
        <v>124</v>
      </c>
      <c r="H53" t="s">
        <v>124</v>
      </c>
      <c r="I53" t="s">
        <v>3764</v>
      </c>
      <c r="J53" t="s">
        <v>124</v>
      </c>
      <c r="K53" t="s">
        <v>124</v>
      </c>
      <c r="L53" t="s">
        <v>124</v>
      </c>
      <c r="M53" t="s">
        <v>124</v>
      </c>
      <c r="N53" t="s">
        <v>124</v>
      </c>
      <c r="O53" t="s">
        <v>124</v>
      </c>
      <c r="P53" t="s">
        <v>124</v>
      </c>
      <c r="Q53" t="s">
        <v>124</v>
      </c>
      <c r="R53" t="s">
        <v>3995</v>
      </c>
      <c r="S53" t="s">
        <v>124</v>
      </c>
      <c r="T53" t="s">
        <v>124</v>
      </c>
      <c r="U53" t="s">
        <v>101</v>
      </c>
      <c r="V53" t="s">
        <v>124</v>
      </c>
      <c r="W53" t="s">
        <v>124</v>
      </c>
      <c r="X53" t="s">
        <v>3765</v>
      </c>
      <c r="Y53" t="s">
        <v>124</v>
      </c>
      <c r="Z53" t="s">
        <v>215</v>
      </c>
      <c r="AA53" t="s">
        <v>215</v>
      </c>
      <c r="AB53" t="s">
        <v>150</v>
      </c>
      <c r="AC53" t="s">
        <v>341</v>
      </c>
      <c r="AD53" t="s">
        <v>341</v>
      </c>
      <c r="AE53" t="s">
        <v>342</v>
      </c>
      <c r="AF53" t="s">
        <v>3804</v>
      </c>
      <c r="AG53" t="s">
        <v>3805</v>
      </c>
      <c r="AH53" t="s">
        <v>3919</v>
      </c>
      <c r="AI53" t="s">
        <v>3807</v>
      </c>
      <c r="AJ53" t="s">
        <v>124</v>
      </c>
      <c r="AK53" t="s">
        <v>124</v>
      </c>
      <c r="AL53" t="s">
        <v>124</v>
      </c>
      <c r="AM53" t="s">
        <v>124</v>
      </c>
      <c r="AN53" t="s">
        <v>124</v>
      </c>
      <c r="AO53" t="s">
        <v>124</v>
      </c>
      <c r="AP53" t="s">
        <v>124</v>
      </c>
      <c r="AQ53" t="s">
        <v>124</v>
      </c>
      <c r="AR53" t="s">
        <v>124</v>
      </c>
      <c r="AS53" t="s">
        <v>124</v>
      </c>
      <c r="AT53" t="s">
        <v>124</v>
      </c>
      <c r="AU53" t="s">
        <v>124</v>
      </c>
      <c r="AV53" t="s">
        <v>124</v>
      </c>
      <c r="AW53" t="s">
        <v>124</v>
      </c>
      <c r="AX53" t="s">
        <v>124</v>
      </c>
      <c r="AY53" t="s">
        <v>124</v>
      </c>
      <c r="AZ53" t="s">
        <v>124</v>
      </c>
      <c r="BA53" t="s">
        <v>124</v>
      </c>
      <c r="BB53" t="s">
        <v>124</v>
      </c>
      <c r="BC53" t="s">
        <v>124</v>
      </c>
      <c r="BD53" t="s">
        <v>124</v>
      </c>
      <c r="BE53" t="s">
        <v>3858</v>
      </c>
      <c r="BF53" t="s">
        <v>3777</v>
      </c>
      <c r="BG53" t="s">
        <v>3257</v>
      </c>
      <c r="BH53" t="s">
        <v>3809</v>
      </c>
      <c r="BI53" t="s">
        <v>2985</v>
      </c>
      <c r="BJ53" t="s">
        <v>124</v>
      </c>
      <c r="BK53" t="s">
        <v>3810</v>
      </c>
      <c r="BL53" t="s">
        <v>2928</v>
      </c>
      <c r="BM53" t="s">
        <v>2928</v>
      </c>
      <c r="BN53" t="s">
        <v>3811</v>
      </c>
      <c r="BO53" t="s">
        <v>3812</v>
      </c>
      <c r="BP53" t="s">
        <v>3813</v>
      </c>
      <c r="BQ53" t="s">
        <v>3814</v>
      </c>
      <c r="BR53" t="s">
        <v>362</v>
      </c>
      <c r="BS53" t="s">
        <v>124</v>
      </c>
      <c r="BT53" t="s">
        <v>3815</v>
      </c>
      <c r="BU53" t="s">
        <v>3996</v>
      </c>
      <c r="BV53" t="s">
        <v>3996</v>
      </c>
      <c r="BW53" t="s">
        <v>3777</v>
      </c>
      <c r="BX53" t="s">
        <v>3777</v>
      </c>
      <c r="BY53" t="s">
        <v>3777</v>
      </c>
      <c r="BZ53" t="s">
        <v>3777</v>
      </c>
      <c r="CA53" t="s">
        <v>3777</v>
      </c>
      <c r="CB53" t="s">
        <v>124</v>
      </c>
      <c r="CC53" t="s">
        <v>124</v>
      </c>
      <c r="CD53" t="s">
        <v>124</v>
      </c>
      <c r="CE53" t="s">
        <v>124</v>
      </c>
      <c r="CF53" t="s">
        <v>124</v>
      </c>
      <c r="CG53" t="s">
        <v>3777</v>
      </c>
      <c r="CH53" t="s">
        <v>124</v>
      </c>
      <c r="CI53" t="s">
        <v>124</v>
      </c>
      <c r="CJ53" t="s">
        <v>124</v>
      </c>
      <c r="CK53" t="s">
        <v>124</v>
      </c>
      <c r="CL53" t="s">
        <v>124</v>
      </c>
      <c r="CM53" t="s">
        <v>3996</v>
      </c>
      <c r="CN53" t="s">
        <v>3996</v>
      </c>
      <c r="CO53" t="s">
        <v>124</v>
      </c>
      <c r="CP53" t="s">
        <v>124</v>
      </c>
      <c r="CQ53" t="s">
        <v>124</v>
      </c>
      <c r="CR53" t="s">
        <v>124</v>
      </c>
      <c r="CS53" t="s">
        <v>3778</v>
      </c>
      <c r="CT53" t="s">
        <v>3779</v>
      </c>
      <c r="CU53" t="s">
        <v>3780</v>
      </c>
      <c r="CV53" t="s">
        <v>429</v>
      </c>
      <c r="CW53" t="s">
        <v>3781</v>
      </c>
      <c r="CX53" t="s">
        <v>430</v>
      </c>
      <c r="CY53" t="s">
        <v>429</v>
      </c>
      <c r="CZ53" t="s">
        <v>431</v>
      </c>
      <c r="DA53" t="s">
        <v>432</v>
      </c>
      <c r="DB53" t="s">
        <v>3782</v>
      </c>
      <c r="DC53" t="s">
        <v>362</v>
      </c>
      <c r="DD53" t="s">
        <v>278</v>
      </c>
      <c r="DE53" t="s">
        <v>3921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4F062-1F28-C9A8-8417-5AF92CCCE738}">
  <sheetPr>
    <tabColor rgb="FFFFCC99"/>
  </sheetPr>
  <dimension ref="A1"/>
  <sheetViews>
    <sheetView showGridLines="0" workbookViewId="0"/>
  </sheetViews>
  <sheetFormatPr defaultRowHeight="11.25" customHeight="1"/>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53E8-EEA8-1B98-C87B-9599A185D8A8}">
  <sheetPr>
    <tabColor theme="0"/>
  </sheetPr>
  <dimension ref="A1:AE54"/>
  <sheetViews>
    <sheetView showGridLines="0" topLeftCell="AA21" workbookViewId="0">
      <selection activeCell="AA21" sqref="AA21"/>
    </sheetView>
  </sheetViews>
  <sheetFormatPr defaultColWidth="9.140625" defaultRowHeight="12.75" customHeight="1"/>
  <cols>
    <col min="1" max="1" width="8" style="226" hidden="1" customWidth="1"/>
    <col min="2" max="2" width="14.28515625" style="339" hidden="1" customWidth="1"/>
    <col min="3" max="4" width="3.5703125" style="226" hidden="1" customWidth="1"/>
    <col min="5" max="5" width="4.7109375" style="448" hidden="1" customWidth="1"/>
    <col min="6" max="26" width="3.5703125" style="226" hidden="1" customWidth="1"/>
    <col min="27" max="27" width="3.7109375" style="226" customWidth="1"/>
    <col min="28" max="28" width="11.7109375" style="226" customWidth="1"/>
    <col min="29" max="29" width="32.85546875" style="226" customWidth="1"/>
    <col min="30" max="30" width="133.5703125" style="226" customWidth="1"/>
    <col min="31" max="31" width="9.140625" style="226"/>
  </cols>
  <sheetData>
    <row r="1" spans="1:5" ht="11.25" hidden="1" customHeight="1">
      <c r="E1" s="226"/>
    </row>
    <row r="2" spans="1:5" s="339" customFormat="1" ht="11.25" hidden="1" customHeight="1">
      <c r="B2" s="341" t="s">
        <v>18</v>
      </c>
    </row>
    <row r="3" spans="1:5" ht="11.25" hidden="1" customHeight="1">
      <c r="E3" s="226"/>
    </row>
    <row r="4" spans="1:5" ht="11.25" hidden="1" customHeight="1">
      <c r="E4" s="226"/>
    </row>
    <row r="5" spans="1:5" s="448" customFormat="1" ht="11.25" hidden="1" customHeight="1">
      <c r="A5" s="226"/>
      <c r="B5" s="339"/>
      <c r="C5" s="226"/>
      <c r="D5" s="226"/>
      <c r="E5" s="447"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24"/>
    </row>
    <row r="22" spans="1:31" ht="24.75" customHeight="1">
      <c r="AB22" s="227" t="s">
        <v>28</v>
      </c>
      <c r="AC22" s="228"/>
      <c r="AD22" s="228"/>
    </row>
    <row r="23" spans="1:31" ht="16.5" customHeight="1">
      <c r="AB23" s="232" t="s">
        <v>29</v>
      </c>
    </row>
    <row r="24" spans="1:31" ht="27" customHeight="1">
      <c r="B24" s="341" t="b">
        <v>1</v>
      </c>
      <c r="E24" s="448">
        <v>27.75</v>
      </c>
      <c r="AB24" s="229" t="s">
        <v>30</v>
      </c>
      <c r="AC24" s="230" t="s">
        <v>31</v>
      </c>
      <c r="AD24" s="231" t="s">
        <v>32</v>
      </c>
    </row>
    <row r="25" spans="1:31" ht="27" customHeight="1">
      <c r="B25" s="341" t="b">
        <v>1</v>
      </c>
      <c r="E25" s="448">
        <v>27.75</v>
      </c>
      <c r="AB25" s="229" t="s">
        <v>30</v>
      </c>
      <c r="AC25" s="230" t="s">
        <v>33</v>
      </c>
      <c r="AD25" s="231" t="s">
        <v>34</v>
      </c>
    </row>
    <row r="26" spans="1:31" ht="27" customHeight="1">
      <c r="B26" s="341" t="b">
        <v>1</v>
      </c>
      <c r="E26" s="448">
        <v>27.75</v>
      </c>
      <c r="AB26" s="229" t="s">
        <v>30</v>
      </c>
      <c r="AC26" s="230" t="s">
        <v>35</v>
      </c>
      <c r="AD26" s="231" t="s">
        <v>36</v>
      </c>
    </row>
    <row r="27" spans="1:31" ht="27" customHeight="1">
      <c r="B27" s="341" t="b">
        <v>1</v>
      </c>
      <c r="E27" s="448">
        <v>27.75</v>
      </c>
      <c r="AB27" s="229" t="s">
        <v>30</v>
      </c>
      <c r="AC27" s="230" t="s">
        <v>37</v>
      </c>
      <c r="AD27" s="231" t="s">
        <v>38</v>
      </c>
    </row>
    <row r="28" spans="1:31" ht="27" customHeight="1">
      <c r="B28" s="341" t="b">
        <f>NOT(method_reg="Метод сравнения аналогов")</f>
        <v>1</v>
      </c>
      <c r="E28" s="448">
        <v>27.75</v>
      </c>
      <c r="AB28" s="229" t="s">
        <v>30</v>
      </c>
      <c r="AC28" s="230" t="s">
        <v>39</v>
      </c>
      <c r="AD28" s="231" t="s">
        <v>40</v>
      </c>
    </row>
    <row r="29" spans="1:31" s="4" customFormat="1" ht="27" customHeight="1">
      <c r="A29" s="226"/>
      <c r="B29" s="341" t="b">
        <f>method_reg="Метод индексации"</f>
        <v>1</v>
      </c>
      <c r="C29" s="226"/>
      <c r="D29" s="226"/>
      <c r="E29" s="448">
        <v>27.75</v>
      </c>
      <c r="F29" s="226"/>
      <c r="G29" s="226"/>
      <c r="H29" s="226"/>
      <c r="I29" s="226"/>
      <c r="J29" s="226"/>
      <c r="K29" s="226"/>
      <c r="L29" s="226"/>
      <c r="M29" s="226"/>
      <c r="N29" s="226"/>
      <c r="O29" s="226"/>
      <c r="P29" s="226"/>
      <c r="Q29" s="226"/>
      <c r="R29" s="226"/>
      <c r="S29" s="226"/>
      <c r="T29" s="226"/>
      <c r="U29" s="226"/>
      <c r="V29" s="226"/>
      <c r="W29" s="226"/>
      <c r="X29" s="226"/>
      <c r="Y29" s="226"/>
      <c r="Z29" s="226"/>
      <c r="AA29" s="226"/>
      <c r="AB29" s="229" t="s">
        <v>30</v>
      </c>
      <c r="AC29" s="230" t="s">
        <v>41</v>
      </c>
      <c r="AD29" s="231" t="s">
        <v>42</v>
      </c>
      <c r="AE29" s="226"/>
    </row>
    <row r="30" spans="1:31" ht="27" customHeight="1">
      <c r="B30" s="341" t="b">
        <v>1</v>
      </c>
      <c r="E30" s="448">
        <v>27.75</v>
      </c>
      <c r="AB30" s="229" t="s">
        <v>30</v>
      </c>
      <c r="AC30" s="230" t="s">
        <v>43</v>
      </c>
      <c r="AD30" s="231" t="s">
        <v>44</v>
      </c>
    </row>
    <row r="31" spans="1:31" ht="27" customHeight="1">
      <c r="B31" s="341" t="b">
        <f>OR(method_reg="Метод индексации",method_reg="Метод сравнения аналогов")</f>
        <v>1</v>
      </c>
      <c r="E31" s="448">
        <v>27.75</v>
      </c>
      <c r="AB31" s="229" t="s">
        <v>30</v>
      </c>
      <c r="AC31" s="230" t="s">
        <v>45</v>
      </c>
      <c r="AD31" s="231" t="s">
        <v>46</v>
      </c>
      <c r="AE31" s="22"/>
    </row>
    <row r="32" spans="1:31" ht="27" customHeight="1">
      <c r="B32" s="341" t="b">
        <f>NOT(method_reg="Метод сравнения аналогов")</f>
        <v>1</v>
      </c>
      <c r="E32" s="448">
        <v>27.75</v>
      </c>
      <c r="AB32" s="229" t="s">
        <v>30</v>
      </c>
      <c r="AC32" s="230" t="s">
        <v>47</v>
      </c>
      <c r="AD32" s="231" t="s">
        <v>48</v>
      </c>
    </row>
    <row r="33" spans="2:30" ht="27" customHeight="1">
      <c r="B33" s="341" t="b">
        <f>NOT(method_reg="Метод сравнения аналогов")</f>
        <v>1</v>
      </c>
      <c r="E33" s="448">
        <v>27.75</v>
      </c>
      <c r="AB33" s="229" t="s">
        <v>30</v>
      </c>
      <c r="AC33" s="230" t="s">
        <v>49</v>
      </c>
      <c r="AD33" s="231" t="s">
        <v>50</v>
      </c>
    </row>
    <row r="34" spans="2:30" ht="27" customHeight="1">
      <c r="B34" s="341" t="b">
        <f>NOT(method_reg="Метод сравнения аналогов")</f>
        <v>1</v>
      </c>
      <c r="E34" s="448">
        <v>27.75</v>
      </c>
      <c r="AB34" s="229" t="s">
        <v>30</v>
      </c>
      <c r="AC34" s="230" t="s">
        <v>51</v>
      </c>
      <c r="AD34" s="231" t="s">
        <v>52</v>
      </c>
    </row>
    <row r="35" spans="2:30" ht="27" hidden="1" customHeight="1">
      <c r="B35" s="341" t="b">
        <f>method_reg="Метод сравнения аналогов"</f>
        <v>0</v>
      </c>
      <c r="E35" s="448">
        <v>27.75</v>
      </c>
      <c r="AB35" s="229" t="s">
        <v>53</v>
      </c>
      <c r="AC35" s="230" t="s">
        <v>54</v>
      </c>
      <c r="AD35" s="231" t="s">
        <v>55</v>
      </c>
    </row>
    <row r="36" spans="2:30" ht="27" customHeight="1">
      <c r="B36" s="341" t="b">
        <f>NOT(method_reg="Метод сравнения аналогов")</f>
        <v>1</v>
      </c>
      <c r="E36" s="448">
        <v>27.75</v>
      </c>
      <c r="AB36" s="229" t="s">
        <v>30</v>
      </c>
      <c r="AC36" s="230" t="s">
        <v>56</v>
      </c>
      <c r="AD36" s="231" t="s">
        <v>57</v>
      </c>
    </row>
    <row r="37" spans="2:30" ht="27" customHeight="1">
      <c r="B37" s="341" t="b">
        <f>NOT(method_reg="Метод сравнения аналогов")</f>
        <v>1</v>
      </c>
      <c r="E37" s="448">
        <v>27.75</v>
      </c>
      <c r="AB37" s="229" t="s">
        <v>30</v>
      </c>
      <c r="AC37" s="230" t="s">
        <v>58</v>
      </c>
      <c r="AD37" s="231" t="s">
        <v>59</v>
      </c>
    </row>
    <row r="38" spans="2:30" ht="27" customHeight="1">
      <c r="B38" s="341" t="b">
        <f>AND(OR(god=first_year,method_reg="Метод обеспечения доходности инвестированного капитала"),NOT(method_reg="Метод сравнения аналогов"))</f>
        <v>1</v>
      </c>
      <c r="E38" s="448">
        <v>27.75</v>
      </c>
      <c r="AB38" s="229" t="s">
        <v>30</v>
      </c>
      <c r="AC38" s="230" t="s">
        <v>60</v>
      </c>
      <c r="AD38" s="258" t="s">
        <v>61</v>
      </c>
    </row>
    <row r="39" spans="2:30" ht="27" customHeight="1">
      <c r="B39" s="341" t="b">
        <f>AND(OR(god=first_year,method_reg="Метод обеспечения доходности инвестированного капитала"),NOT(method_reg="Метод сравнения аналогов"))</f>
        <v>1</v>
      </c>
      <c r="E39" s="448">
        <v>27.75</v>
      </c>
      <c r="AB39" s="229" t="s">
        <v>30</v>
      </c>
      <c r="AC39" s="230" t="s">
        <v>62</v>
      </c>
      <c r="AD39" s="258" t="s">
        <v>63</v>
      </c>
    </row>
    <row r="40" spans="2:30" ht="27" customHeight="1">
      <c r="B40" s="341" t="b">
        <f>AND(OR(god=first_year,method_reg="Метод обеспечения доходности инвестированного капитала"),NOT(method_reg="Метод сравнения аналогов"),STATUS_GO="да")</f>
        <v>1</v>
      </c>
      <c r="E40" s="448">
        <v>27.75</v>
      </c>
      <c r="AB40" s="229" t="s">
        <v>30</v>
      </c>
      <c r="AC40" s="230" t="s">
        <v>64</v>
      </c>
      <c r="AD40" s="258" t="s">
        <v>65</v>
      </c>
    </row>
    <row r="41" spans="2:30" ht="27" customHeight="1">
      <c r="B41" s="341" t="b">
        <f>NOT(method_reg="Метод сравнения аналогов")</f>
        <v>1</v>
      </c>
      <c r="E41" s="448">
        <v>27.75</v>
      </c>
      <c r="AB41" s="229" t="s">
        <v>30</v>
      </c>
      <c r="AC41" s="230" t="s">
        <v>66</v>
      </c>
      <c r="AD41" s="231" t="s">
        <v>67</v>
      </c>
    </row>
    <row r="42" spans="2:30" ht="27" hidden="1" customHeight="1">
      <c r="B42" s="341" t="b">
        <f>AND(method_reg&lt;&gt;"Метод сравнения аналогов",OR(HAS_DOC5="да",HAS_DOC6="да"))</f>
        <v>0</v>
      </c>
      <c r="E42" s="448">
        <v>27.75</v>
      </c>
      <c r="AB42" s="229" t="s">
        <v>53</v>
      </c>
      <c r="AC42" s="230" t="s">
        <v>68</v>
      </c>
      <c r="AD42" s="231" t="s">
        <v>69</v>
      </c>
    </row>
    <row r="43" spans="2:30" ht="27" customHeight="1">
      <c r="B43" s="341" t="b">
        <f>AND(NOT(method_reg="Метод экономически обоснованных расходов"),NOT(method_reg="Метод сравнения аналогов"))</f>
        <v>1</v>
      </c>
      <c r="E43" s="448">
        <v>27.75</v>
      </c>
      <c r="AB43" s="229" t="s">
        <v>30</v>
      </c>
      <c r="AC43" s="230" t="s">
        <v>70</v>
      </c>
      <c r="AD43" s="231" t="s">
        <v>71</v>
      </c>
    </row>
    <row r="44" spans="2:30" ht="27" hidden="1" customHeight="1">
      <c r="B44" s="341" t="b">
        <f>AND(NOT(method_reg="Метод сравнения аналогов"),hasVO)</f>
        <v>0</v>
      </c>
      <c r="E44" s="448">
        <v>27.75</v>
      </c>
      <c r="AB44" s="229" t="s">
        <v>53</v>
      </c>
      <c r="AC44" s="230" t="s">
        <v>72</v>
      </c>
      <c r="AD44" s="231" t="s">
        <v>73</v>
      </c>
    </row>
    <row r="45" spans="2:30" ht="27" customHeight="1">
      <c r="B45" s="341" t="b">
        <f>AND(NOT(method_reg="Метод экономически обоснованных расходов"),NOT(method_reg="Метод сравнения аналогов"))</f>
        <v>1</v>
      </c>
      <c r="E45" s="448">
        <v>27.75</v>
      </c>
      <c r="AB45" s="229" t="s">
        <v>30</v>
      </c>
      <c r="AC45" s="230" t="s">
        <v>74</v>
      </c>
      <c r="AD45" s="231" t="s">
        <v>75</v>
      </c>
    </row>
    <row r="46" spans="2:30" ht="27" hidden="1" customHeight="1">
      <c r="B46" s="341" t="b">
        <f>method_reg="Метод экономически обоснованных расходов"</f>
        <v>0</v>
      </c>
      <c r="E46" s="448">
        <v>27.75</v>
      </c>
      <c r="AB46" s="229" t="s">
        <v>53</v>
      </c>
      <c r="AC46" s="230" t="s">
        <v>76</v>
      </c>
      <c r="AD46" s="231" t="s">
        <v>77</v>
      </c>
    </row>
    <row r="47" spans="2:30" ht="27" customHeight="1">
      <c r="B47" s="341" t="b">
        <f>AND(first_year=god,OR(method_reg="Метод обеспечения доходности инвестированного капитала",method_reg="Метод индексации"))</f>
        <v>1</v>
      </c>
      <c r="E47" s="448">
        <v>27.75</v>
      </c>
      <c r="AB47" s="229" t="s">
        <v>30</v>
      </c>
      <c r="AC47" s="230" t="s">
        <v>78</v>
      </c>
      <c r="AD47" s="231" t="s">
        <v>79</v>
      </c>
    </row>
    <row r="48" spans="2:30" ht="27.2" hidden="1" customHeight="1">
      <c r="B48" s="375" t="b">
        <f>AND(OR(method_reg="Метод индексации",method_reg="Метод обеспечения доходности инвестированного капитала"),first_year&lt;&gt;god)</f>
        <v>0</v>
      </c>
      <c r="E48" s="448">
        <v>27.8</v>
      </c>
      <c r="AB48" s="229" t="s">
        <v>53</v>
      </c>
      <c r="AC48" s="230" t="s">
        <v>80</v>
      </c>
      <c r="AD48" s="231" t="s">
        <v>79</v>
      </c>
    </row>
    <row r="49" spans="2:31" ht="27" customHeight="1">
      <c r="B49" s="341" t="b">
        <f>NOT(method_reg="Метод сравнения аналогов")</f>
        <v>1</v>
      </c>
      <c r="E49" s="448">
        <v>27.75</v>
      </c>
      <c r="AB49" s="229" t="s">
        <v>30</v>
      </c>
      <c r="AC49" s="230" t="s">
        <v>81</v>
      </c>
      <c r="AD49" s="231" t="s">
        <v>82</v>
      </c>
    </row>
    <row r="50" spans="2:31" ht="27" customHeight="1">
      <c r="B50" s="341" t="b">
        <f>OR(method_reg="Метод индексации",method_reg="Метод обеспечения доходности инвестированного капитала")</f>
        <v>1</v>
      </c>
      <c r="E50" s="448">
        <v>27.75</v>
      </c>
      <c r="AB50" s="229" t="s">
        <v>30</v>
      </c>
      <c r="AC50" s="230" t="s">
        <v>83</v>
      </c>
      <c r="AD50" s="231" t="s">
        <v>84</v>
      </c>
    </row>
    <row r="51" spans="2:31" ht="27" customHeight="1">
      <c r="B51" s="341" t="b">
        <f>OR(method_reg="Метод индексации",method_reg="Метод обеспечения доходности инвестированного капитала")</f>
        <v>1</v>
      </c>
      <c r="E51" s="448">
        <v>27.75</v>
      </c>
      <c r="AB51" s="229" t="s">
        <v>30</v>
      </c>
      <c r="AC51" s="230" t="s">
        <v>85</v>
      </c>
      <c r="AD51" s="231" t="s">
        <v>86</v>
      </c>
    </row>
    <row r="52" spans="2:31" ht="27" customHeight="1">
      <c r="B52" s="341" t="b">
        <f>OR(method_reg="Метод сравнения аналогов",AND(method_reg="Метод индексации",STATUS_GO="да"))</f>
        <v>1</v>
      </c>
      <c r="E52" s="448">
        <v>27.75</v>
      </c>
      <c r="AB52" s="229" t="s">
        <v>30</v>
      </c>
      <c r="AC52" s="230" t="s">
        <v>87</v>
      </c>
      <c r="AD52" s="231" t="s">
        <v>88</v>
      </c>
    </row>
    <row r="53" spans="2:31" ht="27" hidden="1" customHeight="1">
      <c r="B53" s="341" t="b">
        <f>method_reg="Метод сравнения аналогов"</f>
        <v>0</v>
      </c>
      <c r="E53" s="448">
        <v>27.75</v>
      </c>
      <c r="AB53" s="229" t="s">
        <v>53</v>
      </c>
      <c r="AC53" s="230" t="s">
        <v>89</v>
      </c>
      <c r="AD53" s="258" t="s">
        <v>90</v>
      </c>
    </row>
    <row r="54" spans="2:31" ht="12.75" customHeight="1">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48C18-4268-72E8-2D68-4761B57B10B8}">
  <sheetPr>
    <tabColor rgb="FFFFCC99"/>
  </sheetPr>
  <dimension ref="A1:W3"/>
  <sheetViews>
    <sheetView showGridLines="0" workbookViewId="0"/>
  </sheetViews>
  <sheetFormatPr defaultRowHeight="11.25" customHeight="1"/>
  <sheetData>
    <row r="1" spans="1:23" ht="11.25" customHeight="1">
      <c r="A1" t="s">
        <v>3997</v>
      </c>
      <c r="B1" t="s">
        <v>3680</v>
      </c>
      <c r="C1" t="s">
        <v>3998</v>
      </c>
      <c r="D1" t="s">
        <v>3999</v>
      </c>
      <c r="E1" t="s">
        <v>4000</v>
      </c>
      <c r="F1" t="s">
        <v>4001</v>
      </c>
      <c r="G1" t="s">
        <v>4002</v>
      </c>
      <c r="H1" t="s">
        <v>4003</v>
      </c>
      <c r="I1" t="s">
        <v>4004</v>
      </c>
      <c r="J1" t="s">
        <v>4005</v>
      </c>
      <c r="K1" t="s">
        <v>4006</v>
      </c>
      <c r="L1" t="s">
        <v>4007</v>
      </c>
      <c r="M1" t="s">
        <v>4008</v>
      </c>
      <c r="N1" t="s">
        <v>4009</v>
      </c>
      <c r="O1" t="s">
        <v>4010</v>
      </c>
      <c r="P1" t="s">
        <v>4011</v>
      </c>
      <c r="Q1" t="s">
        <v>4012</v>
      </c>
      <c r="R1" t="s">
        <v>4013</v>
      </c>
      <c r="S1" t="s">
        <v>4014</v>
      </c>
      <c r="T1" t="s">
        <v>4015</v>
      </c>
      <c r="U1" t="s">
        <v>4016</v>
      </c>
      <c r="V1" t="s">
        <v>4017</v>
      </c>
      <c r="W1" t="s">
        <v>4018</v>
      </c>
    </row>
    <row r="2" spans="1:23" ht="11.25" customHeight="1">
      <c r="A2" t="s">
        <v>279</v>
      </c>
      <c r="B2">
        <v>8358149983</v>
      </c>
      <c r="C2" t="s">
        <v>4019</v>
      </c>
      <c r="D2" t="s">
        <v>280</v>
      </c>
      <c r="E2" t="s">
        <v>281</v>
      </c>
      <c r="F2" t="s">
        <v>282</v>
      </c>
      <c r="G2" t="s">
        <v>283</v>
      </c>
      <c r="I2" t="s">
        <v>4020</v>
      </c>
      <c r="J2" t="s">
        <v>4021</v>
      </c>
      <c r="L2" t="s">
        <v>4022</v>
      </c>
      <c r="M2" t="s">
        <v>4023</v>
      </c>
      <c r="O2">
        <v>55.82</v>
      </c>
      <c r="P2">
        <v>62.519999546000001</v>
      </c>
      <c r="U2" t="s">
        <v>4024</v>
      </c>
      <c r="V2" t="s">
        <v>4025</v>
      </c>
      <c r="W2" t="s">
        <v>4026</v>
      </c>
    </row>
    <row r="3" spans="1:23" ht="11.25" customHeight="1">
      <c r="A3" t="s">
        <v>4027</v>
      </c>
      <c r="B3">
        <v>8358172916</v>
      </c>
      <c r="C3" t="s">
        <v>4019</v>
      </c>
      <c r="D3" t="s">
        <v>280</v>
      </c>
      <c r="E3" t="s">
        <v>281</v>
      </c>
      <c r="F3" t="s">
        <v>282</v>
      </c>
      <c r="G3" t="s">
        <v>283</v>
      </c>
      <c r="I3" t="s">
        <v>4028</v>
      </c>
      <c r="J3" t="s">
        <v>4029</v>
      </c>
      <c r="L3" t="s">
        <v>103</v>
      </c>
      <c r="M3" t="s">
        <v>4019</v>
      </c>
      <c r="N3" t="s">
        <v>4030</v>
      </c>
      <c r="O3">
        <v>52.870008270699998</v>
      </c>
      <c r="P3">
        <v>52.870008270699998</v>
      </c>
      <c r="U3" t="s">
        <v>4024</v>
      </c>
      <c r="V3" t="s">
        <v>4031</v>
      </c>
      <c r="W3" t="s">
        <v>4031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20778-BCA8-F928-DBB6-50B652A7C516}">
  <sheetPr>
    <tabColor rgb="FFFFCC99"/>
  </sheetPr>
  <dimension ref="A1:C97"/>
  <sheetViews>
    <sheetView showGridLines="0" workbookViewId="0"/>
  </sheetViews>
  <sheetFormatPr defaultRowHeight="11.25" customHeight="1"/>
  <cols>
    <col min="1" max="1" width="88.85546875" style="4" customWidth="1"/>
    <col min="2" max="2" width="24.7109375" style="4" customWidth="1"/>
  </cols>
  <sheetData>
    <row r="1" spans="1:3" ht="11.25" customHeight="1">
      <c r="A1" s="4" t="s">
        <v>4032</v>
      </c>
      <c r="C1" s="4" t="s">
        <v>4033</v>
      </c>
    </row>
    <row r="2" spans="1:3" ht="11.25" customHeight="1">
      <c r="A2" s="4" t="s">
        <v>4034</v>
      </c>
    </row>
    <row r="3" spans="1:3" ht="11.25" customHeight="1">
      <c r="A3" s="4" t="s">
        <v>4035</v>
      </c>
      <c r="C3" t="s">
        <v>4036</v>
      </c>
    </row>
    <row r="4" spans="1:3" ht="11.25" customHeight="1">
      <c r="A4" s="4" t="s">
        <v>3055</v>
      </c>
      <c r="C4" t="s">
        <v>4037</v>
      </c>
    </row>
    <row r="5" spans="1:3" ht="11.25" customHeight="1">
      <c r="A5" s="4" t="s">
        <v>2973</v>
      </c>
      <c r="C5" t="s">
        <v>4038</v>
      </c>
    </row>
    <row r="6" spans="1:3" ht="11.25" customHeight="1">
      <c r="A6" s="4" t="s">
        <v>3271</v>
      </c>
      <c r="C6" t="s">
        <v>4039</v>
      </c>
    </row>
    <row r="7" spans="1:3" ht="11.25" customHeight="1">
      <c r="A7" s="4" t="s">
        <v>4040</v>
      </c>
      <c r="C7" t="s">
        <v>4041</v>
      </c>
    </row>
    <row r="8" spans="1:3" ht="11.25" customHeight="1">
      <c r="A8" s="4" t="s">
        <v>4042</v>
      </c>
      <c r="C8" t="s">
        <v>4043</v>
      </c>
    </row>
    <row r="9" spans="1:3" ht="11.25" customHeight="1">
      <c r="A9" s="4" t="s">
        <v>4044</v>
      </c>
      <c r="C9" t="s">
        <v>4045</v>
      </c>
    </row>
    <row r="10" spans="1:3" ht="11.25" customHeight="1">
      <c r="A10" s="4" t="s">
        <v>4046</v>
      </c>
      <c r="C10" t="s">
        <v>4047</v>
      </c>
    </row>
    <row r="11" spans="1:3" ht="11.25" customHeight="1">
      <c r="A11" s="4" t="s">
        <v>4048</v>
      </c>
      <c r="C11" t="s">
        <v>4049</v>
      </c>
    </row>
    <row r="12" spans="1:3" ht="11.25" customHeight="1">
      <c r="A12" s="4" t="s">
        <v>4050</v>
      </c>
      <c r="C12" t="s">
        <v>4051</v>
      </c>
    </row>
    <row r="13" spans="1:3" ht="11.25" customHeight="1">
      <c r="A13" s="4" t="s">
        <v>4052</v>
      </c>
      <c r="C13" t="s">
        <v>4053</v>
      </c>
    </row>
    <row r="14" spans="1:3" ht="11.25" customHeight="1">
      <c r="A14" s="4" t="s">
        <v>4054</v>
      </c>
      <c r="C14" t="s">
        <v>4055</v>
      </c>
    </row>
    <row r="15" spans="1:3" ht="11.25" customHeight="1">
      <c r="A15" s="4" t="s">
        <v>4056</v>
      </c>
      <c r="C15" t="s">
        <v>4057</v>
      </c>
    </row>
    <row r="16" spans="1:3" ht="11.25" customHeight="1">
      <c r="A16" s="4" t="s">
        <v>4058</v>
      </c>
      <c r="C16" t="s">
        <v>4059</v>
      </c>
    </row>
    <row r="17" spans="1:3" ht="11.25" customHeight="1">
      <c r="A17" s="4" t="s">
        <v>4060</v>
      </c>
      <c r="C17" t="s">
        <v>4061</v>
      </c>
    </row>
    <row r="18" spans="1:3" ht="11.25" customHeight="1">
      <c r="A18" s="4" t="s">
        <v>4062</v>
      </c>
      <c r="C18" t="s">
        <v>4063</v>
      </c>
    </row>
    <row r="19" spans="1:3" ht="11.25" customHeight="1">
      <c r="A19" s="4" t="s">
        <v>4064</v>
      </c>
      <c r="C19" t="s">
        <v>4065</v>
      </c>
    </row>
    <row r="20" spans="1:3" ht="11.25" customHeight="1">
      <c r="A20" s="4" t="s">
        <v>4066</v>
      </c>
      <c r="C20" t="s">
        <v>4067</v>
      </c>
    </row>
    <row r="21" spans="1:3" ht="11.25" customHeight="1">
      <c r="A21" s="4" t="s">
        <v>4068</v>
      </c>
      <c r="C21" t="s">
        <v>4069</v>
      </c>
    </row>
    <row r="22" spans="1:3" ht="11.25" customHeight="1">
      <c r="A22" s="4" t="s">
        <v>4070</v>
      </c>
      <c r="C22" t="s">
        <v>4071</v>
      </c>
    </row>
    <row r="23" spans="1:3" ht="11.25" customHeight="1">
      <c r="A23" s="4" t="s">
        <v>4072</v>
      </c>
      <c r="C23" t="s">
        <v>4073</v>
      </c>
    </row>
    <row r="24" spans="1:3" ht="11.25" customHeight="1">
      <c r="A24" s="4" t="s">
        <v>4074</v>
      </c>
      <c r="C24" t="s">
        <v>4075</v>
      </c>
    </row>
    <row r="25" spans="1:3" ht="11.25" customHeight="1">
      <c r="A25" s="4" t="s">
        <v>4076</v>
      </c>
      <c r="C25" t="s">
        <v>4077</v>
      </c>
    </row>
    <row r="26" spans="1:3" ht="11.25" customHeight="1">
      <c r="A26" s="4" t="s">
        <v>4078</v>
      </c>
      <c r="C26" t="s">
        <v>4079</v>
      </c>
    </row>
    <row r="27" spans="1:3" ht="11.25" customHeight="1">
      <c r="A27" s="4" t="s">
        <v>4080</v>
      </c>
      <c r="C27" t="s">
        <v>4081</v>
      </c>
    </row>
    <row r="28" spans="1:3" ht="11.25" customHeight="1">
      <c r="A28" s="4" t="s">
        <v>4082</v>
      </c>
      <c r="C28" t="s">
        <v>4083</v>
      </c>
    </row>
    <row r="29" spans="1:3" ht="11.25" customHeight="1">
      <c r="A29" s="4" t="s">
        <v>4084</v>
      </c>
      <c r="C29" t="s">
        <v>4085</v>
      </c>
    </row>
    <row r="30" spans="1:3" ht="11.25" customHeight="1">
      <c r="A30" s="4" t="s">
        <v>4086</v>
      </c>
      <c r="C30" t="s">
        <v>4087</v>
      </c>
    </row>
    <row r="31" spans="1:3" ht="11.25" customHeight="1">
      <c r="A31" s="4" t="s">
        <v>4088</v>
      </c>
      <c r="C31" t="s">
        <v>4089</v>
      </c>
    </row>
    <row r="32" spans="1:3" ht="11.25" customHeight="1">
      <c r="A32" s="4" t="s">
        <v>4090</v>
      </c>
      <c r="C32" t="s">
        <v>4091</v>
      </c>
    </row>
    <row r="33" spans="1:3" ht="11.25" customHeight="1">
      <c r="A33" s="4" t="s">
        <v>4092</v>
      </c>
      <c r="C33" t="s">
        <v>4093</v>
      </c>
    </row>
    <row r="34" spans="1:3" ht="11.25" customHeight="1">
      <c r="A34" s="4" t="s">
        <v>4094</v>
      </c>
      <c r="C34" t="s">
        <v>4095</v>
      </c>
    </row>
    <row r="35" spans="1:3" ht="11.25" customHeight="1">
      <c r="A35" s="4" t="s">
        <v>4096</v>
      </c>
      <c r="C35" t="s">
        <v>4097</v>
      </c>
    </row>
    <row r="36" spans="1:3" ht="11.25" customHeight="1">
      <c r="A36" s="4" t="s">
        <v>4098</v>
      </c>
      <c r="C36" t="s">
        <v>4099</v>
      </c>
    </row>
    <row r="37" spans="1:3" ht="11.25" customHeight="1">
      <c r="A37" s="4" t="s">
        <v>4100</v>
      </c>
      <c r="C37" t="s">
        <v>4101</v>
      </c>
    </row>
    <row r="38" spans="1:3" ht="11.25" customHeight="1">
      <c r="A38" s="4" t="s">
        <v>4102</v>
      </c>
      <c r="C38" t="s">
        <v>4103</v>
      </c>
    </row>
    <row r="39" spans="1:3" ht="11.25" customHeight="1">
      <c r="A39" s="4" t="s">
        <v>4104</v>
      </c>
      <c r="C39" t="s">
        <v>4105</v>
      </c>
    </row>
    <row r="40" spans="1:3" ht="11.25" customHeight="1">
      <c r="A40" s="4" t="s">
        <v>4106</v>
      </c>
      <c r="C40" t="s">
        <v>4107</v>
      </c>
    </row>
    <row r="41" spans="1:3" ht="11.25" customHeight="1">
      <c r="A41" s="4" t="s">
        <v>4108</v>
      </c>
      <c r="C41" t="s">
        <v>4109</v>
      </c>
    </row>
    <row r="42" spans="1:3" ht="11.25" customHeight="1">
      <c r="A42" s="4" t="s">
        <v>4110</v>
      </c>
      <c r="C42" t="s">
        <v>4111</v>
      </c>
    </row>
    <row r="43" spans="1:3" ht="11.25" customHeight="1">
      <c r="A43" s="4" t="s">
        <v>4112</v>
      </c>
      <c r="C43" t="s">
        <v>4113</v>
      </c>
    </row>
    <row r="44" spans="1:3" ht="11.25" customHeight="1">
      <c r="A44" s="4" t="s">
        <v>4114</v>
      </c>
    </row>
    <row r="45" spans="1:3" ht="11.25" customHeight="1">
      <c r="A45" s="4" t="s">
        <v>4115</v>
      </c>
    </row>
    <row r="46" spans="1:3" ht="11.25" customHeight="1">
      <c r="A46" s="4" t="s">
        <v>4116</v>
      </c>
    </row>
    <row r="47" spans="1:3" ht="11.25" customHeight="1">
      <c r="A47" s="4" t="s">
        <v>4117</v>
      </c>
    </row>
    <row r="48" spans="1:3" ht="11.25" customHeight="1">
      <c r="A48" s="4" t="s">
        <v>4118</v>
      </c>
    </row>
    <row r="49" spans="1:1" ht="11.25" customHeight="1">
      <c r="A49" s="4" t="s">
        <v>4119</v>
      </c>
    </row>
    <row r="50" spans="1:1" ht="11.25" customHeight="1">
      <c r="A50" s="4" t="s">
        <v>4120</v>
      </c>
    </row>
    <row r="51" spans="1:1" ht="11.25" customHeight="1">
      <c r="A51" s="4" t="s">
        <v>4121</v>
      </c>
    </row>
    <row r="52" spans="1:1" ht="11.25" customHeight="1">
      <c r="A52" s="4" t="s">
        <v>4122</v>
      </c>
    </row>
    <row r="53" spans="1:1" ht="11.25" customHeight="1">
      <c r="A53" s="4" t="s">
        <v>4123</v>
      </c>
    </row>
    <row r="54" spans="1:1" ht="11.25" customHeight="1">
      <c r="A54" s="4" t="s">
        <v>4124</v>
      </c>
    </row>
    <row r="55" spans="1:1" ht="11.25" customHeight="1">
      <c r="A55" s="4" t="s">
        <v>4125</v>
      </c>
    </row>
    <row r="56" spans="1:1" ht="11.25" customHeight="1">
      <c r="A56" s="4" t="s">
        <v>4126</v>
      </c>
    </row>
    <row r="57" spans="1:1" ht="11.25" customHeight="1">
      <c r="A57" s="4" t="s">
        <v>3489</v>
      </c>
    </row>
    <row r="58" spans="1:1" ht="11.25" customHeight="1">
      <c r="A58" s="4" t="s">
        <v>4127</v>
      </c>
    </row>
    <row r="59" spans="1:1" ht="11.25" customHeight="1">
      <c r="A59" s="4" t="s">
        <v>4128</v>
      </c>
    </row>
    <row r="60" spans="1:1" ht="11.25" customHeight="1">
      <c r="A60" s="4" t="s">
        <v>4129</v>
      </c>
    </row>
    <row r="61" spans="1:1" ht="11.25" customHeight="1">
      <c r="A61" s="4" t="s">
        <v>4130</v>
      </c>
    </row>
    <row r="62" spans="1:1" ht="11.25" customHeight="1">
      <c r="A62" s="4" t="s">
        <v>4131</v>
      </c>
    </row>
    <row r="63" spans="1:1" ht="11.25" customHeight="1">
      <c r="A63" s="4" t="s">
        <v>4132</v>
      </c>
    </row>
    <row r="64" spans="1:1" ht="11.25" customHeight="1">
      <c r="A64" s="4" t="s">
        <v>4133</v>
      </c>
    </row>
    <row r="65" spans="1:1" ht="11.25" customHeight="1">
      <c r="A65" s="4" t="s">
        <v>4134</v>
      </c>
    </row>
    <row r="66" spans="1:1" ht="11.25" customHeight="1">
      <c r="A66" s="4" t="s">
        <v>4135</v>
      </c>
    </row>
    <row r="67" spans="1:1" ht="11.25" customHeight="1">
      <c r="A67" s="4" t="s">
        <v>4136</v>
      </c>
    </row>
    <row r="68" spans="1:1" ht="11.25" customHeight="1">
      <c r="A68" s="4" t="s">
        <v>4137</v>
      </c>
    </row>
    <row r="69" spans="1:1" ht="11.25" customHeight="1">
      <c r="A69" s="4" t="s">
        <v>4138</v>
      </c>
    </row>
    <row r="70" spans="1:1" ht="11.25" customHeight="1">
      <c r="A70" s="4" t="s">
        <v>4139</v>
      </c>
    </row>
    <row r="71" spans="1:1" ht="11.25" customHeight="1">
      <c r="A71" s="4" t="s">
        <v>3112</v>
      </c>
    </row>
    <row r="72" spans="1:1" ht="11.25" customHeight="1">
      <c r="A72" s="4" t="s">
        <v>4140</v>
      </c>
    </row>
    <row r="73" spans="1:1" ht="11.25" customHeight="1">
      <c r="A73" s="4" t="s">
        <v>4141</v>
      </c>
    </row>
    <row r="74" spans="1:1" ht="11.25" customHeight="1">
      <c r="A74" s="4" t="s">
        <v>127</v>
      </c>
    </row>
    <row r="75" spans="1:1" ht="11.25" customHeight="1">
      <c r="A75" s="4" t="s">
        <v>4142</v>
      </c>
    </row>
    <row r="76" spans="1:1" ht="11.25" customHeight="1">
      <c r="A76" s="4" t="s">
        <v>4143</v>
      </c>
    </row>
    <row r="77" spans="1:1" ht="11.25" customHeight="1">
      <c r="A77" s="4" t="s">
        <v>4144</v>
      </c>
    </row>
    <row r="78" spans="1:1" ht="11.25" customHeight="1">
      <c r="A78" s="4" t="s">
        <v>4145</v>
      </c>
    </row>
    <row r="79" spans="1:1" ht="11.25" customHeight="1">
      <c r="A79" s="4" t="s">
        <v>4146</v>
      </c>
    </row>
    <row r="80" spans="1:1" ht="11.25" customHeight="1">
      <c r="A80" s="4" t="s">
        <v>4147</v>
      </c>
    </row>
    <row r="81" spans="1:1" ht="11.25" customHeight="1">
      <c r="A81" s="4" t="s">
        <v>4148</v>
      </c>
    </row>
    <row r="82" spans="1:1" ht="11.25" customHeight="1">
      <c r="A82" s="4" t="s">
        <v>4149</v>
      </c>
    </row>
    <row r="83" spans="1:1" ht="11.25" customHeight="1">
      <c r="A83" s="4" t="s">
        <v>4150</v>
      </c>
    </row>
    <row r="84" spans="1:1" ht="11.25" customHeight="1">
      <c r="A84" s="4" t="s">
        <v>4151</v>
      </c>
    </row>
    <row r="85" spans="1:1" ht="11.25" customHeight="1">
      <c r="A85" s="4" t="s">
        <v>4152</v>
      </c>
    </row>
    <row r="86" spans="1:1" ht="11.25" customHeight="1">
      <c r="A86" s="4" t="s">
        <v>3514</v>
      </c>
    </row>
    <row r="87" spans="1:1" ht="11.25" customHeight="1">
      <c r="A87" s="4" t="s">
        <v>4153</v>
      </c>
    </row>
    <row r="88" spans="1:1" ht="11.25" customHeight="1">
      <c r="A88" s="4" t="s">
        <v>4154</v>
      </c>
    </row>
    <row r="89" spans="1:1" ht="11.25" customHeight="1">
      <c r="A89" s="4" t="s">
        <v>4155</v>
      </c>
    </row>
    <row r="90" spans="1:1" ht="11.25" customHeight="1">
      <c r="A90" s="4" t="s">
        <v>4156</v>
      </c>
    </row>
    <row r="91" spans="1:1" ht="11.25" customHeight="1">
      <c r="A91" s="4" t="s">
        <v>4157</v>
      </c>
    </row>
    <row r="92" spans="1:1" ht="11.25" customHeight="1">
      <c r="A92" s="4" t="s">
        <v>4158</v>
      </c>
    </row>
    <row r="93" spans="1:1" ht="11.25" customHeight="1">
      <c r="A93" s="4" t="s">
        <v>3559</v>
      </c>
    </row>
    <row r="94" spans="1:1" ht="11.25" customHeight="1">
      <c r="A94" s="4" t="s">
        <v>4159</v>
      </c>
    </row>
    <row r="95" spans="1:1" ht="11.25" customHeight="1">
      <c r="A95" s="4" t="s">
        <v>4160</v>
      </c>
    </row>
    <row r="96" spans="1:1" ht="11.25" customHeight="1">
      <c r="A96" s="4" t="s">
        <v>4161</v>
      </c>
    </row>
    <row r="97" spans="1:1" ht="11.25" customHeight="1">
      <c r="A97" s="4" t="s">
        <v>4162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BF998-5D52-6AF8-8AF8-0F3928A4C188}">
  <sheetPr>
    <tabColor rgb="FFFFCC99"/>
  </sheetPr>
  <dimension ref="A1:AG183"/>
  <sheetViews>
    <sheetView showGridLines="0" workbookViewId="0"/>
  </sheetViews>
  <sheetFormatPr defaultColWidth="9.140625" defaultRowHeight="12" customHeight="1"/>
  <cols>
    <col min="1" max="1" width="42.7109375" style="523" customWidth="1"/>
    <col min="2" max="2" width="6.7109375" style="523" customWidth="1"/>
    <col min="3" max="3" width="40.7109375" style="523" customWidth="1"/>
    <col min="4" max="4" width="15.5703125" style="523" customWidth="1"/>
    <col min="5" max="6" width="3.7109375" style="523" customWidth="1"/>
    <col min="7" max="7" width="32.7109375" style="523" customWidth="1"/>
    <col min="8" max="9" width="3.7109375" style="523" customWidth="1"/>
    <col min="10" max="10" width="4.7109375" style="523" customWidth="1"/>
    <col min="11" max="11" width="40.7109375" style="523" customWidth="1"/>
    <col min="12" max="12" width="4.7109375" style="523" customWidth="1"/>
    <col min="13" max="13" width="18.5703125" style="523" customWidth="1"/>
    <col min="14" max="15" width="4.7109375" style="523" customWidth="1"/>
    <col min="16" max="16" width="5.7109375" style="523" customWidth="1"/>
    <col min="17" max="18" width="12.5703125" style="523" customWidth="1"/>
    <col min="19" max="19" width="14.5703125" style="523" customWidth="1"/>
    <col min="20" max="20" width="18.85546875" style="523" customWidth="1"/>
    <col min="21" max="21" width="19.28515625" style="523" customWidth="1"/>
    <col min="22" max="22" width="39.140625" style="523" customWidth="1"/>
    <col min="23" max="23" width="41.7109375" style="523" customWidth="1"/>
    <col min="24" max="24" width="54.85546875" style="523" customWidth="1"/>
    <col min="25" max="26" width="22.85546875" style="523" customWidth="1"/>
    <col min="27" max="31" width="9.140625" style="523"/>
  </cols>
  <sheetData>
    <row r="1" spans="1:33" ht="12" customHeight="1">
      <c r="A1" s="26" t="s">
        <v>4163</v>
      </c>
      <c r="B1" s="25" t="s">
        <v>4164</v>
      </c>
      <c r="C1" s="26" t="s">
        <v>4163</v>
      </c>
      <c r="D1" s="323" t="s">
        <v>4165</v>
      </c>
      <c r="E1" s="77"/>
      <c r="F1" s="77"/>
      <c r="G1" s="78" t="s">
        <v>4166</v>
      </c>
      <c r="H1" s="77"/>
      <c r="I1" s="77"/>
      <c r="J1" s="77"/>
      <c r="K1" s="312" t="s">
        <v>4167</v>
      </c>
      <c r="L1" s="26"/>
      <c r="M1" s="78" t="s">
        <v>4168</v>
      </c>
      <c r="N1" s="77"/>
      <c r="O1" s="26"/>
      <c r="P1" s="77"/>
      <c r="Q1" s="78" t="s">
        <v>4169</v>
      </c>
      <c r="R1" s="78" t="s">
        <v>4170</v>
      </c>
      <c r="S1" s="78" t="s">
        <v>4171</v>
      </c>
      <c r="T1" s="78" t="s">
        <v>4172</v>
      </c>
      <c r="U1" s="78" t="s">
        <v>4173</v>
      </c>
      <c r="V1" s="85" t="s">
        <v>4174</v>
      </c>
      <c r="W1" s="85" t="s">
        <v>4175</v>
      </c>
      <c r="X1" s="85" t="s">
        <v>4176</v>
      </c>
      <c r="Y1" s="85" t="s">
        <v>4177</v>
      </c>
      <c r="Z1" s="85" t="s">
        <v>4178</v>
      </c>
      <c r="AA1" s="78" t="s">
        <v>4179</v>
      </c>
      <c r="AB1" s="78" t="s">
        <v>4180</v>
      </c>
      <c r="AC1" s="78" t="s">
        <v>4181</v>
      </c>
      <c r="AD1" s="78" t="s">
        <v>4182</v>
      </c>
      <c r="AE1" s="78" t="s">
        <v>4183</v>
      </c>
      <c r="AF1" s="1" t="s">
        <v>4184</v>
      </c>
      <c r="AG1" s="1" t="s">
        <v>4185</v>
      </c>
    </row>
    <row r="2" spans="1:33" ht="12" customHeight="1">
      <c r="A2" s="26" t="s">
        <v>4186</v>
      </c>
      <c r="B2" s="25" t="s">
        <v>4187</v>
      </c>
      <c r="C2" s="26" t="s">
        <v>4186</v>
      </c>
      <c r="D2" s="322" t="s">
        <v>4188</v>
      </c>
      <c r="E2" s="77"/>
      <c r="F2" s="77"/>
      <c r="G2" s="79" t="s">
        <v>150</v>
      </c>
      <c r="H2" s="77"/>
      <c r="I2" s="77"/>
      <c r="J2" s="77"/>
      <c r="K2" s="313" t="s">
        <v>4189</v>
      </c>
      <c r="L2" s="77"/>
      <c r="M2" s="80" t="s">
        <v>4190</v>
      </c>
      <c r="N2" s="77"/>
      <c r="O2" s="77"/>
      <c r="P2" s="77"/>
      <c r="Q2" s="79">
        <v>2012</v>
      </c>
      <c r="R2" s="79" t="s">
        <v>4191</v>
      </c>
      <c r="S2" s="79">
        <v>3</v>
      </c>
      <c r="T2" s="84" t="s">
        <v>278</v>
      </c>
      <c r="U2" s="84" t="s">
        <v>281</v>
      </c>
      <c r="V2" s="95" t="s">
        <v>283</v>
      </c>
      <c r="W2" s="95" t="s">
        <v>280</v>
      </c>
      <c r="X2" s="95" t="s">
        <v>4192</v>
      </c>
      <c r="Y2" s="95" t="s">
        <v>4193</v>
      </c>
      <c r="Z2" s="95" t="s">
        <v>4193</v>
      </c>
      <c r="AA2" s="84" t="s">
        <v>4194</v>
      </c>
      <c r="AB2" s="84" t="s">
        <v>4195</v>
      </c>
      <c r="AC2" s="84" t="s">
        <v>4196</v>
      </c>
      <c r="AD2" s="84" t="s">
        <v>4197</v>
      </c>
      <c r="AE2" s="84" t="s">
        <v>277</v>
      </c>
      <c r="AF2" s="1" t="s">
        <v>4198</v>
      </c>
      <c r="AG2" s="1" t="s">
        <v>4199</v>
      </c>
    </row>
    <row r="3" spans="1:33" ht="12" customHeight="1">
      <c r="A3" s="26" t="s">
        <v>4200</v>
      </c>
      <c r="B3" s="25" t="s">
        <v>4201</v>
      </c>
      <c r="C3" s="26" t="s">
        <v>4200</v>
      </c>
      <c r="D3" s="77"/>
      <c r="E3" s="77"/>
      <c r="F3" s="77"/>
      <c r="G3" s="79" t="s">
        <v>215</v>
      </c>
      <c r="H3" s="77"/>
      <c r="I3" s="77"/>
      <c r="J3" s="77"/>
      <c r="L3" s="77"/>
      <c r="M3" s="77"/>
      <c r="N3" s="77"/>
      <c r="O3" s="77"/>
      <c r="P3" s="77"/>
      <c r="Q3" s="79">
        <v>2013</v>
      </c>
      <c r="R3" s="79" t="s">
        <v>4202</v>
      </c>
      <c r="S3" s="79">
        <v>4</v>
      </c>
      <c r="T3" s="84" t="s">
        <v>4203</v>
      </c>
      <c r="U3" s="84" t="s">
        <v>4204</v>
      </c>
      <c r="V3" s="95" t="s">
        <v>4205</v>
      </c>
      <c r="W3" s="95" t="s">
        <v>4206</v>
      </c>
      <c r="X3" s="95" t="s">
        <v>4207</v>
      </c>
      <c r="Y3" s="95" t="s">
        <v>4208</v>
      </c>
      <c r="Z3" s="95" t="s">
        <v>4208</v>
      </c>
      <c r="AA3" s="84" t="s">
        <v>4209</v>
      </c>
      <c r="AB3" s="84" t="s">
        <v>4210</v>
      </c>
      <c r="AC3" s="84" t="s">
        <v>4211</v>
      </c>
      <c r="AD3" s="84" t="s">
        <v>4212</v>
      </c>
      <c r="AE3" s="84" t="s">
        <v>435</v>
      </c>
      <c r="AF3" s="1" t="s">
        <v>4213</v>
      </c>
      <c r="AG3" s="1" t="s">
        <v>4214</v>
      </c>
    </row>
    <row r="4" spans="1:33" ht="12" customHeight="1">
      <c r="A4" s="26" t="s">
        <v>4215</v>
      </c>
      <c r="B4" s="25" t="s">
        <v>4216</v>
      </c>
      <c r="C4" s="26" t="s">
        <v>4215</v>
      </c>
      <c r="D4" s="77"/>
      <c r="E4" s="77"/>
      <c r="F4" s="77"/>
      <c r="G4" s="77"/>
      <c r="H4" s="77"/>
      <c r="I4" s="77"/>
      <c r="J4" s="77"/>
      <c r="K4" s="312" t="s">
        <v>4217</v>
      </c>
      <c r="L4" s="77"/>
      <c r="M4" s="78" t="s">
        <v>4218</v>
      </c>
      <c r="N4" s="77"/>
      <c r="O4" s="77"/>
      <c r="P4" s="77"/>
      <c r="Q4" s="79">
        <v>2014</v>
      </c>
      <c r="R4" s="79" t="s">
        <v>4219</v>
      </c>
      <c r="S4" s="79">
        <v>5</v>
      </c>
      <c r="V4" s="95" t="s">
        <v>4220</v>
      </c>
      <c r="X4" s="95" t="s">
        <v>4221</v>
      </c>
      <c r="Y4" s="95" t="s">
        <v>4222</v>
      </c>
      <c r="Z4" s="95" t="s">
        <v>4222</v>
      </c>
      <c r="AB4" s="84" t="s">
        <v>4223</v>
      </c>
      <c r="AC4" s="84" t="s">
        <v>4224</v>
      </c>
      <c r="AD4" s="83"/>
      <c r="AE4" s="84" t="s">
        <v>319</v>
      </c>
      <c r="AF4" s="1" t="s">
        <v>4225</v>
      </c>
      <c r="AG4" s="1" t="s">
        <v>4226</v>
      </c>
    </row>
    <row r="5" spans="1:33" ht="12" customHeight="1">
      <c r="A5" s="26" t="s">
        <v>4227</v>
      </c>
      <c r="B5" s="25" t="s">
        <v>4228</v>
      </c>
      <c r="C5" s="26" t="s">
        <v>4227</v>
      </c>
      <c r="D5" s="77"/>
      <c r="E5" s="77"/>
      <c r="F5" s="77"/>
      <c r="G5" s="78" t="s">
        <v>4229</v>
      </c>
      <c r="H5" s="77"/>
      <c r="I5" s="77"/>
      <c r="J5" s="77"/>
      <c r="K5" s="79" t="s">
        <v>4230</v>
      </c>
      <c r="L5" s="77"/>
      <c r="M5" s="80">
        <v>1.2</v>
      </c>
      <c r="N5" s="77"/>
      <c r="O5" s="77"/>
      <c r="P5" s="77"/>
      <c r="Q5" s="79">
        <v>2015</v>
      </c>
      <c r="R5" s="79" t="s">
        <v>4231</v>
      </c>
      <c r="S5" s="79">
        <v>6</v>
      </c>
      <c r="V5" s="85" t="s">
        <v>4232</v>
      </c>
      <c r="W5" s="85" t="s">
        <v>4233</v>
      </c>
      <c r="X5" s="95" t="s">
        <v>4234</v>
      </c>
      <c r="Y5" s="95" t="s">
        <v>4235</v>
      </c>
      <c r="Z5" s="95" t="s">
        <v>4235</v>
      </c>
      <c r="AB5" s="84" t="s">
        <v>4236</v>
      </c>
      <c r="AC5" s="84" t="s">
        <v>4237</v>
      </c>
      <c r="AD5" s="83"/>
      <c r="AE5" s="84" t="s">
        <v>438</v>
      </c>
      <c r="AF5" s="1" t="s">
        <v>4238</v>
      </c>
      <c r="AG5" s="1" t="s">
        <v>4239</v>
      </c>
    </row>
    <row r="6" spans="1:33" ht="12" customHeight="1">
      <c r="A6" s="26" t="s">
        <v>4240</v>
      </c>
      <c r="B6" s="25" t="s">
        <v>4241</v>
      </c>
      <c r="C6" s="26" t="s">
        <v>4240</v>
      </c>
      <c r="D6" s="77"/>
      <c r="E6" s="77"/>
      <c r="F6" s="77"/>
      <c r="G6" s="78" t="s">
        <v>4242</v>
      </c>
      <c r="H6" s="77"/>
      <c r="I6" s="77"/>
      <c r="J6" s="77"/>
      <c r="K6" s="79" t="s">
        <v>4243</v>
      </c>
      <c r="L6" s="77"/>
      <c r="M6" s="77"/>
      <c r="N6" s="77"/>
      <c r="O6" s="77"/>
      <c r="P6" s="77"/>
      <c r="Q6" s="79">
        <v>2016</v>
      </c>
      <c r="R6" s="79" t="s">
        <v>4244</v>
      </c>
      <c r="S6" s="79">
        <v>7</v>
      </c>
      <c r="V6" s="95" t="s">
        <v>4245</v>
      </c>
      <c r="W6" s="172" t="s">
        <v>4246</v>
      </c>
      <c r="X6" s="95" t="s">
        <v>4247</v>
      </c>
      <c r="Y6" s="95" t="s">
        <v>922</v>
      </c>
      <c r="Z6" s="95" t="s">
        <v>922</v>
      </c>
      <c r="AB6" s="84" t="s">
        <v>4248</v>
      </c>
      <c r="AC6" s="83"/>
      <c r="AD6" s="83"/>
      <c r="AE6" s="84" t="s">
        <v>440</v>
      </c>
      <c r="AF6" s="1" t="s">
        <v>4249</v>
      </c>
      <c r="AG6" s="1" t="s">
        <v>4250</v>
      </c>
    </row>
    <row r="7" spans="1:33" ht="12" customHeight="1">
      <c r="A7" s="26" t="s">
        <v>4251</v>
      </c>
      <c r="B7" s="25" t="s">
        <v>4252</v>
      </c>
      <c r="C7" s="26" t="s">
        <v>4251</v>
      </c>
      <c r="D7" s="77"/>
      <c r="E7" s="77"/>
      <c r="F7" s="77"/>
      <c r="G7" s="81" t="s">
        <v>4253</v>
      </c>
      <c r="H7" s="77"/>
      <c r="I7" s="77"/>
      <c r="J7" s="77"/>
      <c r="K7" s="79" t="s">
        <v>4254</v>
      </c>
      <c r="L7" s="77"/>
      <c r="M7" s="78" t="s">
        <v>4255</v>
      </c>
      <c r="N7" s="77"/>
      <c r="O7" s="77"/>
      <c r="P7" s="77"/>
      <c r="Q7" s="79">
        <v>2017</v>
      </c>
      <c r="R7" s="79" t="s">
        <v>4256</v>
      </c>
      <c r="S7" s="79">
        <v>8</v>
      </c>
      <c r="V7" s="95" t="s">
        <v>4257</v>
      </c>
      <c r="X7" s="95" t="s">
        <v>429</v>
      </c>
      <c r="Y7" s="95" t="s">
        <v>4258</v>
      </c>
      <c r="Z7" s="95" t="s">
        <v>4258</v>
      </c>
      <c r="AB7" s="84" t="s">
        <v>4259</v>
      </c>
      <c r="AC7" s="83"/>
      <c r="AD7" s="83"/>
      <c r="AE7" s="83"/>
      <c r="AF7" s="1" t="s">
        <v>4214</v>
      </c>
      <c r="AG7" s="1" t="s">
        <v>4260</v>
      </c>
    </row>
    <row r="8" spans="1:33" ht="12" customHeight="1">
      <c r="A8" s="26" t="s">
        <v>4261</v>
      </c>
      <c r="B8" s="25" t="s">
        <v>4262</v>
      </c>
      <c r="C8" s="26" t="s">
        <v>4261</v>
      </c>
      <c r="D8" s="77"/>
      <c r="E8" s="77"/>
      <c r="F8" s="77"/>
      <c r="G8" s="81" t="s">
        <v>4263</v>
      </c>
      <c r="H8" s="77"/>
      <c r="I8" s="77"/>
      <c r="J8" s="77"/>
      <c r="K8" s="79" t="s">
        <v>4264</v>
      </c>
      <c r="L8" s="77"/>
      <c r="M8" s="80" cm="1">
        <f t="array" aca="1" ref="M8" ca="1">IF(god="",YEAR(TODAY()),god)</f>
        <v>2026</v>
      </c>
      <c r="N8" s="77"/>
      <c r="O8" s="77"/>
      <c r="P8" s="77"/>
      <c r="Q8" s="79">
        <v>2018</v>
      </c>
      <c r="R8" s="79" t="s">
        <v>4265</v>
      </c>
      <c r="S8" s="79">
        <v>9</v>
      </c>
      <c r="V8" s="95" t="s">
        <v>4266</v>
      </c>
      <c r="X8" s="95" t="s">
        <v>4267</v>
      </c>
      <c r="Z8" s="95" t="s">
        <v>4268</v>
      </c>
      <c r="AB8" s="84" t="s">
        <v>4269</v>
      </c>
      <c r="AC8" s="83"/>
      <c r="AD8" s="83"/>
      <c r="AE8" s="83"/>
      <c r="AF8" s="1" t="s">
        <v>4226</v>
      </c>
      <c r="AG8" s="1" t="s">
        <v>4270</v>
      </c>
    </row>
    <row r="9" spans="1:33" ht="12" customHeight="1">
      <c r="A9" s="26" t="s">
        <v>4271</v>
      </c>
      <c r="B9" s="25" t="s">
        <v>4272</v>
      </c>
      <c r="C9" s="26" t="s">
        <v>4271</v>
      </c>
      <c r="D9" s="77"/>
      <c r="E9" s="77"/>
      <c r="F9" s="77"/>
      <c r="G9" s="81" t="s">
        <v>153</v>
      </c>
      <c r="H9" s="77"/>
      <c r="I9" s="77"/>
      <c r="J9" s="77"/>
      <c r="K9" s="79" t="s">
        <v>4273</v>
      </c>
      <c r="L9" s="77"/>
      <c r="M9" s="77"/>
      <c r="N9" s="77"/>
      <c r="O9" s="77"/>
      <c r="P9" s="77"/>
      <c r="Q9" s="79">
        <v>2019</v>
      </c>
      <c r="R9" s="79" t="s">
        <v>4274</v>
      </c>
      <c r="S9" s="79">
        <v>10</v>
      </c>
      <c r="V9" s="95" t="s">
        <v>4275</v>
      </c>
      <c r="X9" s="95" t="s">
        <v>4276</v>
      </c>
      <c r="AB9" s="84" t="s">
        <v>4277</v>
      </c>
      <c r="AC9" s="83"/>
      <c r="AD9" s="83"/>
      <c r="AE9" s="83"/>
      <c r="AF9" s="1" t="s">
        <v>4239</v>
      </c>
      <c r="AG9" s="1" t="s">
        <v>4278</v>
      </c>
    </row>
    <row r="10" spans="1:33" ht="12" customHeight="1">
      <c r="A10" s="26" t="s">
        <v>4279</v>
      </c>
      <c r="B10" s="25" t="s">
        <v>4280</v>
      </c>
      <c r="C10" s="26" t="s">
        <v>4279</v>
      </c>
      <c r="D10" s="77"/>
      <c r="E10" s="77"/>
      <c r="F10" s="77"/>
      <c r="G10" s="82"/>
      <c r="H10" s="77"/>
      <c r="I10" s="77"/>
      <c r="J10" s="77"/>
      <c r="K10" s="79" t="s">
        <v>4281</v>
      </c>
      <c r="L10" s="77"/>
      <c r="M10" s="78" t="s">
        <v>4282</v>
      </c>
      <c r="N10" s="77"/>
      <c r="O10" s="77"/>
      <c r="P10" s="77"/>
      <c r="Q10" s="79">
        <v>2020</v>
      </c>
      <c r="R10" s="79" t="s">
        <v>4283</v>
      </c>
      <c r="S10" s="79">
        <v>11</v>
      </c>
      <c r="V10" s="95" t="s">
        <v>4284</v>
      </c>
      <c r="X10" s="95" t="s">
        <v>4285</v>
      </c>
      <c r="AB10" s="84" t="s">
        <v>4286</v>
      </c>
      <c r="AC10" s="83"/>
      <c r="AD10" s="83"/>
      <c r="AE10" s="83"/>
      <c r="AF10" s="1" t="s">
        <v>4250</v>
      </c>
      <c r="AG10" s="1" t="s">
        <v>4287</v>
      </c>
    </row>
    <row r="11" spans="1:33" ht="12" customHeight="1">
      <c r="A11" s="308" t="s">
        <v>4288</v>
      </c>
      <c r="B11" s="25" t="s">
        <v>4289</v>
      </c>
      <c r="C11" s="26" t="s">
        <v>4290</v>
      </c>
      <c r="D11" s="77"/>
      <c r="E11" s="77"/>
      <c r="F11" s="77"/>
      <c r="G11" s="78" t="s">
        <v>4291</v>
      </c>
      <c r="H11" s="77"/>
      <c r="I11" s="77"/>
      <c r="J11" s="77"/>
      <c r="K11" s="79" t="s">
        <v>4292</v>
      </c>
      <c r="L11" s="77"/>
      <c r="M11" s="80" t="str">
        <f ca="1">"01.01."&amp;PERIOD</f>
        <v>01.01.2026</v>
      </c>
      <c r="N11" s="77"/>
      <c r="O11" s="77"/>
      <c r="P11" s="77"/>
      <c r="Q11" s="79">
        <v>2021</v>
      </c>
      <c r="R11" s="79" t="s">
        <v>4293</v>
      </c>
      <c r="S11" s="79">
        <v>12</v>
      </c>
      <c r="V11" s="95" t="s">
        <v>4294</v>
      </c>
      <c r="X11" s="95" t="s">
        <v>4295</v>
      </c>
      <c r="AB11" s="84" t="s">
        <v>4296</v>
      </c>
      <c r="AC11" s="83"/>
      <c r="AD11" s="83"/>
      <c r="AE11" s="83"/>
      <c r="AF11" s="1" t="s">
        <v>4260</v>
      </c>
      <c r="AG11" s="1" t="s">
        <v>4297</v>
      </c>
    </row>
    <row r="12" spans="1:33" ht="12" customHeight="1">
      <c r="A12" s="308" t="s">
        <v>4298</v>
      </c>
      <c r="B12" s="25" t="s">
        <v>4299</v>
      </c>
      <c r="C12" s="26"/>
      <c r="D12" s="77"/>
      <c r="E12" s="77"/>
      <c r="F12" s="77"/>
      <c r="G12" s="78" t="s">
        <v>4300</v>
      </c>
      <c r="H12" s="77"/>
      <c r="I12" s="77"/>
      <c r="J12" s="77"/>
      <c r="K12" s="77"/>
      <c r="L12" s="77"/>
      <c r="M12" s="80" t="str">
        <f ca="1">"31.12."&amp;PERIOD</f>
        <v>31.12.2026</v>
      </c>
      <c r="N12" s="77"/>
      <c r="O12" s="77"/>
      <c r="P12" s="77"/>
      <c r="Q12" s="79">
        <v>2022</v>
      </c>
      <c r="R12" s="79" t="s">
        <v>4301</v>
      </c>
      <c r="S12" s="79">
        <v>13</v>
      </c>
      <c r="X12" s="95" t="s">
        <v>4302</v>
      </c>
      <c r="AB12" s="84" t="s">
        <v>4303</v>
      </c>
      <c r="AC12" s="83"/>
      <c r="AD12" s="83"/>
      <c r="AE12" s="83"/>
      <c r="AF12" s="1" t="s">
        <v>4270</v>
      </c>
      <c r="AG12" s="1" t="s">
        <v>4304</v>
      </c>
    </row>
    <row r="13" spans="1:33" ht="12" customHeight="1">
      <c r="A13" s="308" t="s">
        <v>4305</v>
      </c>
      <c r="B13" s="25" t="s">
        <v>4306</v>
      </c>
      <c r="C13" s="26" t="s">
        <v>4307</v>
      </c>
      <c r="D13" s="77"/>
      <c r="E13" s="77"/>
      <c r="F13" s="77"/>
      <c r="G13" s="81" t="s">
        <v>4308</v>
      </c>
      <c r="H13" s="77"/>
      <c r="I13" s="77"/>
      <c r="J13" s="77"/>
      <c r="K13" s="78" t="s">
        <v>4309</v>
      </c>
      <c r="L13" s="77"/>
      <c r="M13" s="77"/>
      <c r="N13" s="77"/>
      <c r="O13" s="77"/>
      <c r="P13" s="77"/>
      <c r="Q13" s="79">
        <v>2023</v>
      </c>
      <c r="R13" s="79" t="s">
        <v>4310</v>
      </c>
      <c r="S13" s="79">
        <v>14</v>
      </c>
      <c r="X13" s="95" t="s">
        <v>4311</v>
      </c>
      <c r="AB13" s="84" t="s">
        <v>4312</v>
      </c>
      <c r="AC13" s="83"/>
      <c r="AD13" s="83"/>
      <c r="AE13" s="83"/>
      <c r="AF13" s="1" t="s">
        <v>4278</v>
      </c>
      <c r="AG13" s="1" t="s">
        <v>4313</v>
      </c>
    </row>
    <row r="14" spans="1:33" ht="12" customHeight="1">
      <c r="A14" s="308" t="s">
        <v>4314</v>
      </c>
      <c r="B14" s="25" t="s">
        <v>4315</v>
      </c>
      <c r="C14" s="26" t="s">
        <v>4316</v>
      </c>
      <c r="D14" s="77"/>
      <c r="E14" s="77"/>
      <c r="F14" s="77"/>
      <c r="G14" s="81" t="s">
        <v>4317</v>
      </c>
      <c r="H14" s="77"/>
      <c r="I14" s="77"/>
      <c r="J14" s="77"/>
      <c r="K14" s="350" t="s">
        <v>103</v>
      </c>
      <c r="L14" s="77"/>
      <c r="M14" s="78" t="s">
        <v>4318</v>
      </c>
      <c r="N14" s="77"/>
      <c r="O14" s="77"/>
      <c r="P14" s="77"/>
      <c r="Q14" s="79">
        <v>2024</v>
      </c>
      <c r="R14" s="77"/>
      <c r="S14" s="79">
        <v>15</v>
      </c>
      <c r="X14" s="95" t="s">
        <v>4319</v>
      </c>
      <c r="AB14" s="84" t="s">
        <v>4320</v>
      </c>
      <c r="AC14" s="83"/>
      <c r="AD14" s="83"/>
      <c r="AE14" s="83"/>
      <c r="AF14" s="1" t="s">
        <v>4287</v>
      </c>
      <c r="AG14" s="1" t="s">
        <v>4321</v>
      </c>
    </row>
    <row r="15" spans="1:33" ht="12" customHeight="1">
      <c r="A15" s="309" t="s">
        <v>4322</v>
      </c>
      <c r="B15" s="310"/>
      <c r="C15" s="309"/>
      <c r="D15" s="77"/>
      <c r="E15" s="77"/>
      <c r="F15" s="77"/>
      <c r="G15" s="81" t="s">
        <v>156</v>
      </c>
      <c r="H15" s="77"/>
      <c r="I15" s="77"/>
      <c r="J15" s="77"/>
      <c r="K15" s="350" t="s">
        <v>4022</v>
      </c>
      <c r="L15" s="77"/>
      <c r="M15" s="80" t="str">
        <f ca="1">"01.01."&amp;PERIOD</f>
        <v>01.01.2026</v>
      </c>
      <c r="N15" s="77"/>
      <c r="O15" s="77"/>
      <c r="P15" s="77"/>
      <c r="Q15" s="79">
        <v>2025</v>
      </c>
      <c r="R15" s="77"/>
      <c r="S15" s="79">
        <v>16</v>
      </c>
      <c r="AB15" s="84" t="s">
        <v>4323</v>
      </c>
      <c r="AC15" s="83"/>
      <c r="AD15" s="83"/>
      <c r="AE15" s="83"/>
      <c r="AF15" s="1" t="s">
        <v>4297</v>
      </c>
      <c r="AG15" s="1" t="s">
        <v>4324</v>
      </c>
    </row>
    <row r="16" spans="1:33" ht="12" customHeight="1">
      <c r="A16" s="26" t="s">
        <v>4325</v>
      </c>
      <c r="B16" s="25" t="s">
        <v>4326</v>
      </c>
      <c r="C16" s="26" t="s">
        <v>4325</v>
      </c>
      <c r="D16" s="77"/>
      <c r="E16" s="77"/>
      <c r="F16" s="77"/>
      <c r="G16" s="81" t="s">
        <v>4327</v>
      </c>
      <c r="H16" s="77"/>
      <c r="I16" s="77"/>
      <c r="J16" s="77"/>
      <c r="K16" s="350" t="s">
        <v>4328</v>
      </c>
      <c r="L16" s="77"/>
      <c r="M16" s="80" t="str">
        <f ca="1">"31.12."&amp;PERIOD</f>
        <v>31.12.2026</v>
      </c>
      <c r="N16" s="77"/>
      <c r="O16" s="77"/>
      <c r="P16" s="77"/>
      <c r="Q16" s="79">
        <v>2026</v>
      </c>
      <c r="R16" s="77"/>
      <c r="S16" s="79">
        <v>17</v>
      </c>
      <c r="X16" s="85" t="s">
        <v>4329</v>
      </c>
      <c r="AB16" s="84" t="s">
        <v>4330</v>
      </c>
      <c r="AC16" s="83"/>
      <c r="AD16" s="83"/>
      <c r="AE16" s="83"/>
      <c r="AF16" s="1" t="s">
        <v>4304</v>
      </c>
      <c r="AG16" s="1" t="s">
        <v>4331</v>
      </c>
    </row>
    <row r="17" spans="1:33" ht="23.25" customHeight="1">
      <c r="A17" s="26" t="s">
        <v>4332</v>
      </c>
      <c r="B17" s="25" t="s">
        <v>4333</v>
      </c>
      <c r="C17" s="26" t="s">
        <v>4332</v>
      </c>
      <c r="D17" s="77"/>
      <c r="E17" s="77"/>
      <c r="F17" s="77"/>
      <c r="G17" s="77"/>
      <c r="H17" s="77"/>
      <c r="I17" s="77"/>
      <c r="J17" s="77"/>
      <c r="K17" s="350" t="s">
        <v>4334</v>
      </c>
      <c r="L17" s="77"/>
      <c r="M17" s="66"/>
      <c r="N17" s="77"/>
      <c r="O17" s="77"/>
      <c r="P17" s="77"/>
      <c r="Q17" s="79">
        <v>2027</v>
      </c>
      <c r="R17" s="77"/>
      <c r="S17" s="79">
        <v>18</v>
      </c>
      <c r="X17" s="95" t="s">
        <v>430</v>
      </c>
      <c r="AB17" s="84" t="s">
        <v>4335</v>
      </c>
      <c r="AC17" s="83"/>
      <c r="AD17" s="83"/>
      <c r="AE17" s="83"/>
      <c r="AF17" s="1" t="s">
        <v>4313</v>
      </c>
      <c r="AG17" s="1" t="s">
        <v>4336</v>
      </c>
    </row>
    <row r="18" spans="1:33" ht="12" customHeight="1">
      <c r="A18" s="309" t="s">
        <v>4337</v>
      </c>
      <c r="B18" s="310"/>
      <c r="C18" s="309"/>
      <c r="D18" s="77"/>
      <c r="E18" s="77"/>
      <c r="F18" s="416"/>
      <c r="G18" s="78" t="s">
        <v>4338</v>
      </c>
      <c r="H18" s="77"/>
      <c r="I18" s="77"/>
      <c r="J18" s="77"/>
      <c r="K18" s="77"/>
      <c r="L18" s="77"/>
      <c r="M18" s="78" t="s">
        <v>4339</v>
      </c>
      <c r="N18" s="77"/>
      <c r="O18" s="77"/>
      <c r="P18" s="77"/>
      <c r="Q18" s="79">
        <v>2028</v>
      </c>
      <c r="R18" s="77"/>
      <c r="S18" s="79">
        <v>19</v>
      </c>
      <c r="X18" s="95" t="s">
        <v>4340</v>
      </c>
      <c r="AB18" s="84" t="s">
        <v>4341</v>
      </c>
      <c r="AC18" s="83"/>
      <c r="AD18" s="83"/>
      <c r="AE18" s="83"/>
      <c r="AF18" s="1" t="s">
        <v>4321</v>
      </c>
      <c r="AG18" s="1" t="s">
        <v>4342</v>
      </c>
    </row>
    <row r="19" spans="1:33" ht="12" customHeight="1">
      <c r="A19" s="26" t="s">
        <v>4343</v>
      </c>
      <c r="B19" s="25" t="s">
        <v>4344</v>
      </c>
      <c r="C19" s="26" t="s">
        <v>4343</v>
      </c>
      <c r="D19" s="77"/>
      <c r="E19" s="77"/>
      <c r="F19" s="416"/>
      <c r="G19" s="415" t="s">
        <v>161</v>
      </c>
      <c r="H19" s="77"/>
      <c r="I19" s="77"/>
      <c r="J19" s="77"/>
      <c r="K19" s="78" t="s">
        <v>4345</v>
      </c>
      <c r="L19" s="77"/>
      <c r="M19" s="80" t="str">
        <f ca="1">"01.01."&amp;PERIOD</f>
        <v>01.01.2026</v>
      </c>
      <c r="N19" s="77"/>
      <c r="O19" s="77"/>
      <c r="P19" s="77"/>
      <c r="Q19" s="79">
        <v>2029</v>
      </c>
      <c r="R19" s="77"/>
      <c r="S19" s="79">
        <v>20</v>
      </c>
      <c r="X19" s="95" t="s">
        <v>4346</v>
      </c>
      <c r="AB19" s="84" t="s">
        <v>4347</v>
      </c>
      <c r="AC19" s="83"/>
      <c r="AD19" s="83"/>
      <c r="AE19" s="83"/>
      <c r="AF19" s="1" t="s">
        <v>4324</v>
      </c>
      <c r="AG19" s="1" t="s">
        <v>4348</v>
      </c>
    </row>
    <row r="20" spans="1:33" ht="12" customHeight="1">
      <c r="A20" s="26" t="s">
        <v>4349</v>
      </c>
      <c r="B20" s="25" t="s">
        <v>4350</v>
      </c>
      <c r="C20" s="26" t="s">
        <v>4349</v>
      </c>
      <c r="D20" s="77"/>
      <c r="E20" s="77"/>
      <c r="F20" s="416"/>
      <c r="G20" s="415" t="s">
        <v>4351</v>
      </c>
      <c r="H20" s="77"/>
      <c r="I20" s="77"/>
      <c r="J20" s="77"/>
      <c r="K20" s="350" t="s">
        <v>4352</v>
      </c>
      <c r="L20" s="77"/>
      <c r="M20" s="80" t="str">
        <f ca="1">"31.12."&amp;PERIOD</f>
        <v>31.12.2026</v>
      </c>
      <c r="N20" s="77"/>
      <c r="O20" s="77"/>
      <c r="P20" s="77"/>
      <c r="Q20" s="79">
        <v>2030</v>
      </c>
      <c r="R20" s="77"/>
      <c r="S20" s="79">
        <v>21</v>
      </c>
      <c r="X20" s="95" t="s">
        <v>205</v>
      </c>
      <c r="AB20" s="84" t="s">
        <v>4353</v>
      </c>
      <c r="AC20" s="83"/>
      <c r="AD20" s="83"/>
      <c r="AE20" s="83"/>
      <c r="AF20" s="1" t="s">
        <v>4331</v>
      </c>
      <c r="AG20" s="1" t="s">
        <v>4354</v>
      </c>
    </row>
    <row r="21" spans="1:33" ht="12" customHeight="1">
      <c r="A21" s="26" t="s">
        <v>4355</v>
      </c>
      <c r="B21" s="25" t="s">
        <v>4356</v>
      </c>
      <c r="C21" s="26" t="s">
        <v>4357</v>
      </c>
      <c r="D21" s="77"/>
      <c r="E21" s="77"/>
      <c r="F21" s="77"/>
      <c r="G21" s="77"/>
      <c r="H21" s="77"/>
      <c r="I21" s="77"/>
      <c r="J21" s="77"/>
      <c r="K21" s="350" t="s">
        <v>4358</v>
      </c>
      <c r="L21" s="77"/>
      <c r="M21" s="77"/>
      <c r="N21" s="77"/>
      <c r="O21" s="77"/>
      <c r="P21" s="77"/>
      <c r="Q21" s="77"/>
      <c r="R21" s="77"/>
      <c r="S21" s="79">
        <v>22</v>
      </c>
      <c r="X21" s="95" t="s">
        <v>4359</v>
      </c>
      <c r="AB21" s="84" t="s">
        <v>4360</v>
      </c>
      <c r="AC21" s="83"/>
      <c r="AD21" s="83"/>
      <c r="AE21" s="83"/>
      <c r="AF21" s="1" t="s">
        <v>4336</v>
      </c>
      <c r="AG21" s="1" t="s">
        <v>4361</v>
      </c>
    </row>
    <row r="22" spans="1:33" ht="12" customHeight="1">
      <c r="A22" s="26" t="s">
        <v>4362</v>
      </c>
      <c r="B22" s="25" t="s">
        <v>4363</v>
      </c>
      <c r="C22" s="26" t="s">
        <v>4362</v>
      </c>
      <c r="D22" s="77"/>
      <c r="E22" s="77"/>
      <c r="F22" s="77"/>
      <c r="G22" s="77"/>
      <c r="H22" s="77"/>
      <c r="I22" s="77"/>
      <c r="J22" s="77"/>
      <c r="K22" s="350" t="s">
        <v>4364</v>
      </c>
      <c r="L22" s="77"/>
      <c r="M22" s="77"/>
      <c r="N22" s="77"/>
      <c r="O22" s="77"/>
      <c r="P22" s="77"/>
      <c r="Q22" s="77"/>
      <c r="R22" s="77"/>
      <c r="S22" s="79">
        <v>23</v>
      </c>
      <c r="X22" s="95" t="s">
        <v>195</v>
      </c>
      <c r="AB22" s="84" t="s">
        <v>4365</v>
      </c>
      <c r="AC22" s="83"/>
      <c r="AD22" s="83"/>
      <c r="AE22" s="83"/>
      <c r="AF22" s="1" t="s">
        <v>4342</v>
      </c>
      <c r="AG22" s="1" t="s">
        <v>4366</v>
      </c>
    </row>
    <row r="23" spans="1:33" ht="12" customHeight="1">
      <c r="A23" s="26" t="s">
        <v>4367</v>
      </c>
      <c r="B23" s="25" t="s">
        <v>4368</v>
      </c>
      <c r="C23" s="26" t="s">
        <v>4367</v>
      </c>
      <c r="D23" s="77"/>
      <c r="E23" s="77"/>
      <c r="F23" s="77"/>
      <c r="G23" s="77"/>
      <c r="H23" s="77"/>
      <c r="I23" s="77"/>
      <c r="J23" s="77"/>
      <c r="K23" s="350" t="s">
        <v>4369</v>
      </c>
      <c r="L23" s="77"/>
      <c r="M23" s="77"/>
      <c r="N23" s="77"/>
      <c r="O23" s="77"/>
      <c r="P23" s="77"/>
      <c r="Q23" s="77"/>
      <c r="R23" s="77"/>
      <c r="S23" s="79">
        <v>24</v>
      </c>
      <c r="X23" s="95" t="s">
        <v>4370</v>
      </c>
      <c r="AF23" s="1" t="s">
        <v>4348</v>
      </c>
      <c r="AG23" s="1" t="s">
        <v>4371</v>
      </c>
    </row>
    <row r="24" spans="1:33" ht="12" customHeight="1">
      <c r="A24" s="26" t="s">
        <v>4372</v>
      </c>
      <c r="B24" s="25" t="s">
        <v>4373</v>
      </c>
      <c r="C24" s="26" t="s">
        <v>4372</v>
      </c>
      <c r="D24" s="77"/>
      <c r="E24" s="77"/>
      <c r="F24" s="77"/>
      <c r="G24" s="77"/>
      <c r="H24" s="77"/>
      <c r="I24" s="77"/>
      <c r="J24" s="77"/>
      <c r="K24" s="350" t="s">
        <v>4374</v>
      </c>
      <c r="L24" s="77"/>
      <c r="M24" s="77"/>
      <c r="N24" s="77"/>
      <c r="O24" s="77"/>
      <c r="P24" s="77"/>
      <c r="Q24" s="77"/>
      <c r="R24" s="77"/>
      <c r="S24" s="79">
        <v>25</v>
      </c>
      <c r="X24" s="95" t="s">
        <v>4375</v>
      </c>
      <c r="AF24" s="1" t="s">
        <v>4354</v>
      </c>
      <c r="AG24" s="1" t="s">
        <v>4376</v>
      </c>
    </row>
    <row r="25" spans="1:33" ht="12" customHeight="1">
      <c r="A25" s="26" t="s">
        <v>4377</v>
      </c>
      <c r="B25" s="25" t="s">
        <v>4378</v>
      </c>
      <c r="C25" s="26" t="s">
        <v>4379</v>
      </c>
      <c r="D25" s="77"/>
      <c r="E25" s="77"/>
      <c r="F25" s="77"/>
      <c r="G25" s="77"/>
      <c r="H25" s="77"/>
      <c r="I25" s="77"/>
      <c r="J25" s="77"/>
      <c r="K25" s="77"/>
      <c r="L25" s="77"/>
      <c r="M25" s="77"/>
      <c r="N25" s="77"/>
      <c r="O25" s="77"/>
      <c r="P25" s="77"/>
      <c r="Q25" s="77"/>
      <c r="R25" s="77"/>
      <c r="S25" s="79">
        <v>26</v>
      </c>
      <c r="X25" s="95" t="s">
        <v>4380</v>
      </c>
      <c r="AF25" s="1" t="s">
        <v>4361</v>
      </c>
      <c r="AG25" s="1" t="s">
        <v>4381</v>
      </c>
    </row>
    <row r="26" spans="1:33" ht="12" customHeight="1">
      <c r="A26" s="26" t="s">
        <v>101</v>
      </c>
      <c r="B26" s="25" t="s">
        <v>4382</v>
      </c>
      <c r="C26" s="26" t="s">
        <v>101</v>
      </c>
      <c r="D26" s="77"/>
      <c r="E26" s="77"/>
      <c r="F26" s="77"/>
      <c r="G26" s="77"/>
      <c r="H26" s="77"/>
      <c r="I26" s="77"/>
      <c r="J26" s="77"/>
      <c r="K26" s="78" t="s">
        <v>4383</v>
      </c>
      <c r="L26" s="77"/>
      <c r="M26" s="77"/>
      <c r="N26" s="77"/>
      <c r="O26" s="77"/>
      <c r="P26" s="77"/>
      <c r="Q26" s="77"/>
      <c r="R26" s="77"/>
      <c r="S26" s="79">
        <v>27</v>
      </c>
      <c r="X26" s="95" t="s">
        <v>4384</v>
      </c>
      <c r="AF26" s="1" t="s">
        <v>4366</v>
      </c>
      <c r="AG26" s="1" t="s">
        <v>4385</v>
      </c>
    </row>
    <row r="27" spans="1:33" ht="12" customHeight="1">
      <c r="A27" s="26" t="s">
        <v>4386</v>
      </c>
      <c r="B27" s="25" t="s">
        <v>4387</v>
      </c>
      <c r="C27" s="26" t="s">
        <v>4386</v>
      </c>
      <c r="D27" s="77"/>
      <c r="E27" s="77"/>
      <c r="F27" s="77"/>
      <c r="G27" s="77"/>
      <c r="H27" s="77"/>
      <c r="I27" s="77"/>
      <c r="J27" s="77"/>
      <c r="K27" s="350" t="s">
        <v>4388</v>
      </c>
      <c r="L27" s="77"/>
      <c r="M27" s="77"/>
      <c r="N27" s="77"/>
      <c r="O27" s="77"/>
      <c r="P27" s="77"/>
      <c r="Q27" s="77"/>
      <c r="R27" s="77"/>
      <c r="S27" s="79">
        <v>28</v>
      </c>
      <c r="X27" s="95" t="s">
        <v>4389</v>
      </c>
      <c r="AF27" s="1" t="s">
        <v>4371</v>
      </c>
      <c r="AG27" s="1" t="s">
        <v>4390</v>
      </c>
    </row>
    <row r="28" spans="1:33" ht="12" customHeight="1">
      <c r="A28" s="26" t="s">
        <v>4391</v>
      </c>
      <c r="B28" s="25" t="s">
        <v>4392</v>
      </c>
      <c r="C28" s="26" t="s">
        <v>4391</v>
      </c>
      <c r="D28" s="77"/>
      <c r="E28" s="77"/>
      <c r="F28" s="77"/>
      <c r="G28" s="77"/>
      <c r="H28" s="77"/>
      <c r="I28" s="77"/>
      <c r="J28" s="77"/>
      <c r="K28" s="350" t="s">
        <v>4393</v>
      </c>
      <c r="L28" s="77"/>
      <c r="M28" s="77"/>
      <c r="N28" s="77"/>
      <c r="O28" s="77"/>
      <c r="P28" s="77"/>
      <c r="Q28" s="77"/>
      <c r="R28" s="77"/>
      <c r="S28" s="79">
        <v>29</v>
      </c>
      <c r="X28" s="95" t="s">
        <v>4394</v>
      </c>
      <c r="AF28" s="1" t="s">
        <v>4376</v>
      </c>
      <c r="AG28" s="1" t="s">
        <v>4395</v>
      </c>
    </row>
    <row r="29" spans="1:33" ht="12" customHeight="1">
      <c r="A29" s="26" t="s">
        <v>4396</v>
      </c>
      <c r="B29" s="25" t="s">
        <v>4397</v>
      </c>
      <c r="C29" s="26" t="s">
        <v>4396</v>
      </c>
      <c r="D29" s="77"/>
      <c r="E29" s="77"/>
      <c r="F29" s="77"/>
      <c r="G29" s="77"/>
      <c r="H29" s="77"/>
      <c r="I29" s="77"/>
      <c r="J29" s="77"/>
      <c r="K29" s="350" t="s">
        <v>4398</v>
      </c>
      <c r="L29" s="77"/>
      <c r="M29" s="77"/>
      <c r="N29" s="77"/>
      <c r="O29" s="77"/>
      <c r="P29" s="77"/>
      <c r="Q29" s="77"/>
      <c r="R29" s="77"/>
      <c r="S29" s="79">
        <v>30</v>
      </c>
      <c r="X29" s="95" t="s">
        <v>4399</v>
      </c>
      <c r="AF29" s="1" t="s">
        <v>4381</v>
      </c>
      <c r="AG29" s="1" t="s">
        <v>4400</v>
      </c>
    </row>
    <row r="30" spans="1:33" ht="12" customHeight="1">
      <c r="A30" s="26" t="s">
        <v>4401</v>
      </c>
      <c r="B30" s="25" t="s">
        <v>4402</v>
      </c>
      <c r="C30" s="26" t="s">
        <v>4401</v>
      </c>
      <c r="D30" s="77"/>
      <c r="E30" s="77"/>
      <c r="F30" s="77"/>
      <c r="G30" s="77"/>
      <c r="H30" s="77"/>
      <c r="I30" s="77"/>
      <c r="J30" s="77"/>
      <c r="K30" s="77"/>
      <c r="L30" s="77"/>
      <c r="M30" s="77"/>
      <c r="N30" s="77"/>
      <c r="O30" s="77"/>
      <c r="P30" s="77"/>
      <c r="Q30" s="77"/>
      <c r="R30" s="77"/>
      <c r="S30" s="79">
        <v>31</v>
      </c>
      <c r="X30" s="95" t="s">
        <v>4403</v>
      </c>
      <c r="AF30" s="1" t="s">
        <v>4385</v>
      </c>
      <c r="AG30" s="1" t="s">
        <v>4404</v>
      </c>
    </row>
    <row r="31" spans="1:33" ht="12" customHeight="1">
      <c r="A31" s="26" t="s">
        <v>4405</v>
      </c>
      <c r="B31" s="25" t="s">
        <v>4406</v>
      </c>
      <c r="C31" s="26" t="s">
        <v>4405</v>
      </c>
      <c r="D31" s="77"/>
      <c r="E31" s="77"/>
      <c r="F31" s="77"/>
      <c r="G31" s="77"/>
      <c r="H31" s="77"/>
      <c r="I31" s="77"/>
      <c r="J31" s="77"/>
      <c r="K31" s="77"/>
      <c r="L31" s="77"/>
      <c r="M31" s="77"/>
      <c r="N31" s="77"/>
      <c r="O31" s="77"/>
      <c r="P31" s="77"/>
      <c r="Q31" s="77"/>
      <c r="R31" s="77"/>
      <c r="S31" s="79">
        <v>32</v>
      </c>
      <c r="X31" s="95" t="s">
        <v>4407</v>
      </c>
      <c r="AF31" s="1" t="s">
        <v>4408</v>
      </c>
      <c r="AG31" s="1" t="s">
        <v>4409</v>
      </c>
    </row>
    <row r="32" spans="1:33" ht="12" customHeight="1">
      <c r="A32" s="26" t="s">
        <v>4410</v>
      </c>
      <c r="B32" s="25" t="s">
        <v>4411</v>
      </c>
      <c r="C32" s="26" t="s">
        <v>4410</v>
      </c>
      <c r="D32" s="77"/>
      <c r="E32" s="77"/>
      <c r="F32" s="77"/>
      <c r="G32" s="77"/>
      <c r="H32" s="77"/>
      <c r="I32" s="77"/>
      <c r="J32" s="77"/>
      <c r="K32" s="77"/>
      <c r="L32" s="77"/>
      <c r="M32" s="77"/>
      <c r="N32" s="77"/>
      <c r="O32" s="77"/>
      <c r="P32" s="77"/>
      <c r="Q32" s="77"/>
      <c r="R32" s="77"/>
      <c r="S32" s="79">
        <v>33</v>
      </c>
      <c r="X32" s="95" t="s">
        <v>4412</v>
      </c>
      <c r="AF32" t="s">
        <v>4413</v>
      </c>
      <c r="AG32" t="s">
        <v>4414</v>
      </c>
    </row>
    <row r="33" spans="1:33" ht="12" customHeight="1">
      <c r="A33" s="26" t="s">
        <v>4415</v>
      </c>
      <c r="B33" s="25" t="s">
        <v>4416</v>
      </c>
      <c r="C33" s="26" t="s">
        <v>4415</v>
      </c>
      <c r="D33" s="77"/>
      <c r="E33" s="77"/>
      <c r="F33" s="77"/>
      <c r="G33" s="77"/>
      <c r="H33" s="77"/>
      <c r="I33" s="77"/>
      <c r="J33" s="77"/>
      <c r="K33" s="77"/>
      <c r="L33" s="77"/>
      <c r="M33" s="77"/>
      <c r="N33" s="77"/>
      <c r="O33" s="77"/>
      <c r="P33" s="77"/>
      <c r="Q33" s="77"/>
      <c r="R33" s="77"/>
      <c r="S33" s="79">
        <v>34</v>
      </c>
      <c r="X33" s="95" t="s">
        <v>4417</v>
      </c>
      <c r="AF33" t="s">
        <v>4418</v>
      </c>
      <c r="AG33" t="s">
        <v>4419</v>
      </c>
    </row>
    <row r="34" spans="1:33" ht="12" customHeight="1">
      <c r="A34" s="26" t="s">
        <v>4420</v>
      </c>
      <c r="B34" s="25" t="s">
        <v>4421</v>
      </c>
      <c r="C34" s="26" t="s">
        <v>4420</v>
      </c>
      <c r="D34" s="77"/>
      <c r="E34" s="77"/>
      <c r="F34" s="77"/>
      <c r="G34" s="77"/>
      <c r="H34" s="77"/>
      <c r="I34" s="77"/>
      <c r="J34" s="77"/>
      <c r="K34" s="77"/>
      <c r="L34" s="77"/>
      <c r="M34" s="77"/>
      <c r="N34" s="77"/>
      <c r="O34" s="77"/>
      <c r="P34" s="77"/>
      <c r="Q34" s="77"/>
      <c r="R34" s="77"/>
      <c r="S34" s="79">
        <v>35</v>
      </c>
      <c r="X34" s="95" t="s">
        <v>4422</v>
      </c>
      <c r="AF34" t="s">
        <v>4423</v>
      </c>
      <c r="AG34" t="s">
        <v>4424</v>
      </c>
    </row>
    <row r="35" spans="1:33" ht="12" customHeight="1">
      <c r="A35" s="309" t="s">
        <v>4425</v>
      </c>
      <c r="B35" s="310"/>
      <c r="C35" s="309"/>
      <c r="D35" s="77"/>
      <c r="E35" s="77"/>
      <c r="F35" s="77"/>
      <c r="G35" s="77"/>
      <c r="H35" s="77"/>
      <c r="I35" s="77"/>
      <c r="J35" s="77"/>
      <c r="K35" s="77"/>
      <c r="L35" s="77"/>
      <c r="M35" s="77"/>
      <c r="N35" s="77"/>
      <c r="O35" s="77"/>
      <c r="P35" s="77"/>
      <c r="Q35" s="77"/>
      <c r="R35" s="77"/>
      <c r="S35" s="79">
        <v>36</v>
      </c>
      <c r="X35" s="95" t="s">
        <v>4426</v>
      </c>
      <c r="AF35" t="s">
        <v>4427</v>
      </c>
      <c r="AG35" t="s">
        <v>4428</v>
      </c>
    </row>
    <row r="36" spans="1:33" ht="12" customHeight="1">
      <c r="A36" s="26" t="s">
        <v>4429</v>
      </c>
      <c r="B36" s="25" t="s">
        <v>4430</v>
      </c>
      <c r="C36" s="26" t="s">
        <v>4429</v>
      </c>
      <c r="D36" s="77"/>
      <c r="E36" s="77"/>
      <c r="F36" s="77"/>
      <c r="G36" s="77"/>
      <c r="H36" s="77"/>
      <c r="I36" s="77"/>
      <c r="J36" s="77"/>
      <c r="K36" s="77"/>
      <c r="L36" s="77"/>
      <c r="M36" s="77"/>
      <c r="N36" s="77"/>
      <c r="O36" s="77"/>
      <c r="P36" s="77"/>
      <c r="Q36" s="77"/>
      <c r="R36" s="77"/>
      <c r="S36" s="79">
        <v>37</v>
      </c>
      <c r="X36" s="95" t="s">
        <v>4431</v>
      </c>
      <c r="AF36" t="s">
        <v>4432</v>
      </c>
      <c r="AG36" t="s">
        <v>4433</v>
      </c>
    </row>
    <row r="37" spans="1:33" ht="12" customHeight="1">
      <c r="A37" s="26" t="s">
        <v>4434</v>
      </c>
      <c r="B37" s="25" t="s">
        <v>4435</v>
      </c>
      <c r="C37" s="26" t="s">
        <v>4434</v>
      </c>
      <c r="D37" s="77"/>
      <c r="E37" s="77"/>
      <c r="F37" s="77"/>
      <c r="G37" s="77"/>
      <c r="H37" s="77"/>
      <c r="I37" s="77"/>
      <c r="J37" s="77"/>
      <c r="K37" s="77"/>
      <c r="L37" s="77"/>
      <c r="M37" s="77"/>
      <c r="N37" s="77"/>
      <c r="O37" s="77"/>
      <c r="P37" s="77"/>
      <c r="Q37" s="77"/>
      <c r="R37" s="77"/>
      <c r="S37" s="79">
        <v>38</v>
      </c>
      <c r="AF37" t="s">
        <v>4436</v>
      </c>
      <c r="AG37" t="s">
        <v>4437</v>
      </c>
    </row>
    <row r="38" spans="1:33" ht="12" customHeight="1">
      <c r="A38" s="26" t="s">
        <v>4438</v>
      </c>
      <c r="B38" s="25" t="s">
        <v>4439</v>
      </c>
      <c r="C38" s="26" t="s">
        <v>4438</v>
      </c>
      <c r="D38" s="77"/>
      <c r="E38" s="77"/>
      <c r="F38" s="77"/>
      <c r="G38" s="77"/>
      <c r="H38" s="77"/>
      <c r="I38" s="77"/>
      <c r="J38" s="77"/>
      <c r="K38" s="78" t="s">
        <v>4440</v>
      </c>
      <c r="L38" s="77"/>
      <c r="M38" s="77"/>
      <c r="N38" s="77"/>
      <c r="O38" s="77"/>
      <c r="P38" s="77"/>
      <c r="Q38" s="77"/>
      <c r="R38" s="77"/>
      <c r="S38" s="79">
        <v>39</v>
      </c>
      <c r="AF38" t="s">
        <v>4441</v>
      </c>
      <c r="AG38" t="s">
        <v>4442</v>
      </c>
    </row>
    <row r="39" spans="1:33" ht="12" customHeight="1">
      <c r="A39" s="26" t="s">
        <v>4443</v>
      </c>
      <c r="B39" s="25" t="s">
        <v>4444</v>
      </c>
      <c r="C39" s="26" t="s">
        <v>4443</v>
      </c>
      <c r="D39" s="77"/>
      <c r="E39" s="77"/>
      <c r="F39" s="77"/>
      <c r="G39" s="77"/>
      <c r="H39" s="77"/>
      <c r="I39" s="77"/>
      <c r="J39" s="77"/>
      <c r="K39" s="350" t="s">
        <v>103</v>
      </c>
      <c r="L39" s="77"/>
      <c r="M39" s="77"/>
      <c r="N39" s="77"/>
      <c r="O39" s="77"/>
      <c r="P39" s="77"/>
      <c r="Q39" s="77"/>
      <c r="R39" s="77"/>
      <c r="S39" s="79">
        <v>40</v>
      </c>
      <c r="AF39" t="s">
        <v>4445</v>
      </c>
      <c r="AG39" t="s">
        <v>4446</v>
      </c>
    </row>
    <row r="40" spans="1:33" ht="12" customHeight="1">
      <c r="A40" s="26" t="s">
        <v>4447</v>
      </c>
      <c r="B40" s="25" t="s">
        <v>4448</v>
      </c>
      <c r="C40" s="26" t="s">
        <v>4447</v>
      </c>
      <c r="D40" s="77"/>
      <c r="E40" s="77"/>
      <c r="F40" s="77"/>
      <c r="G40" s="77"/>
      <c r="H40" s="77"/>
      <c r="I40" s="77"/>
      <c r="J40" s="77"/>
      <c r="K40" s="350" t="s">
        <v>4022</v>
      </c>
      <c r="L40" s="77"/>
      <c r="M40" s="77"/>
      <c r="N40" s="77"/>
      <c r="O40" s="77"/>
      <c r="P40" s="77"/>
      <c r="Q40" s="77"/>
      <c r="R40" s="77"/>
      <c r="S40" s="79">
        <v>41</v>
      </c>
      <c r="AF40" t="s">
        <v>4449</v>
      </c>
      <c r="AG40" t="s">
        <v>4450</v>
      </c>
    </row>
    <row r="41" spans="1:33" ht="12" customHeight="1">
      <c r="A41" s="26" t="s">
        <v>4451</v>
      </c>
      <c r="B41" s="25" t="s">
        <v>4452</v>
      </c>
      <c r="C41" s="26" t="s">
        <v>4451</v>
      </c>
      <c r="D41" s="77"/>
      <c r="E41" s="77"/>
      <c r="F41" s="77"/>
      <c r="G41" s="77"/>
      <c r="H41" s="77"/>
      <c r="I41" s="77"/>
      <c r="J41" s="77"/>
      <c r="K41" s="350" t="s">
        <v>4328</v>
      </c>
      <c r="L41" s="77"/>
      <c r="M41" s="77"/>
      <c r="N41" s="77"/>
      <c r="O41" s="77"/>
      <c r="P41" s="77"/>
      <c r="Q41" s="77"/>
      <c r="R41" s="77"/>
      <c r="S41" s="79">
        <v>42</v>
      </c>
      <c r="AF41" t="s">
        <v>4453</v>
      </c>
      <c r="AG41" t="s">
        <v>4454</v>
      </c>
    </row>
    <row r="42" spans="1:33" ht="27.75" customHeight="1">
      <c r="A42" s="26" t="s">
        <v>4455</v>
      </c>
      <c r="B42" s="25" t="s">
        <v>4456</v>
      </c>
      <c r="C42" s="26" t="s">
        <v>4455</v>
      </c>
      <c r="D42" s="77"/>
      <c r="E42" s="77"/>
      <c r="F42" s="77"/>
      <c r="G42" s="77"/>
      <c r="H42" s="77"/>
      <c r="I42" s="77"/>
      <c r="J42" s="77"/>
      <c r="K42" s="350" t="s">
        <v>4334</v>
      </c>
      <c r="L42" s="77"/>
      <c r="M42" s="77"/>
      <c r="N42" s="77"/>
      <c r="O42" s="77"/>
      <c r="P42" s="77"/>
      <c r="Q42" s="77"/>
      <c r="R42" s="77"/>
      <c r="S42" s="79">
        <v>43</v>
      </c>
      <c r="AF42" t="s">
        <v>4457</v>
      </c>
      <c r="AG42" t="s">
        <v>4458</v>
      </c>
    </row>
    <row r="43" spans="1:33" ht="12" customHeight="1">
      <c r="A43" s="26" t="s">
        <v>4459</v>
      </c>
      <c r="B43" s="25" t="s">
        <v>4460</v>
      </c>
      <c r="C43" s="26" t="s">
        <v>4459</v>
      </c>
      <c r="D43" s="77"/>
      <c r="E43" s="77"/>
      <c r="F43" s="77"/>
      <c r="G43" s="77"/>
      <c r="H43" s="77"/>
      <c r="I43" s="77"/>
      <c r="J43" s="77"/>
      <c r="K43" s="77"/>
      <c r="L43" s="77"/>
      <c r="M43" s="77"/>
      <c r="N43" s="77"/>
      <c r="O43" s="77"/>
      <c r="P43" s="77"/>
      <c r="Q43" s="77"/>
      <c r="R43" s="77"/>
      <c r="S43" s="79">
        <v>44</v>
      </c>
      <c r="AF43" t="s">
        <v>4461</v>
      </c>
      <c r="AG43" t="s">
        <v>4462</v>
      </c>
    </row>
    <row r="44" spans="1:33" ht="12" customHeight="1">
      <c r="A44" s="26" t="s">
        <v>4463</v>
      </c>
      <c r="B44" s="25" t="s">
        <v>4464</v>
      </c>
      <c r="C44" s="26" t="s">
        <v>4463</v>
      </c>
      <c r="D44" s="77"/>
      <c r="E44" s="77"/>
      <c r="F44" s="77"/>
      <c r="G44" s="77"/>
      <c r="H44" s="77"/>
      <c r="I44" s="77"/>
      <c r="J44" s="77"/>
      <c r="K44" s="77"/>
      <c r="L44" s="77"/>
      <c r="M44" s="77"/>
      <c r="N44" s="77"/>
      <c r="O44" s="77"/>
      <c r="P44" s="77"/>
      <c r="Q44" s="77"/>
      <c r="R44" s="77"/>
      <c r="S44" s="79">
        <v>45</v>
      </c>
      <c r="AF44" t="s">
        <v>4465</v>
      </c>
      <c r="AG44" t="s">
        <v>4466</v>
      </c>
    </row>
    <row r="45" spans="1:33" ht="12" customHeight="1">
      <c r="A45" s="26" t="s">
        <v>4467</v>
      </c>
      <c r="B45" s="25" t="s">
        <v>4468</v>
      </c>
      <c r="C45" s="26" t="s">
        <v>4467</v>
      </c>
      <c r="D45" s="77"/>
      <c r="E45" s="77"/>
      <c r="F45" s="77"/>
      <c r="G45" s="77"/>
      <c r="H45" s="77"/>
      <c r="I45" s="77"/>
      <c r="J45" s="77"/>
      <c r="K45" s="78" t="s">
        <v>4469</v>
      </c>
      <c r="L45" s="77"/>
      <c r="M45" s="77"/>
      <c r="N45" s="77"/>
      <c r="O45" s="77"/>
      <c r="P45" s="77"/>
      <c r="Q45" s="77"/>
      <c r="R45" s="77"/>
      <c r="S45" s="79">
        <v>46</v>
      </c>
      <c r="AF45" t="s">
        <v>4470</v>
      </c>
      <c r="AG45" t="s">
        <v>4471</v>
      </c>
    </row>
    <row r="46" spans="1:33" ht="12" customHeight="1">
      <c r="A46" s="26" t="s">
        <v>4472</v>
      </c>
      <c r="B46" s="25" t="s">
        <v>4473</v>
      </c>
      <c r="C46" s="26" t="s">
        <v>4472</v>
      </c>
      <c r="D46" s="77"/>
      <c r="E46" s="77"/>
      <c r="F46" s="77"/>
      <c r="G46" s="77"/>
      <c r="H46" s="77"/>
      <c r="I46" s="77"/>
      <c r="J46" s="77"/>
      <c r="K46" s="81" t="s">
        <v>205</v>
      </c>
      <c r="L46" s="77"/>
      <c r="M46" s="77"/>
      <c r="N46" s="77"/>
      <c r="O46" s="77"/>
      <c r="P46" s="77"/>
      <c r="Q46" s="77"/>
      <c r="R46" s="77"/>
      <c r="S46" s="79">
        <v>47</v>
      </c>
      <c r="AF46" t="s">
        <v>4474</v>
      </c>
      <c r="AG46" t="s">
        <v>4475</v>
      </c>
    </row>
    <row r="47" spans="1:33" ht="12" customHeight="1">
      <c r="A47" s="26" t="s">
        <v>4476</v>
      </c>
      <c r="B47" s="25" t="s">
        <v>4477</v>
      </c>
      <c r="C47" s="26" t="s">
        <v>4476</v>
      </c>
      <c r="D47" s="77"/>
      <c r="E47" s="77"/>
      <c r="F47" s="77"/>
      <c r="G47" s="77"/>
      <c r="H47" s="77"/>
      <c r="I47" s="77"/>
      <c r="J47" s="77"/>
      <c r="K47" s="81" t="s">
        <v>4359</v>
      </c>
      <c r="L47" s="77"/>
      <c r="M47" s="77"/>
      <c r="N47" s="77"/>
      <c r="O47" s="77"/>
      <c r="P47" s="77"/>
      <c r="Q47" s="77"/>
      <c r="R47" s="77"/>
      <c r="S47" s="79">
        <v>48</v>
      </c>
      <c r="AF47" t="s">
        <v>4478</v>
      </c>
      <c r="AG47" t="s">
        <v>4479</v>
      </c>
    </row>
    <row r="48" spans="1:33" ht="12" customHeight="1">
      <c r="A48" s="26" t="s">
        <v>4480</v>
      </c>
      <c r="B48" s="25" t="s">
        <v>4481</v>
      </c>
      <c r="C48" s="26" t="s">
        <v>4480</v>
      </c>
      <c r="D48" s="77"/>
      <c r="E48" s="77"/>
      <c r="F48" s="77"/>
      <c r="G48" s="77"/>
      <c r="H48" s="77"/>
      <c r="I48" s="77"/>
      <c r="J48" s="77"/>
      <c r="K48" s="81" t="s">
        <v>195</v>
      </c>
      <c r="L48" s="77"/>
      <c r="M48" s="77"/>
      <c r="N48" s="77"/>
      <c r="O48" s="77"/>
      <c r="P48" s="77"/>
      <c r="Q48" s="77"/>
      <c r="R48" s="77"/>
      <c r="S48" s="79">
        <v>49</v>
      </c>
      <c r="AF48" t="s">
        <v>4482</v>
      </c>
      <c r="AG48" t="s">
        <v>4483</v>
      </c>
    </row>
    <row r="49" spans="1:33" ht="12" customHeight="1">
      <c r="A49" s="26" t="s">
        <v>4484</v>
      </c>
      <c r="B49" s="25" t="s">
        <v>4485</v>
      </c>
      <c r="C49" s="26" t="s">
        <v>4484</v>
      </c>
      <c r="D49" s="77"/>
      <c r="E49" s="77"/>
      <c r="F49" s="77"/>
      <c r="G49" s="77"/>
      <c r="H49" s="77"/>
      <c r="I49" s="77"/>
      <c r="J49" s="77"/>
      <c r="K49" s="81" t="s">
        <v>4370</v>
      </c>
      <c r="L49" s="77"/>
      <c r="M49" s="77"/>
      <c r="N49" s="77"/>
      <c r="O49" s="77"/>
      <c r="P49" s="77"/>
      <c r="Q49" s="77"/>
      <c r="R49" s="77"/>
      <c r="S49" s="79">
        <v>50</v>
      </c>
      <c r="AF49" t="s">
        <v>4486</v>
      </c>
      <c r="AG49" t="s">
        <v>4487</v>
      </c>
    </row>
    <row r="50" spans="1:33" ht="12" customHeight="1">
      <c r="A50" s="26" t="s">
        <v>4488</v>
      </c>
      <c r="B50" s="25" t="s">
        <v>4489</v>
      </c>
      <c r="C50" s="26" t="s">
        <v>4488</v>
      </c>
      <c r="D50" s="77"/>
      <c r="E50" s="77"/>
      <c r="F50" s="77"/>
      <c r="G50" s="77"/>
      <c r="H50" s="77"/>
      <c r="I50" s="77"/>
      <c r="J50" s="77"/>
      <c r="K50" s="81" t="s">
        <v>212</v>
      </c>
      <c r="L50" s="77"/>
      <c r="M50" s="77"/>
      <c r="N50" s="77"/>
      <c r="O50" s="77"/>
      <c r="P50" s="77"/>
      <c r="Q50" s="77"/>
      <c r="R50" s="77"/>
      <c r="AF50" t="s">
        <v>4490</v>
      </c>
      <c r="AG50" t="s">
        <v>4491</v>
      </c>
    </row>
    <row r="51" spans="1:33" ht="12" customHeight="1">
      <c r="A51" s="26" t="s">
        <v>4492</v>
      </c>
      <c r="B51" s="25" t="s">
        <v>4493</v>
      </c>
      <c r="C51" s="26" t="s">
        <v>4492</v>
      </c>
      <c r="D51" s="77"/>
      <c r="E51" s="77"/>
      <c r="F51" s="77"/>
      <c r="G51" s="77"/>
      <c r="H51" s="77"/>
      <c r="I51" s="77"/>
      <c r="J51" s="77"/>
      <c r="K51" s="81" t="s">
        <v>4346</v>
      </c>
      <c r="L51" s="77"/>
      <c r="M51" s="77"/>
      <c r="N51" s="77"/>
      <c r="O51" s="77"/>
      <c r="P51" s="77"/>
      <c r="Q51" s="77"/>
      <c r="R51" s="77"/>
      <c r="AF51" t="s">
        <v>4494</v>
      </c>
      <c r="AG51" t="s">
        <v>4495</v>
      </c>
    </row>
    <row r="52" spans="1:33" ht="12" customHeight="1">
      <c r="A52" s="26" t="s">
        <v>4496</v>
      </c>
      <c r="B52" s="25" t="s">
        <v>4497</v>
      </c>
      <c r="C52" s="26" t="s">
        <v>4496</v>
      </c>
      <c r="D52" s="77"/>
      <c r="E52" s="77"/>
      <c r="F52" s="77"/>
      <c r="G52" s="77"/>
      <c r="H52" s="77"/>
      <c r="I52" s="77"/>
      <c r="J52" s="77"/>
      <c r="K52" s="81" t="s">
        <v>4498</v>
      </c>
      <c r="L52" s="77"/>
      <c r="M52" s="77"/>
      <c r="N52" s="77"/>
      <c r="O52" s="77"/>
      <c r="P52" s="77"/>
      <c r="Q52" s="77"/>
      <c r="R52" s="77"/>
      <c r="AF52" t="s">
        <v>4499</v>
      </c>
      <c r="AG52" t="s">
        <v>4500</v>
      </c>
    </row>
    <row r="53" spans="1:33" ht="12" customHeight="1">
      <c r="A53" s="26" t="s">
        <v>4501</v>
      </c>
      <c r="B53" s="25" t="s">
        <v>4502</v>
      </c>
      <c r="C53" s="26" t="s">
        <v>4501</v>
      </c>
      <c r="D53" s="77"/>
      <c r="E53" s="77"/>
      <c r="F53" s="77"/>
      <c r="G53" s="77"/>
      <c r="H53" s="77"/>
      <c r="I53" s="77"/>
      <c r="J53" s="77"/>
      <c r="K53" s="77"/>
      <c r="L53" s="77"/>
      <c r="M53" s="77"/>
      <c r="N53" s="77"/>
      <c r="O53" s="77"/>
      <c r="P53" s="77"/>
      <c r="Q53" s="77"/>
      <c r="R53" s="77"/>
      <c r="AF53" t="s">
        <v>4503</v>
      </c>
      <c r="AG53" t="s">
        <v>4504</v>
      </c>
    </row>
    <row r="54" spans="1:33" ht="12" customHeight="1">
      <c r="A54" s="26" t="s">
        <v>4505</v>
      </c>
      <c r="B54" s="25" t="s">
        <v>4506</v>
      </c>
      <c r="C54" s="26" t="s">
        <v>4505</v>
      </c>
      <c r="D54" s="77"/>
      <c r="E54" s="77"/>
      <c r="F54" s="77"/>
      <c r="G54" s="77"/>
      <c r="H54" s="77"/>
      <c r="I54" s="77"/>
      <c r="J54" s="77"/>
      <c r="K54" s="77"/>
      <c r="L54" s="77"/>
      <c r="M54" s="77"/>
      <c r="N54" s="77"/>
      <c r="O54" s="77"/>
      <c r="P54" s="77"/>
      <c r="Q54" s="77"/>
      <c r="R54" s="77"/>
      <c r="AF54" t="s">
        <v>4507</v>
      </c>
      <c r="AG54" t="s">
        <v>4508</v>
      </c>
    </row>
    <row r="55" spans="1:33" ht="10.5" customHeight="1">
      <c r="A55" s="26" t="s">
        <v>4509</v>
      </c>
      <c r="B55" s="25" t="s">
        <v>4510</v>
      </c>
      <c r="C55" s="26" t="s">
        <v>4509</v>
      </c>
      <c r="D55" s="77"/>
      <c r="E55" s="77"/>
      <c r="F55" s="77"/>
      <c r="G55" s="77"/>
      <c r="H55" s="77"/>
      <c r="I55" s="77"/>
      <c r="J55" s="77"/>
      <c r="K55" s="77"/>
      <c r="L55" s="77"/>
      <c r="M55" s="77"/>
      <c r="N55" s="77"/>
      <c r="O55" s="77"/>
      <c r="P55" s="77"/>
      <c r="Q55" s="77"/>
      <c r="R55" s="77"/>
      <c r="AF55" t="s">
        <v>4511</v>
      </c>
      <c r="AG55" t="s">
        <v>4512</v>
      </c>
    </row>
    <row r="56" spans="1:33" ht="12" customHeight="1">
      <c r="A56" s="26" t="s">
        <v>4513</v>
      </c>
      <c r="B56" s="25" t="s">
        <v>4514</v>
      </c>
      <c r="C56" s="26" t="s">
        <v>4513</v>
      </c>
      <c r="D56" s="77"/>
      <c r="E56" s="77"/>
      <c r="F56" s="77"/>
      <c r="G56" s="77"/>
      <c r="H56" s="77"/>
      <c r="I56" s="77"/>
      <c r="J56" s="77"/>
      <c r="K56" s="77"/>
      <c r="L56" s="77"/>
      <c r="M56" s="77"/>
      <c r="N56" s="77"/>
      <c r="O56" s="77"/>
      <c r="P56" s="77"/>
      <c r="Q56" s="77"/>
      <c r="R56" s="77"/>
      <c r="AG56" t="s">
        <v>4515</v>
      </c>
    </row>
    <row r="57" spans="1:33" ht="12" customHeight="1">
      <c r="A57" s="26" t="s">
        <v>4516</v>
      </c>
      <c r="B57" s="25" t="s">
        <v>4517</v>
      </c>
      <c r="C57" s="26" t="s">
        <v>4516</v>
      </c>
      <c r="D57" s="77"/>
      <c r="E57" s="77"/>
      <c r="F57" s="77"/>
      <c r="G57" s="77"/>
      <c r="H57" s="77"/>
      <c r="I57" s="77"/>
      <c r="J57" s="77"/>
      <c r="K57" s="77"/>
      <c r="L57" s="77"/>
      <c r="M57" s="77"/>
      <c r="N57" s="77"/>
      <c r="O57" s="77"/>
      <c r="P57" s="77"/>
      <c r="Q57" s="77"/>
      <c r="R57" s="77"/>
      <c r="AG57" t="s">
        <v>4518</v>
      </c>
    </row>
    <row r="58" spans="1:33" ht="12" customHeight="1">
      <c r="A58" s="26" t="s">
        <v>4519</v>
      </c>
      <c r="B58" s="25" t="s">
        <v>4520</v>
      </c>
      <c r="C58" s="26" t="s">
        <v>4519</v>
      </c>
      <c r="D58" s="77"/>
      <c r="E58" s="77"/>
      <c r="F58" s="77"/>
      <c r="G58" s="77"/>
      <c r="H58" s="77"/>
      <c r="I58" s="77"/>
      <c r="J58" s="77"/>
      <c r="K58" s="77"/>
      <c r="L58" s="77"/>
      <c r="M58" s="77"/>
      <c r="N58" s="77"/>
      <c r="O58" s="77"/>
      <c r="P58" s="77"/>
      <c r="Q58" s="77"/>
      <c r="R58" s="77"/>
      <c r="AG58" t="s">
        <v>4521</v>
      </c>
    </row>
    <row r="59" spans="1:33" ht="12" customHeight="1">
      <c r="A59" s="26" t="s">
        <v>4522</v>
      </c>
      <c r="B59" s="25" t="s">
        <v>4523</v>
      </c>
      <c r="C59" s="26" t="s">
        <v>4524</v>
      </c>
      <c r="D59" s="77"/>
      <c r="E59" s="77"/>
      <c r="F59" s="77"/>
      <c r="G59" s="77"/>
      <c r="H59" s="77"/>
      <c r="I59" s="77"/>
      <c r="J59" s="77"/>
      <c r="K59" s="77"/>
      <c r="L59" s="77"/>
      <c r="M59" s="77"/>
      <c r="N59" s="77"/>
      <c r="O59" s="77"/>
      <c r="P59" s="77"/>
      <c r="Q59" s="77"/>
      <c r="R59" s="77"/>
      <c r="AG59" t="s">
        <v>4525</v>
      </c>
    </row>
    <row r="60" spans="1:33" ht="12" customHeight="1">
      <c r="A60" s="26" t="s">
        <v>4526</v>
      </c>
      <c r="B60" s="25" t="s">
        <v>4527</v>
      </c>
      <c r="C60" s="26" t="s">
        <v>4526</v>
      </c>
      <c r="D60" s="77"/>
      <c r="E60" s="77"/>
      <c r="F60" s="77"/>
      <c r="G60" s="77"/>
      <c r="H60" s="77"/>
      <c r="I60" s="77"/>
      <c r="J60" s="77"/>
      <c r="K60" s="77"/>
      <c r="L60" s="77"/>
      <c r="M60" s="77"/>
      <c r="N60" s="77"/>
      <c r="O60" s="77"/>
      <c r="P60" s="77"/>
      <c r="Q60" s="77"/>
      <c r="R60" s="77"/>
      <c r="AG60" t="s">
        <v>4528</v>
      </c>
    </row>
    <row r="61" spans="1:33" ht="12" customHeight="1">
      <c r="A61" s="26" t="s">
        <v>4529</v>
      </c>
      <c r="B61" s="25" t="s">
        <v>4530</v>
      </c>
      <c r="C61" s="26" t="s">
        <v>4529</v>
      </c>
      <c r="D61" s="77"/>
      <c r="E61" s="77"/>
      <c r="F61" s="77"/>
      <c r="G61" s="77"/>
      <c r="H61" s="77"/>
      <c r="I61" s="77"/>
      <c r="J61" s="77"/>
      <c r="K61" s="77"/>
      <c r="L61" s="77"/>
      <c r="M61" s="77"/>
      <c r="N61" s="77"/>
      <c r="O61" s="77"/>
      <c r="P61" s="77"/>
      <c r="Q61" s="77"/>
      <c r="R61" s="77"/>
      <c r="AG61" t="s">
        <v>4531</v>
      </c>
    </row>
    <row r="62" spans="1:33" ht="12" customHeight="1">
      <c r="A62" s="26" t="s">
        <v>4532</v>
      </c>
      <c r="B62" s="25" t="s">
        <v>4533</v>
      </c>
      <c r="C62" s="26" t="s">
        <v>4532</v>
      </c>
      <c r="D62" s="77"/>
      <c r="E62" s="77"/>
      <c r="F62" s="77"/>
      <c r="G62" s="77"/>
      <c r="H62" s="77"/>
      <c r="I62" s="77"/>
      <c r="J62" s="77"/>
      <c r="K62" s="77"/>
      <c r="L62" s="77"/>
      <c r="M62" s="77"/>
      <c r="N62" s="77"/>
      <c r="O62" s="77"/>
      <c r="P62" s="77"/>
      <c r="Q62" s="77"/>
      <c r="R62" s="77"/>
      <c r="AG62" t="s">
        <v>4534</v>
      </c>
    </row>
    <row r="63" spans="1:33" ht="12" customHeight="1">
      <c r="A63" s="26" t="s">
        <v>4535</v>
      </c>
      <c r="B63" s="25" t="s">
        <v>4536</v>
      </c>
      <c r="C63" s="26" t="s">
        <v>4537</v>
      </c>
      <c r="D63" s="77"/>
      <c r="E63" s="77"/>
      <c r="F63" s="77"/>
      <c r="G63" s="77"/>
      <c r="H63" s="77"/>
      <c r="I63" s="77"/>
      <c r="J63" s="77"/>
      <c r="K63" s="77"/>
      <c r="L63" s="77"/>
      <c r="M63" s="77"/>
      <c r="N63" s="77"/>
      <c r="O63" s="77"/>
      <c r="P63" s="77"/>
      <c r="Q63" s="77"/>
      <c r="R63" s="77"/>
      <c r="AG63" t="s">
        <v>4538</v>
      </c>
    </row>
    <row r="64" spans="1:33" ht="12" customHeight="1">
      <c r="A64" s="26" t="s">
        <v>4539</v>
      </c>
      <c r="B64" s="25" t="s">
        <v>4540</v>
      </c>
      <c r="C64" s="26" t="s">
        <v>4539</v>
      </c>
      <c r="D64" s="77"/>
      <c r="E64" s="77"/>
      <c r="F64" s="77"/>
      <c r="G64" s="77"/>
      <c r="H64" s="77"/>
      <c r="I64" s="77"/>
      <c r="J64" s="77"/>
      <c r="K64" s="77"/>
      <c r="L64" s="77"/>
      <c r="M64" s="77"/>
      <c r="N64" s="77"/>
      <c r="O64" s="77"/>
      <c r="P64" s="77"/>
      <c r="Q64" s="77"/>
      <c r="R64" s="77"/>
      <c r="AG64" t="s">
        <v>4541</v>
      </c>
    </row>
    <row r="65" spans="1:33" ht="12" customHeight="1">
      <c r="A65" s="26" t="s">
        <v>4542</v>
      </c>
      <c r="B65" s="25" t="s">
        <v>4543</v>
      </c>
      <c r="C65" s="26" t="s">
        <v>4544</v>
      </c>
      <c r="D65" s="77"/>
      <c r="E65" s="77"/>
      <c r="F65" s="77"/>
      <c r="G65" s="77"/>
      <c r="H65" s="77"/>
      <c r="I65" s="77"/>
      <c r="J65" s="77"/>
      <c r="K65" s="77"/>
      <c r="L65" s="77"/>
      <c r="M65" s="77"/>
      <c r="N65" s="77"/>
      <c r="O65" s="77"/>
      <c r="P65" s="77"/>
      <c r="Q65" s="77"/>
      <c r="R65" s="77"/>
      <c r="AG65" t="s">
        <v>4545</v>
      </c>
    </row>
    <row r="66" spans="1:33" ht="12" customHeight="1">
      <c r="A66" s="26" t="s">
        <v>4546</v>
      </c>
      <c r="B66" s="25" t="s">
        <v>4547</v>
      </c>
      <c r="C66" s="26" t="s">
        <v>4546</v>
      </c>
      <c r="D66" s="77"/>
      <c r="E66" s="77"/>
      <c r="F66" s="77"/>
      <c r="G66" s="77"/>
      <c r="H66" s="77"/>
      <c r="I66" s="77"/>
      <c r="J66" s="77"/>
      <c r="K66" s="77"/>
      <c r="L66" s="77"/>
      <c r="M66" s="77"/>
      <c r="N66" s="77"/>
      <c r="O66" s="77"/>
      <c r="P66" s="77"/>
      <c r="Q66" s="77"/>
      <c r="R66" s="77"/>
      <c r="AG66" t="s">
        <v>4548</v>
      </c>
    </row>
    <row r="67" spans="1:33" ht="12" customHeight="1">
      <c r="A67" s="26" t="s">
        <v>4549</v>
      </c>
      <c r="B67" s="25" t="s">
        <v>4550</v>
      </c>
      <c r="C67" s="26" t="s">
        <v>4549</v>
      </c>
      <c r="D67" s="77"/>
      <c r="E67" s="77"/>
      <c r="F67" s="77"/>
      <c r="G67" s="77"/>
      <c r="H67" s="77"/>
      <c r="I67" s="77"/>
      <c r="J67" s="77"/>
      <c r="K67" s="77"/>
      <c r="L67" s="77"/>
      <c r="M67" s="77"/>
      <c r="N67" s="77"/>
      <c r="O67" s="77"/>
      <c r="P67" s="77"/>
      <c r="Q67" s="77"/>
      <c r="R67" s="77"/>
      <c r="AG67" t="s">
        <v>4551</v>
      </c>
    </row>
    <row r="68" spans="1:33" ht="12" customHeight="1">
      <c r="A68" s="26" t="s">
        <v>4552</v>
      </c>
      <c r="B68" s="25" t="s">
        <v>4553</v>
      </c>
      <c r="C68" s="26" t="s">
        <v>4552</v>
      </c>
      <c r="D68" s="77"/>
      <c r="E68" s="77"/>
      <c r="F68" s="77"/>
      <c r="G68" s="77"/>
      <c r="H68" s="77"/>
      <c r="I68" s="77"/>
      <c r="J68" s="77"/>
      <c r="K68" s="77"/>
      <c r="L68" s="77"/>
      <c r="M68" s="77"/>
      <c r="N68" s="77"/>
      <c r="O68" s="77"/>
      <c r="P68" s="77"/>
      <c r="Q68" s="77"/>
      <c r="R68" s="77"/>
      <c r="AG68" t="s">
        <v>4554</v>
      </c>
    </row>
    <row r="69" spans="1:33" ht="12" customHeight="1">
      <c r="A69" s="26" t="s">
        <v>4555</v>
      </c>
      <c r="B69" s="25" t="s">
        <v>4556</v>
      </c>
      <c r="C69" s="26" t="s">
        <v>4555</v>
      </c>
      <c r="D69" s="77"/>
      <c r="E69" s="77"/>
      <c r="F69" s="77"/>
      <c r="G69" s="77"/>
      <c r="H69" s="77"/>
      <c r="I69" s="77"/>
      <c r="J69" s="77"/>
      <c r="K69" s="77"/>
      <c r="L69" s="77"/>
      <c r="M69" s="77"/>
      <c r="N69" s="77"/>
      <c r="O69" s="77"/>
      <c r="P69" s="77"/>
      <c r="Q69" s="77"/>
      <c r="R69" s="77"/>
      <c r="AG69" t="s">
        <v>4557</v>
      </c>
    </row>
    <row r="70" spans="1:33" ht="12" customHeight="1">
      <c r="A70" s="26" t="s">
        <v>4558</v>
      </c>
      <c r="B70" s="25" t="s">
        <v>4559</v>
      </c>
      <c r="C70" s="26" t="s">
        <v>4558</v>
      </c>
      <c r="D70" s="77"/>
      <c r="E70" s="77"/>
      <c r="F70" s="77"/>
      <c r="G70" s="77"/>
      <c r="H70" s="77"/>
      <c r="I70" s="77"/>
      <c r="J70" s="77"/>
      <c r="K70" s="77"/>
      <c r="L70" s="77"/>
      <c r="M70" s="77"/>
      <c r="N70" s="77"/>
      <c r="O70" s="77"/>
      <c r="P70" s="77"/>
      <c r="Q70" s="77"/>
      <c r="R70" s="77"/>
      <c r="AG70" t="s">
        <v>4560</v>
      </c>
    </row>
    <row r="71" spans="1:33" ht="12" customHeight="1">
      <c r="A71" s="26" t="s">
        <v>4561</v>
      </c>
      <c r="B71" s="25" t="s">
        <v>4562</v>
      </c>
      <c r="C71" s="26" t="s">
        <v>4561</v>
      </c>
      <c r="D71" s="77"/>
      <c r="E71" s="77"/>
      <c r="F71" s="77"/>
      <c r="G71" s="77"/>
      <c r="H71" s="77"/>
      <c r="I71" s="77"/>
      <c r="J71" s="77"/>
      <c r="K71" s="77"/>
      <c r="L71" s="77"/>
      <c r="M71" s="77"/>
      <c r="N71" s="77"/>
      <c r="O71" s="77"/>
      <c r="P71" s="77"/>
      <c r="Q71" s="77"/>
      <c r="R71" s="77"/>
      <c r="AG71" t="s">
        <v>4563</v>
      </c>
    </row>
    <row r="72" spans="1:33" ht="12" customHeight="1">
      <c r="A72" s="26" t="s">
        <v>4564</v>
      </c>
      <c r="B72" s="25" t="s">
        <v>4565</v>
      </c>
      <c r="C72" s="26" t="s">
        <v>4564</v>
      </c>
      <c r="D72" s="77"/>
      <c r="E72" s="77"/>
      <c r="F72" s="77"/>
      <c r="G72" s="77"/>
      <c r="H72" s="77"/>
      <c r="I72" s="77"/>
      <c r="J72" s="77"/>
      <c r="K72" s="77"/>
      <c r="L72" s="77"/>
      <c r="M72" s="77"/>
      <c r="N72" s="77"/>
      <c r="O72" s="77"/>
      <c r="P72" s="77"/>
      <c r="Q72" s="77"/>
      <c r="R72" s="77"/>
      <c r="AG72" t="s">
        <v>4566</v>
      </c>
    </row>
    <row r="73" spans="1:33" ht="12" customHeight="1">
      <c r="A73" s="26" t="s">
        <v>4567</v>
      </c>
      <c r="B73" s="25" t="s">
        <v>4568</v>
      </c>
      <c r="C73" s="26" t="s">
        <v>4567</v>
      </c>
      <c r="D73" s="77"/>
      <c r="E73" s="77"/>
      <c r="F73" s="77"/>
      <c r="G73" s="77"/>
      <c r="H73" s="77"/>
      <c r="I73" s="77"/>
      <c r="J73" s="77"/>
      <c r="K73" s="77"/>
      <c r="L73" s="77"/>
      <c r="M73" s="77"/>
      <c r="N73" s="77"/>
      <c r="O73" s="77"/>
      <c r="P73" s="77"/>
      <c r="Q73" s="77"/>
      <c r="R73" s="77"/>
      <c r="AG73" t="s">
        <v>4569</v>
      </c>
    </row>
    <row r="74" spans="1:33" ht="12" customHeight="1">
      <c r="A74" s="26" t="s">
        <v>4570</v>
      </c>
      <c r="B74" s="25" t="s">
        <v>4571</v>
      </c>
      <c r="C74" s="26" t="s">
        <v>4570</v>
      </c>
      <c r="D74" s="77"/>
      <c r="E74" s="77"/>
      <c r="F74" s="77"/>
      <c r="G74" s="77"/>
      <c r="H74" s="77"/>
      <c r="I74" s="77"/>
      <c r="J74" s="77"/>
      <c r="K74" s="77"/>
      <c r="L74" s="77"/>
      <c r="M74" s="77"/>
      <c r="N74" s="77"/>
      <c r="O74" s="77"/>
      <c r="P74" s="77"/>
      <c r="Q74" s="77"/>
      <c r="R74" s="77"/>
      <c r="AG74" t="s">
        <v>4572</v>
      </c>
    </row>
    <row r="75" spans="1:33" ht="12" customHeight="1">
      <c r="A75" s="26" t="s">
        <v>4573</v>
      </c>
      <c r="B75" s="25" t="s">
        <v>4574</v>
      </c>
      <c r="C75" s="26" t="s">
        <v>4573</v>
      </c>
      <c r="D75" s="77"/>
      <c r="E75" s="77"/>
      <c r="F75" s="77"/>
      <c r="G75" s="77"/>
      <c r="H75" s="77"/>
      <c r="I75" s="77"/>
      <c r="J75" s="77"/>
      <c r="K75" s="77"/>
      <c r="L75" s="77"/>
      <c r="M75" s="77"/>
      <c r="N75" s="77"/>
      <c r="O75" s="77"/>
      <c r="P75" s="77"/>
      <c r="Q75" s="77"/>
      <c r="R75" s="77"/>
      <c r="AG75" t="s">
        <v>4575</v>
      </c>
    </row>
    <row r="76" spans="1:33" ht="12" customHeight="1">
      <c r="A76" s="26" t="s">
        <v>4576</v>
      </c>
      <c r="B76" s="25" t="s">
        <v>4577</v>
      </c>
      <c r="C76" s="26" t="s">
        <v>4576</v>
      </c>
      <c r="D76" s="77"/>
      <c r="E76" s="77"/>
      <c r="F76" s="77"/>
      <c r="G76" s="77"/>
      <c r="H76" s="77"/>
      <c r="I76" s="77"/>
      <c r="J76" s="77"/>
      <c r="K76" s="77"/>
      <c r="L76" s="77"/>
      <c r="M76" s="77"/>
      <c r="N76" s="77"/>
      <c r="O76" s="77"/>
      <c r="P76" s="77"/>
      <c r="Q76" s="77"/>
      <c r="R76" s="77"/>
      <c r="AG76" t="s">
        <v>4578</v>
      </c>
    </row>
    <row r="77" spans="1:33" ht="12" customHeight="1">
      <c r="A77" s="26" t="s">
        <v>4579</v>
      </c>
      <c r="B77" s="25" t="s">
        <v>4580</v>
      </c>
      <c r="C77" s="26" t="s">
        <v>4579</v>
      </c>
      <c r="D77" s="77"/>
      <c r="E77" s="77"/>
      <c r="F77" s="77"/>
      <c r="G77" s="77"/>
      <c r="H77" s="77"/>
      <c r="I77" s="77"/>
      <c r="J77" s="77"/>
      <c r="K77" s="77"/>
      <c r="L77" s="77"/>
      <c r="M77" s="77"/>
      <c r="N77" s="77"/>
      <c r="O77" s="77"/>
      <c r="P77" s="77"/>
      <c r="Q77" s="77"/>
      <c r="R77" s="77"/>
      <c r="AG77" t="s">
        <v>4581</v>
      </c>
    </row>
    <row r="78" spans="1:33" ht="12" customHeight="1">
      <c r="A78" s="26" t="s">
        <v>4582</v>
      </c>
      <c r="B78" s="25" t="s">
        <v>4583</v>
      </c>
      <c r="C78" s="26" t="s">
        <v>4582</v>
      </c>
      <c r="D78" s="77"/>
      <c r="E78" s="77"/>
      <c r="F78" s="77"/>
      <c r="G78" s="77"/>
      <c r="H78" s="77"/>
      <c r="I78" s="77"/>
      <c r="J78" s="77"/>
      <c r="K78" s="77"/>
      <c r="L78" s="77"/>
      <c r="M78" s="77"/>
      <c r="N78" s="77"/>
      <c r="O78" s="77"/>
      <c r="P78" s="77"/>
      <c r="Q78" s="77"/>
      <c r="R78" s="77"/>
      <c r="AG78" t="s">
        <v>4457</v>
      </c>
    </row>
    <row r="79" spans="1:33" ht="12" customHeight="1">
      <c r="A79" s="26" t="s">
        <v>4584</v>
      </c>
      <c r="B79" s="25" t="s">
        <v>4585</v>
      </c>
      <c r="C79" s="26" t="s">
        <v>4584</v>
      </c>
      <c r="D79" s="77"/>
      <c r="E79" s="77"/>
      <c r="F79" s="77"/>
      <c r="G79" s="77"/>
      <c r="H79" s="77"/>
      <c r="I79" s="77"/>
      <c r="J79" s="77"/>
      <c r="K79" s="77"/>
      <c r="L79" s="77"/>
      <c r="M79" s="77"/>
      <c r="N79" s="77"/>
      <c r="O79" s="77"/>
      <c r="P79" s="77"/>
      <c r="Q79" s="77"/>
      <c r="R79" s="77"/>
      <c r="AG79" t="s">
        <v>4461</v>
      </c>
    </row>
    <row r="80" spans="1:33" ht="12" customHeight="1">
      <c r="A80" s="26" t="s">
        <v>4586</v>
      </c>
      <c r="B80" s="25" t="s">
        <v>4587</v>
      </c>
      <c r="C80" s="26" t="s">
        <v>4588</v>
      </c>
      <c r="D80" s="77"/>
      <c r="E80" s="77"/>
      <c r="F80" s="77"/>
      <c r="G80" s="77"/>
      <c r="H80" s="77"/>
      <c r="I80" s="77"/>
      <c r="J80" s="77"/>
      <c r="K80" s="77"/>
      <c r="L80" s="77"/>
      <c r="M80" s="77"/>
      <c r="N80" s="77"/>
      <c r="O80" s="77"/>
      <c r="P80" s="77"/>
      <c r="Q80" s="77"/>
      <c r="R80" s="77"/>
      <c r="AG80" t="s">
        <v>4465</v>
      </c>
    </row>
    <row r="81" spans="1:33" ht="12" customHeight="1">
      <c r="A81" s="26" t="s">
        <v>4589</v>
      </c>
      <c r="B81" s="25" t="s">
        <v>4590</v>
      </c>
      <c r="C81" s="26" t="s">
        <v>4589</v>
      </c>
      <c r="D81" s="77"/>
      <c r="E81" s="77"/>
      <c r="F81" s="77"/>
      <c r="G81" s="77"/>
      <c r="H81" s="77"/>
      <c r="I81" s="77"/>
      <c r="J81" s="77"/>
      <c r="K81" s="77"/>
      <c r="L81" s="77"/>
      <c r="M81" s="77"/>
      <c r="N81" s="77"/>
      <c r="O81" s="77"/>
      <c r="P81" s="77"/>
      <c r="Q81" s="77"/>
      <c r="R81" s="77"/>
      <c r="AG81" t="s">
        <v>4591</v>
      </c>
    </row>
    <row r="82" spans="1:33" ht="12" customHeight="1">
      <c r="A82" s="26" t="s">
        <v>4592</v>
      </c>
      <c r="B82" s="25" t="s">
        <v>4593</v>
      </c>
      <c r="C82" s="26" t="s">
        <v>4592</v>
      </c>
      <c r="D82" s="77"/>
      <c r="E82" s="77"/>
      <c r="F82" s="77"/>
      <c r="G82" s="77"/>
      <c r="H82" s="77"/>
      <c r="I82" s="77"/>
      <c r="J82" s="77"/>
      <c r="K82" s="77"/>
      <c r="L82" s="77"/>
      <c r="M82" s="77"/>
      <c r="N82" s="77"/>
      <c r="O82" s="77"/>
      <c r="P82" s="77"/>
      <c r="Q82" s="77"/>
      <c r="R82" s="77"/>
      <c r="AG82" t="s">
        <v>4594</v>
      </c>
    </row>
    <row r="83" spans="1:33" ht="12" customHeight="1">
      <c r="A83" s="26" t="s">
        <v>4595</v>
      </c>
      <c r="B83" s="25" t="s">
        <v>4596</v>
      </c>
      <c r="C83" s="26" t="s">
        <v>4595</v>
      </c>
      <c r="D83" s="77"/>
      <c r="E83" s="77"/>
      <c r="F83" s="77"/>
      <c r="G83" s="77"/>
      <c r="H83" s="77"/>
      <c r="I83" s="77"/>
      <c r="J83" s="77"/>
      <c r="K83" s="77"/>
      <c r="L83" s="77"/>
      <c r="M83" s="77"/>
      <c r="N83" s="77"/>
      <c r="O83" s="77"/>
      <c r="P83" s="77"/>
      <c r="Q83" s="77"/>
      <c r="R83" s="77"/>
      <c r="AG83" t="s">
        <v>4597</v>
      </c>
    </row>
    <row r="84" spans="1:33" ht="12" customHeight="1">
      <c r="A84" s="309" t="s">
        <v>4598</v>
      </c>
      <c r="B84" s="310"/>
      <c r="C84" s="309"/>
      <c r="D84" s="77"/>
      <c r="E84" s="77"/>
      <c r="F84" s="77"/>
      <c r="G84" s="77"/>
      <c r="H84" s="77"/>
      <c r="I84" s="77"/>
      <c r="J84" s="77"/>
      <c r="K84" s="77"/>
      <c r="L84" s="77"/>
      <c r="M84" s="77"/>
      <c r="N84" s="77"/>
      <c r="O84" s="77"/>
      <c r="P84" s="77"/>
      <c r="Q84" s="77"/>
      <c r="R84" s="77"/>
      <c r="AG84" t="s">
        <v>4599</v>
      </c>
    </row>
    <row r="85" spans="1:33" ht="12" customHeight="1">
      <c r="A85" s="26" t="s">
        <v>4600</v>
      </c>
      <c r="B85" s="25" t="s">
        <v>4601</v>
      </c>
      <c r="C85" s="26" t="s">
        <v>4600</v>
      </c>
      <c r="D85" s="77"/>
      <c r="E85" s="77"/>
      <c r="F85" s="77"/>
      <c r="G85" s="77"/>
      <c r="H85" s="77"/>
      <c r="I85" s="77"/>
      <c r="J85" s="77"/>
      <c r="K85" s="77"/>
      <c r="L85" s="77"/>
      <c r="M85" s="77"/>
      <c r="N85" s="77"/>
      <c r="O85" s="77"/>
      <c r="P85" s="77"/>
      <c r="Q85" s="77"/>
      <c r="R85" s="77"/>
      <c r="AG85" t="s">
        <v>4602</v>
      </c>
    </row>
    <row r="86" spans="1:33" ht="12" customHeight="1">
      <c r="A86" s="26" t="s">
        <v>4603</v>
      </c>
      <c r="B86" s="25" t="s">
        <v>4604</v>
      </c>
      <c r="C86" s="26" t="s">
        <v>4605</v>
      </c>
      <c r="D86" s="77"/>
      <c r="E86" s="77"/>
      <c r="F86" s="77"/>
      <c r="G86" s="77"/>
      <c r="H86" s="77"/>
      <c r="I86" s="77"/>
      <c r="J86" s="77"/>
      <c r="K86" s="77"/>
      <c r="L86" s="77"/>
      <c r="M86" s="77"/>
      <c r="N86" s="77"/>
      <c r="O86" s="77"/>
      <c r="P86" s="77"/>
      <c r="Q86" s="77"/>
      <c r="R86" s="77"/>
      <c r="AG86" t="s">
        <v>4606</v>
      </c>
    </row>
    <row r="87" spans="1:33" ht="12" customHeight="1">
      <c r="A87" s="26" t="s">
        <v>4607</v>
      </c>
      <c r="B87" s="25" t="s">
        <v>4608</v>
      </c>
      <c r="C87" s="26" t="s">
        <v>4609</v>
      </c>
      <c r="D87" s="77"/>
      <c r="E87" s="77"/>
      <c r="F87" s="77"/>
      <c r="G87" s="77"/>
      <c r="H87" s="77"/>
      <c r="I87" s="77"/>
      <c r="J87" s="77"/>
      <c r="K87" s="77"/>
      <c r="L87" s="77"/>
      <c r="M87" s="77"/>
      <c r="N87" s="77"/>
      <c r="O87" s="77"/>
      <c r="P87" s="77"/>
      <c r="Q87" s="77"/>
      <c r="R87" s="77"/>
      <c r="AG87" t="s">
        <v>4610</v>
      </c>
    </row>
    <row r="88" spans="1:33" ht="12" customHeight="1">
      <c r="A88" s="26" t="s">
        <v>4611</v>
      </c>
      <c r="B88" s="25" t="s">
        <v>4612</v>
      </c>
      <c r="C88" s="26" t="s">
        <v>4611</v>
      </c>
      <c r="D88" s="77"/>
      <c r="E88" s="77"/>
      <c r="F88" s="77"/>
      <c r="G88" s="77"/>
      <c r="H88" s="77"/>
      <c r="I88" s="77"/>
      <c r="J88" s="77"/>
      <c r="K88" s="77"/>
      <c r="L88" s="77"/>
      <c r="M88" s="77"/>
      <c r="N88" s="77"/>
      <c r="O88" s="77"/>
      <c r="P88" s="77"/>
      <c r="Q88" s="77"/>
      <c r="R88" s="77"/>
      <c r="AG88" t="s">
        <v>4613</v>
      </c>
    </row>
    <row r="89" spans="1:33" ht="12" customHeight="1">
      <c r="A89" s="26" t="s">
        <v>4614</v>
      </c>
      <c r="B89" s="25" t="s">
        <v>4615</v>
      </c>
      <c r="C89" s="26" t="s">
        <v>4614</v>
      </c>
      <c r="D89" s="77"/>
      <c r="E89" s="77"/>
      <c r="F89" s="77"/>
      <c r="G89" s="77"/>
      <c r="H89" s="77"/>
      <c r="I89" s="77"/>
      <c r="J89" s="77"/>
      <c r="K89" s="77"/>
      <c r="L89" s="77"/>
      <c r="M89" s="77"/>
      <c r="N89" s="77"/>
      <c r="O89" s="77"/>
      <c r="P89" s="77"/>
      <c r="Q89" s="77"/>
      <c r="R89" s="77"/>
      <c r="AG89" t="s">
        <v>4616</v>
      </c>
    </row>
    <row r="90" spans="1:33" ht="12" customHeight="1">
      <c r="A90" s="26" t="s">
        <v>4617</v>
      </c>
      <c r="B90" s="25" t="s">
        <v>4618</v>
      </c>
      <c r="C90" s="26" t="s">
        <v>4617</v>
      </c>
      <c r="D90" s="77"/>
      <c r="E90" s="77"/>
      <c r="F90" s="77"/>
      <c r="G90" s="77"/>
      <c r="H90" s="77"/>
      <c r="I90" s="77"/>
      <c r="J90" s="77"/>
      <c r="K90" s="77"/>
      <c r="L90" s="77"/>
      <c r="M90" s="77"/>
      <c r="N90" s="77"/>
      <c r="O90" s="77"/>
      <c r="P90" s="77"/>
      <c r="Q90" s="77"/>
      <c r="R90" s="77"/>
      <c r="AG90" t="s">
        <v>4619</v>
      </c>
    </row>
    <row r="91" spans="1:33" ht="12" customHeight="1">
      <c r="A91" s="66"/>
      <c r="B91" s="66"/>
      <c r="C91" s="310"/>
      <c r="D91" s="77"/>
      <c r="E91" s="77"/>
      <c r="F91" s="77"/>
      <c r="G91" s="77"/>
      <c r="H91" s="77"/>
      <c r="I91" s="77"/>
      <c r="J91" s="77"/>
      <c r="K91" s="77"/>
      <c r="L91" s="77"/>
      <c r="M91" s="77"/>
      <c r="N91" s="77"/>
      <c r="O91" s="77"/>
      <c r="P91" s="77"/>
      <c r="Q91" s="77"/>
      <c r="R91" s="77"/>
      <c r="AG91" t="s">
        <v>4620</v>
      </c>
    </row>
    <row r="92" spans="1:33" ht="12" customHeight="1">
      <c r="A92" s="77"/>
      <c r="B92" s="77"/>
      <c r="C92" s="77"/>
      <c r="D92" s="77"/>
      <c r="E92" s="77"/>
      <c r="F92" s="77"/>
      <c r="G92" s="77"/>
      <c r="H92" s="77"/>
      <c r="I92" s="77"/>
      <c r="J92" s="77"/>
      <c r="K92" s="77"/>
      <c r="L92" s="77"/>
      <c r="M92" s="77"/>
      <c r="N92" s="77"/>
      <c r="O92" s="77"/>
      <c r="P92" s="77"/>
      <c r="Q92" s="77"/>
      <c r="R92" s="77"/>
      <c r="AG92" t="s">
        <v>4621</v>
      </c>
    </row>
    <row r="93" spans="1:33" ht="12" customHeight="1">
      <c r="A93" s="77"/>
      <c r="B93" s="77"/>
      <c r="C93" s="77"/>
      <c r="D93" s="77"/>
      <c r="E93" s="77"/>
      <c r="F93" s="77"/>
      <c r="G93" s="77"/>
      <c r="H93" s="77"/>
      <c r="I93" s="77"/>
      <c r="J93" s="77"/>
      <c r="K93" s="77"/>
      <c r="L93" s="77"/>
      <c r="M93" s="77"/>
      <c r="N93" s="77"/>
      <c r="O93" s="77"/>
      <c r="P93" s="77"/>
      <c r="Q93" s="77"/>
      <c r="R93" s="77"/>
      <c r="AG93" t="s">
        <v>4622</v>
      </c>
    </row>
    <row r="94" spans="1:33" ht="12" customHeight="1">
      <c r="A94" s="66" t="s">
        <v>4163</v>
      </c>
      <c r="B94" s="311" t="s">
        <v>4623</v>
      </c>
      <c r="C94" s="66"/>
      <c r="D94" s="77"/>
      <c r="E94" s="77"/>
      <c r="F94" s="77"/>
      <c r="G94" s="77"/>
      <c r="H94" s="77"/>
      <c r="I94" s="77"/>
      <c r="J94" s="77"/>
      <c r="K94" s="77"/>
      <c r="L94" s="77"/>
      <c r="M94" s="77"/>
      <c r="N94" s="77"/>
      <c r="O94" s="77"/>
      <c r="P94" s="77"/>
      <c r="Q94" s="77"/>
      <c r="R94" s="77"/>
      <c r="AG94" t="s">
        <v>4624</v>
      </c>
    </row>
    <row r="95" spans="1:33" ht="12" customHeight="1">
      <c r="A95" s="66" t="s">
        <v>4186</v>
      </c>
      <c r="B95" s="311" t="s">
        <v>4625</v>
      </c>
      <c r="C95" s="66"/>
      <c r="D95" s="77"/>
      <c r="E95" s="77"/>
      <c r="F95" s="77"/>
      <c r="G95" s="77"/>
      <c r="H95" s="77"/>
      <c r="I95" s="77"/>
      <c r="J95" s="77"/>
      <c r="K95" s="77"/>
      <c r="L95" s="77"/>
      <c r="M95" s="77"/>
      <c r="N95" s="77"/>
      <c r="O95" s="77"/>
      <c r="P95" s="77"/>
      <c r="Q95" s="77"/>
      <c r="R95" s="77"/>
      <c r="AG95" t="s">
        <v>4626</v>
      </c>
    </row>
    <row r="96" spans="1:33" ht="12" customHeight="1">
      <c r="A96" s="66" t="s">
        <v>4200</v>
      </c>
      <c r="B96" s="311" t="s">
        <v>4627</v>
      </c>
      <c r="C96" s="66"/>
      <c r="D96" s="77"/>
      <c r="E96" s="77"/>
      <c r="F96" s="77"/>
      <c r="G96" s="77"/>
      <c r="H96" s="77"/>
      <c r="I96" s="77"/>
      <c r="J96" s="77"/>
      <c r="K96" s="77"/>
      <c r="L96" s="77"/>
      <c r="M96" s="77"/>
      <c r="N96" s="77"/>
      <c r="O96" s="77"/>
      <c r="P96" s="77"/>
      <c r="Q96" s="77"/>
      <c r="R96" s="77"/>
      <c r="AG96" t="s">
        <v>4628</v>
      </c>
    </row>
    <row r="97" spans="1:33" ht="12" customHeight="1">
      <c r="A97" s="66" t="s">
        <v>4215</v>
      </c>
      <c r="B97" s="311" t="s">
        <v>4629</v>
      </c>
      <c r="C97" s="66"/>
      <c r="D97" s="77"/>
      <c r="E97" s="77"/>
      <c r="F97" s="77"/>
      <c r="G97" s="77"/>
      <c r="H97" s="77"/>
      <c r="I97" s="77"/>
      <c r="J97" s="77"/>
      <c r="K97" s="77"/>
      <c r="L97" s="77"/>
      <c r="M97" s="77"/>
      <c r="N97" s="77"/>
      <c r="O97" s="77"/>
      <c r="P97" s="77"/>
      <c r="Q97" s="77"/>
      <c r="R97" s="77"/>
      <c r="AG97" t="s">
        <v>4630</v>
      </c>
    </row>
    <row r="98" spans="1:33" ht="12" customHeight="1">
      <c r="A98" s="66" t="s">
        <v>4227</v>
      </c>
      <c r="B98" s="311" t="s">
        <v>4631</v>
      </c>
      <c r="C98" s="66"/>
      <c r="D98" s="77"/>
      <c r="E98" s="77"/>
      <c r="F98" s="77"/>
      <c r="G98" s="77"/>
      <c r="H98" s="77"/>
      <c r="I98" s="77"/>
      <c r="J98" s="77"/>
      <c r="K98" s="77"/>
      <c r="L98" s="77"/>
      <c r="M98" s="77"/>
      <c r="N98" s="77"/>
      <c r="O98" s="77"/>
      <c r="P98" s="77"/>
      <c r="Q98" s="77"/>
      <c r="R98" s="77"/>
      <c r="AG98" t="s">
        <v>4632</v>
      </c>
    </row>
    <row r="99" spans="1:33" ht="12" customHeight="1">
      <c r="A99" s="66" t="s">
        <v>4240</v>
      </c>
      <c r="B99" s="311" t="s">
        <v>4633</v>
      </c>
      <c r="C99" s="66"/>
      <c r="D99" s="77"/>
      <c r="E99" s="77"/>
      <c r="F99" s="77"/>
      <c r="G99" s="77"/>
      <c r="H99" s="77"/>
      <c r="I99" s="77"/>
      <c r="J99" s="77"/>
      <c r="K99" s="77"/>
      <c r="L99" s="77"/>
      <c r="M99" s="77"/>
      <c r="N99" s="77"/>
      <c r="O99" s="77"/>
      <c r="P99" s="77"/>
      <c r="Q99" s="77"/>
      <c r="R99" s="77"/>
      <c r="AG99" t="s">
        <v>4634</v>
      </c>
    </row>
    <row r="100" spans="1:33" ht="12" customHeight="1">
      <c r="A100" s="66" t="s">
        <v>4251</v>
      </c>
      <c r="B100" s="311" t="s">
        <v>4635</v>
      </c>
      <c r="C100" s="66"/>
      <c r="D100" s="77"/>
      <c r="E100" s="77"/>
      <c r="F100" s="77"/>
      <c r="G100" s="77"/>
      <c r="H100" s="77"/>
      <c r="I100" s="77"/>
      <c r="J100" s="77"/>
      <c r="K100" s="77"/>
      <c r="L100" s="77"/>
      <c r="M100" s="77"/>
      <c r="N100" s="77"/>
      <c r="O100" s="83"/>
      <c r="P100" s="77"/>
      <c r="Q100" s="77"/>
      <c r="R100" s="77"/>
      <c r="AG100" t="s">
        <v>4636</v>
      </c>
    </row>
    <row r="101" spans="1:33" ht="12" customHeight="1">
      <c r="A101" s="66" t="s">
        <v>4261</v>
      </c>
      <c r="B101" s="311" t="s">
        <v>4637</v>
      </c>
      <c r="C101" s="66"/>
      <c r="D101" s="77"/>
      <c r="E101" s="77"/>
      <c r="F101" s="77"/>
      <c r="G101" s="77"/>
      <c r="H101" s="77"/>
      <c r="I101" s="77"/>
      <c r="J101" s="77"/>
      <c r="K101" s="77"/>
      <c r="L101" s="77"/>
      <c r="M101" s="77"/>
      <c r="N101" s="77"/>
      <c r="O101" s="83"/>
      <c r="P101" s="77"/>
      <c r="Q101" s="77"/>
      <c r="R101" s="77"/>
      <c r="AG101" t="s">
        <v>4638</v>
      </c>
    </row>
    <row r="102" spans="1:33" ht="12" customHeight="1">
      <c r="A102" s="66" t="s">
        <v>4271</v>
      </c>
      <c r="B102" s="311" t="s">
        <v>4639</v>
      </c>
      <c r="C102" s="66"/>
      <c r="D102" s="77"/>
      <c r="E102" s="77"/>
      <c r="F102" s="77"/>
      <c r="G102" s="77"/>
      <c r="H102" s="77"/>
      <c r="I102" s="77"/>
      <c r="J102" s="77"/>
      <c r="K102" s="77"/>
      <c r="L102" s="77"/>
      <c r="M102" s="77"/>
      <c r="N102" s="77"/>
      <c r="O102" s="83"/>
      <c r="P102" s="77"/>
      <c r="Q102" s="77"/>
      <c r="R102" s="77"/>
      <c r="AG102" t="s">
        <v>4640</v>
      </c>
    </row>
    <row r="103" spans="1:33" ht="12" customHeight="1">
      <c r="A103" s="66" t="s">
        <v>4279</v>
      </c>
      <c r="B103" s="311" t="s">
        <v>4641</v>
      </c>
      <c r="C103" s="66"/>
      <c r="D103" s="77"/>
      <c r="E103" s="77"/>
      <c r="F103" s="77"/>
      <c r="G103" s="77"/>
      <c r="H103" s="77"/>
      <c r="I103" s="77"/>
      <c r="J103" s="77"/>
      <c r="K103" s="77"/>
      <c r="L103" s="77"/>
      <c r="M103" s="77"/>
      <c r="N103" s="77"/>
      <c r="O103" s="83"/>
      <c r="P103" s="77"/>
      <c r="Q103" s="77"/>
      <c r="R103" s="77"/>
      <c r="AG103" t="s">
        <v>4642</v>
      </c>
    </row>
    <row r="104" spans="1:33" ht="12" customHeight="1">
      <c r="A104" s="66" t="s">
        <v>4288</v>
      </c>
      <c r="B104" s="311" t="s">
        <v>4643</v>
      </c>
      <c r="C104" s="66"/>
      <c r="D104" s="77"/>
      <c r="E104" s="77"/>
      <c r="F104" s="77"/>
      <c r="G104" s="77"/>
      <c r="H104" s="77"/>
      <c r="I104" s="77"/>
      <c r="J104" s="77"/>
      <c r="K104" s="77"/>
      <c r="L104" s="77"/>
      <c r="M104" s="77"/>
      <c r="N104" s="77"/>
      <c r="O104" s="83"/>
      <c r="P104" s="77"/>
      <c r="Q104" s="77"/>
      <c r="R104" s="77"/>
      <c r="AG104" t="s">
        <v>4644</v>
      </c>
    </row>
    <row r="105" spans="1:33" ht="12" customHeight="1">
      <c r="A105" s="66" t="s">
        <v>4645</v>
      </c>
      <c r="B105" s="311" t="s">
        <v>4646</v>
      </c>
      <c r="C105" s="66"/>
      <c r="D105" s="77"/>
      <c r="E105" s="77"/>
      <c r="F105" s="77"/>
      <c r="G105" s="77"/>
      <c r="H105" s="77"/>
      <c r="I105" s="77"/>
      <c r="J105" s="77"/>
      <c r="K105" s="77"/>
      <c r="L105" s="77"/>
      <c r="M105" s="77"/>
      <c r="N105" s="77"/>
      <c r="O105" s="83"/>
      <c r="P105" s="77"/>
      <c r="Q105" s="77"/>
      <c r="R105" s="77"/>
      <c r="AG105" t="s">
        <v>4647</v>
      </c>
    </row>
    <row r="106" spans="1:33" ht="12" customHeight="1">
      <c r="A106" s="66" t="s">
        <v>4648</v>
      </c>
      <c r="B106" s="311" t="s">
        <v>4649</v>
      </c>
      <c r="C106" s="66"/>
      <c r="D106" s="77"/>
      <c r="E106" s="77"/>
      <c r="F106" s="77"/>
      <c r="G106" s="77"/>
      <c r="H106" s="77"/>
      <c r="I106" s="77"/>
      <c r="J106" s="77"/>
      <c r="K106" s="77"/>
      <c r="L106" s="77"/>
      <c r="M106" s="77"/>
      <c r="N106" s="77"/>
      <c r="O106" s="83"/>
      <c r="P106" s="77"/>
      <c r="Q106" s="77"/>
      <c r="R106" s="77"/>
      <c r="AG106" t="s">
        <v>4650</v>
      </c>
    </row>
    <row r="107" spans="1:33" ht="12" customHeight="1">
      <c r="A107" s="66" t="s">
        <v>4651</v>
      </c>
      <c r="B107" s="311" t="s">
        <v>4652</v>
      </c>
      <c r="C107" s="66"/>
      <c r="D107" s="77"/>
      <c r="E107" s="77"/>
      <c r="F107" s="77"/>
      <c r="G107" s="77"/>
      <c r="H107" s="77"/>
      <c r="I107" s="77"/>
      <c r="J107" s="77"/>
      <c r="K107" s="77"/>
      <c r="L107" s="77"/>
      <c r="M107" s="77"/>
      <c r="N107" s="77"/>
      <c r="O107" s="83"/>
      <c r="P107" s="77"/>
      <c r="Q107" s="77"/>
      <c r="R107" s="77"/>
      <c r="AG107" t="s">
        <v>4653</v>
      </c>
    </row>
    <row r="108" spans="1:33" ht="12" customHeight="1">
      <c r="A108" s="66" t="s">
        <v>4322</v>
      </c>
      <c r="B108" s="311" t="s">
        <v>4654</v>
      </c>
      <c r="C108" s="66"/>
      <c r="D108" s="77"/>
      <c r="E108" s="77"/>
      <c r="F108" s="77"/>
      <c r="G108" s="77"/>
      <c r="H108" s="77"/>
      <c r="I108" s="77"/>
      <c r="J108" s="77"/>
      <c r="K108" s="77"/>
      <c r="L108" s="77"/>
      <c r="M108" s="83"/>
      <c r="N108" s="77"/>
      <c r="O108" s="83"/>
      <c r="P108" s="77"/>
      <c r="Q108" s="77"/>
      <c r="R108" s="77"/>
      <c r="AG108" t="s">
        <v>4655</v>
      </c>
    </row>
    <row r="109" spans="1:33" ht="12" customHeight="1">
      <c r="A109" s="66" t="s">
        <v>4325</v>
      </c>
      <c r="B109" s="311" t="s">
        <v>4656</v>
      </c>
      <c r="C109" s="66"/>
      <c r="D109" s="77"/>
      <c r="E109" s="77"/>
      <c r="F109" s="77"/>
      <c r="G109" s="77"/>
      <c r="H109" s="77"/>
      <c r="I109" s="77"/>
      <c r="J109" s="77"/>
      <c r="K109" s="77"/>
      <c r="L109" s="77"/>
      <c r="M109" s="83"/>
      <c r="N109" s="77"/>
      <c r="O109" s="83"/>
      <c r="P109" s="77"/>
      <c r="Q109" s="77"/>
      <c r="R109" s="77"/>
      <c r="AG109" t="s">
        <v>4657</v>
      </c>
    </row>
    <row r="110" spans="1:33" ht="12" customHeight="1">
      <c r="A110" s="66" t="s">
        <v>4332</v>
      </c>
      <c r="B110" s="311" t="s">
        <v>4658</v>
      </c>
      <c r="C110" s="66"/>
      <c r="D110" s="77"/>
      <c r="E110" s="77"/>
      <c r="F110" s="77"/>
      <c r="G110" s="77"/>
      <c r="H110" s="77"/>
      <c r="I110" s="77"/>
      <c r="J110" s="77"/>
      <c r="K110" s="77"/>
      <c r="L110" s="77"/>
      <c r="M110" s="83"/>
      <c r="N110" s="77"/>
      <c r="O110" s="83"/>
      <c r="P110" s="77"/>
      <c r="Q110" s="77"/>
      <c r="R110" s="77"/>
      <c r="AG110" t="s">
        <v>4659</v>
      </c>
    </row>
    <row r="111" spans="1:33" ht="12" customHeight="1">
      <c r="A111" s="66" t="s">
        <v>4337</v>
      </c>
      <c r="B111" s="311" t="s">
        <v>4660</v>
      </c>
      <c r="C111" s="66"/>
      <c r="D111" s="77"/>
      <c r="E111" s="77"/>
      <c r="F111" s="77"/>
      <c r="G111" s="77"/>
      <c r="H111" s="77"/>
      <c r="I111" s="77"/>
      <c r="J111" s="77"/>
      <c r="K111" s="77"/>
      <c r="L111" s="77"/>
      <c r="M111" s="83"/>
      <c r="N111" s="77"/>
      <c r="O111" s="83"/>
      <c r="P111" s="77"/>
      <c r="Q111" s="77"/>
      <c r="R111" s="77"/>
      <c r="AG111" t="s">
        <v>4661</v>
      </c>
    </row>
    <row r="112" spans="1:33" ht="12" customHeight="1">
      <c r="A112" s="66" t="s">
        <v>4343</v>
      </c>
      <c r="B112" s="311" t="s">
        <v>4662</v>
      </c>
      <c r="C112" s="66"/>
      <c r="D112" s="77"/>
      <c r="E112" s="77"/>
      <c r="F112" s="77"/>
      <c r="G112" s="77"/>
      <c r="H112" s="77"/>
      <c r="I112" s="77"/>
      <c r="J112" s="77"/>
      <c r="K112" s="77"/>
      <c r="L112" s="77"/>
      <c r="M112" s="83"/>
      <c r="N112" s="77"/>
      <c r="O112" s="83"/>
      <c r="P112" s="77"/>
      <c r="Q112" s="77"/>
      <c r="R112" s="77"/>
      <c r="AG112" t="s">
        <v>4663</v>
      </c>
    </row>
    <row r="113" spans="1:33" ht="12" customHeight="1">
      <c r="A113" s="66" t="s">
        <v>4349</v>
      </c>
      <c r="B113" s="311" t="s">
        <v>4664</v>
      </c>
      <c r="C113" s="66"/>
      <c r="D113" s="77"/>
      <c r="E113" s="77"/>
      <c r="F113" s="77"/>
      <c r="G113" s="77"/>
      <c r="H113" s="77"/>
      <c r="I113" s="77"/>
      <c r="J113" s="77"/>
      <c r="K113" s="77"/>
      <c r="L113" s="77"/>
      <c r="M113" s="83"/>
      <c r="N113" s="77"/>
      <c r="O113" s="83"/>
      <c r="P113" s="77"/>
      <c r="Q113" s="77"/>
      <c r="R113" s="77"/>
      <c r="AG113" t="s">
        <v>4665</v>
      </c>
    </row>
    <row r="114" spans="1:33" ht="12" customHeight="1">
      <c r="A114" s="66" t="s">
        <v>4355</v>
      </c>
      <c r="B114" s="311" t="s">
        <v>4666</v>
      </c>
      <c r="C114" s="66"/>
      <c r="D114" s="77"/>
      <c r="E114" s="77"/>
      <c r="F114" s="77"/>
      <c r="G114" s="77"/>
      <c r="H114" s="77"/>
      <c r="I114" s="77"/>
      <c r="J114" s="77"/>
      <c r="K114" s="77"/>
      <c r="L114" s="77"/>
      <c r="M114" s="83"/>
      <c r="N114" s="77"/>
      <c r="O114" s="83"/>
      <c r="P114" s="77"/>
      <c r="Q114" s="77"/>
      <c r="R114" s="77"/>
      <c r="AG114" t="s">
        <v>4667</v>
      </c>
    </row>
    <row r="115" spans="1:33" ht="12" customHeight="1">
      <c r="A115" s="66" t="s">
        <v>4362</v>
      </c>
      <c r="B115" s="311" t="s">
        <v>4668</v>
      </c>
      <c r="C115" s="66"/>
      <c r="D115" s="77"/>
      <c r="E115" s="77"/>
      <c r="F115" s="77"/>
      <c r="G115" s="77"/>
      <c r="H115" s="77"/>
      <c r="I115" s="77"/>
      <c r="J115" s="77"/>
      <c r="K115" s="77"/>
      <c r="L115" s="77"/>
      <c r="M115" s="83"/>
      <c r="N115" s="77"/>
      <c r="O115" s="83"/>
      <c r="P115" s="77"/>
      <c r="Q115" s="77"/>
      <c r="R115" s="77"/>
      <c r="AG115" t="s">
        <v>4669</v>
      </c>
    </row>
    <row r="116" spans="1:33" ht="12" customHeight="1">
      <c r="A116" s="66" t="s">
        <v>4367</v>
      </c>
      <c r="B116" s="311" t="s">
        <v>4670</v>
      </c>
      <c r="C116" s="66"/>
      <c r="D116" s="77"/>
      <c r="E116" s="77"/>
      <c r="F116" s="77"/>
      <c r="G116" s="77"/>
      <c r="H116" s="77"/>
      <c r="I116" s="77"/>
      <c r="J116" s="77"/>
      <c r="K116" s="77"/>
      <c r="L116" s="77"/>
      <c r="M116" s="83"/>
      <c r="N116" s="77"/>
      <c r="O116" s="83"/>
      <c r="P116" s="77"/>
      <c r="Q116" s="77"/>
      <c r="R116" s="77"/>
      <c r="AG116" t="s">
        <v>4671</v>
      </c>
    </row>
    <row r="117" spans="1:33" ht="12" customHeight="1">
      <c r="A117" s="66" t="s">
        <v>4372</v>
      </c>
      <c r="B117" s="311" t="s">
        <v>4672</v>
      </c>
      <c r="C117" s="66"/>
      <c r="D117" s="77"/>
      <c r="E117" s="77"/>
      <c r="F117" s="77"/>
      <c r="G117" s="77"/>
      <c r="H117" s="77"/>
      <c r="I117" s="77"/>
      <c r="J117" s="77"/>
      <c r="K117" s="77"/>
      <c r="L117" s="77"/>
      <c r="M117" s="83"/>
      <c r="N117" s="77"/>
      <c r="O117" s="83"/>
      <c r="P117" s="77"/>
      <c r="Q117" s="77"/>
      <c r="R117" s="77"/>
      <c r="AG117" t="s">
        <v>4673</v>
      </c>
    </row>
    <row r="118" spans="1:33" ht="12" customHeight="1">
      <c r="A118" s="66" t="s">
        <v>4377</v>
      </c>
      <c r="B118" s="311" t="s">
        <v>4674</v>
      </c>
      <c r="C118" s="66"/>
      <c r="D118" s="77"/>
      <c r="E118" s="77"/>
      <c r="F118" s="77"/>
      <c r="G118" s="77"/>
      <c r="H118" s="77"/>
      <c r="I118" s="77"/>
      <c r="J118" s="77"/>
      <c r="K118" s="77"/>
      <c r="L118" s="77"/>
      <c r="M118" s="83"/>
      <c r="N118" s="77"/>
      <c r="O118" s="83"/>
      <c r="P118" s="77"/>
      <c r="Q118" s="77"/>
      <c r="R118" s="77"/>
      <c r="AG118" t="s">
        <v>4675</v>
      </c>
    </row>
    <row r="119" spans="1:33" ht="12" customHeight="1">
      <c r="A119" s="66" t="s">
        <v>101</v>
      </c>
      <c r="B119" s="311" t="s">
        <v>109</v>
      </c>
      <c r="C119" s="66"/>
      <c r="D119" s="77"/>
      <c r="E119" s="77"/>
      <c r="F119" s="77"/>
      <c r="G119" s="77"/>
      <c r="H119" s="77"/>
      <c r="I119" s="77"/>
      <c r="J119" s="77"/>
      <c r="K119" s="77"/>
      <c r="L119" s="77"/>
      <c r="M119" s="83"/>
      <c r="N119" s="77"/>
      <c r="O119" s="83"/>
      <c r="P119" s="77"/>
      <c r="Q119" s="77"/>
      <c r="R119" s="77"/>
      <c r="AG119" t="s">
        <v>4676</v>
      </c>
    </row>
    <row r="120" spans="1:33" ht="12" customHeight="1">
      <c r="A120" s="66" t="s">
        <v>4386</v>
      </c>
      <c r="B120" s="311" t="s">
        <v>4677</v>
      </c>
      <c r="C120" s="66"/>
      <c r="D120" s="77"/>
      <c r="E120" s="77"/>
      <c r="F120" s="77"/>
      <c r="G120" s="77"/>
      <c r="H120" s="77"/>
      <c r="I120" s="77"/>
      <c r="J120" s="77"/>
      <c r="K120" s="77"/>
      <c r="L120" s="77"/>
      <c r="M120" s="83"/>
      <c r="N120" s="77"/>
      <c r="O120" s="83"/>
      <c r="P120" s="77"/>
      <c r="Q120" s="77"/>
      <c r="R120" s="77"/>
      <c r="AG120" t="s">
        <v>4678</v>
      </c>
    </row>
    <row r="121" spans="1:33" ht="12" customHeight="1">
      <c r="A121" s="66" t="s">
        <v>4391</v>
      </c>
      <c r="B121" s="311" t="s">
        <v>4679</v>
      </c>
      <c r="C121" s="66"/>
      <c r="D121" s="77"/>
      <c r="E121" s="77"/>
      <c r="F121" s="77"/>
      <c r="G121" s="77"/>
      <c r="H121" s="77"/>
      <c r="I121" s="77"/>
      <c r="J121" s="77"/>
      <c r="K121" s="77"/>
      <c r="L121" s="77"/>
      <c r="M121" s="83"/>
      <c r="N121" s="77"/>
      <c r="O121" s="83"/>
      <c r="P121" s="77"/>
      <c r="Q121" s="77"/>
      <c r="R121" s="77"/>
      <c r="AG121" t="s">
        <v>4680</v>
      </c>
    </row>
    <row r="122" spans="1:33" ht="12" customHeight="1">
      <c r="A122" s="66" t="s">
        <v>4396</v>
      </c>
      <c r="B122" s="311" t="s">
        <v>4681</v>
      </c>
      <c r="C122" s="66"/>
      <c r="D122" s="77"/>
      <c r="E122" s="77"/>
      <c r="F122" s="77"/>
      <c r="G122" s="77"/>
      <c r="H122" s="77"/>
      <c r="I122" s="77"/>
      <c r="J122" s="77"/>
      <c r="K122" s="77"/>
      <c r="L122" s="77"/>
      <c r="M122" s="83"/>
      <c r="N122" s="77"/>
      <c r="O122" s="83"/>
      <c r="P122" s="77"/>
      <c r="Q122" s="77"/>
      <c r="R122" s="77"/>
      <c r="AG122" t="s">
        <v>4682</v>
      </c>
    </row>
    <row r="123" spans="1:33" ht="12" customHeight="1">
      <c r="A123" s="66" t="s">
        <v>4401</v>
      </c>
      <c r="B123" s="311" t="s">
        <v>4683</v>
      </c>
      <c r="C123" s="66"/>
      <c r="D123" s="77"/>
      <c r="E123" s="77"/>
      <c r="F123" s="77"/>
      <c r="G123" s="77"/>
      <c r="H123" s="77"/>
      <c r="I123" s="77"/>
      <c r="J123" s="77"/>
      <c r="K123" s="77"/>
      <c r="L123" s="77"/>
      <c r="M123" s="83"/>
      <c r="N123" s="77"/>
      <c r="O123" s="83"/>
      <c r="P123" s="77"/>
      <c r="Q123" s="77"/>
      <c r="R123" s="77"/>
      <c r="AG123" t="s">
        <v>4684</v>
      </c>
    </row>
    <row r="124" spans="1:33" ht="12" customHeight="1">
      <c r="A124" s="66" t="s">
        <v>4405</v>
      </c>
      <c r="B124" s="311" t="s">
        <v>4685</v>
      </c>
      <c r="C124" s="66"/>
      <c r="D124" s="77"/>
      <c r="E124" s="77"/>
      <c r="F124" s="77"/>
      <c r="G124" s="77"/>
      <c r="H124" s="77"/>
      <c r="I124" s="77"/>
      <c r="J124" s="77"/>
      <c r="K124" s="77"/>
      <c r="L124" s="77"/>
      <c r="M124" s="83"/>
      <c r="N124" s="77"/>
      <c r="O124" s="83"/>
      <c r="P124" s="77"/>
      <c r="Q124" s="77"/>
      <c r="R124" s="77"/>
      <c r="AG124" t="s">
        <v>4686</v>
      </c>
    </row>
    <row r="125" spans="1:33" ht="12" customHeight="1">
      <c r="A125" s="66" t="s">
        <v>4410</v>
      </c>
      <c r="B125" s="311" t="s">
        <v>4687</v>
      </c>
      <c r="C125" s="66"/>
      <c r="D125" s="77"/>
      <c r="E125" s="77"/>
      <c r="F125" s="77"/>
      <c r="G125" s="77"/>
      <c r="H125" s="77"/>
      <c r="I125" s="77"/>
      <c r="J125" s="77"/>
      <c r="K125" s="77"/>
      <c r="L125" s="77"/>
      <c r="M125" s="83"/>
      <c r="N125" s="77"/>
      <c r="O125" s="83"/>
      <c r="P125" s="77"/>
      <c r="Q125" s="77"/>
      <c r="R125" s="77"/>
      <c r="AG125" t="s">
        <v>4688</v>
      </c>
    </row>
    <row r="126" spans="1:33" ht="12" customHeight="1">
      <c r="A126" s="66" t="s">
        <v>4415</v>
      </c>
      <c r="B126" s="311" t="s">
        <v>4689</v>
      </c>
      <c r="C126" s="66"/>
      <c r="D126" s="77"/>
      <c r="E126" s="77"/>
      <c r="F126" s="77"/>
      <c r="G126" s="77"/>
      <c r="H126" s="77"/>
      <c r="I126" s="77"/>
      <c r="J126" s="77"/>
      <c r="K126" s="77"/>
      <c r="L126" s="77"/>
      <c r="M126" s="83"/>
      <c r="N126" s="77"/>
      <c r="O126" s="83"/>
      <c r="P126" s="77"/>
      <c r="Q126" s="77"/>
      <c r="R126" s="77"/>
      <c r="AG126" t="s">
        <v>4690</v>
      </c>
    </row>
    <row r="127" spans="1:33" ht="12" customHeight="1">
      <c r="A127" s="66" t="s">
        <v>4420</v>
      </c>
      <c r="B127" s="311" t="s">
        <v>4691</v>
      </c>
      <c r="C127" s="66"/>
      <c r="D127" s="77"/>
      <c r="E127" s="77"/>
      <c r="F127" s="77"/>
      <c r="G127" s="77"/>
      <c r="H127" s="77"/>
      <c r="I127" s="77"/>
      <c r="J127" s="77"/>
      <c r="K127" s="77"/>
      <c r="L127" s="77"/>
      <c r="M127" s="83"/>
      <c r="N127" s="77"/>
      <c r="O127" s="83"/>
      <c r="P127" s="77"/>
      <c r="Q127" s="77"/>
      <c r="R127" s="77"/>
      <c r="AG127" t="s">
        <v>4692</v>
      </c>
    </row>
    <row r="128" spans="1:33" ht="12" customHeight="1">
      <c r="A128" s="66" t="s">
        <v>4425</v>
      </c>
      <c r="B128" s="311" t="s">
        <v>4693</v>
      </c>
      <c r="C128" s="66"/>
      <c r="D128" s="77"/>
      <c r="E128" s="77"/>
      <c r="F128" s="77"/>
      <c r="G128" s="77"/>
      <c r="H128" s="77"/>
      <c r="I128" s="77"/>
      <c r="J128" s="77"/>
      <c r="K128" s="77"/>
      <c r="L128" s="77"/>
      <c r="M128" s="83"/>
      <c r="N128" s="77"/>
      <c r="O128" s="83"/>
      <c r="P128" s="77"/>
      <c r="Q128" s="77"/>
      <c r="R128" s="77"/>
      <c r="AG128" t="s">
        <v>4694</v>
      </c>
    </row>
    <row r="129" spans="1:33" ht="12" customHeight="1">
      <c r="A129" s="66" t="s">
        <v>4429</v>
      </c>
      <c r="B129" s="311" t="s">
        <v>4695</v>
      </c>
      <c r="C129" s="66"/>
      <c r="D129" s="77"/>
      <c r="E129" s="77"/>
      <c r="F129" s="77"/>
      <c r="G129" s="77"/>
      <c r="H129" s="77"/>
      <c r="I129" s="77"/>
      <c r="J129" s="77"/>
      <c r="K129" s="77"/>
      <c r="L129" s="77"/>
      <c r="M129" s="83"/>
      <c r="N129" s="77"/>
      <c r="O129" s="83"/>
      <c r="P129" s="77"/>
      <c r="Q129" s="77"/>
      <c r="R129" s="77"/>
      <c r="AG129" t="s">
        <v>4696</v>
      </c>
    </row>
    <row r="130" spans="1:33" ht="12" customHeight="1">
      <c r="A130" s="66" t="s">
        <v>4434</v>
      </c>
      <c r="B130" s="311" t="s">
        <v>4697</v>
      </c>
      <c r="C130" s="66"/>
      <c r="D130" s="77"/>
      <c r="E130" s="77"/>
      <c r="F130" s="77"/>
      <c r="G130" s="77"/>
      <c r="H130" s="77"/>
      <c r="I130" s="77"/>
      <c r="J130" s="77"/>
      <c r="K130" s="77"/>
      <c r="L130" s="83"/>
      <c r="M130" s="83"/>
      <c r="N130" s="77"/>
      <c r="O130" s="77"/>
      <c r="P130" s="77"/>
      <c r="Q130" s="77"/>
      <c r="R130" s="77"/>
      <c r="AG130" t="s">
        <v>4698</v>
      </c>
    </row>
    <row r="131" spans="1:33" ht="12" customHeight="1">
      <c r="A131" s="66" t="s">
        <v>4438</v>
      </c>
      <c r="B131" s="311" t="s">
        <v>4699</v>
      </c>
      <c r="C131" s="66"/>
      <c r="D131" s="77"/>
      <c r="E131" s="77"/>
      <c r="F131" s="77"/>
      <c r="G131" s="77"/>
      <c r="H131" s="77"/>
      <c r="I131" s="77"/>
      <c r="J131" s="77"/>
      <c r="K131" s="77"/>
      <c r="L131" s="83"/>
      <c r="M131" s="83"/>
      <c r="N131" s="77"/>
      <c r="O131" s="77"/>
      <c r="P131" s="77"/>
      <c r="Q131" s="77"/>
      <c r="R131" s="77"/>
      <c r="AG131" t="s">
        <v>4700</v>
      </c>
    </row>
    <row r="132" spans="1:33" ht="12" customHeight="1">
      <c r="A132" s="66" t="s">
        <v>4443</v>
      </c>
      <c r="B132" s="311" t="s">
        <v>4701</v>
      </c>
      <c r="C132" s="66"/>
      <c r="D132" s="77"/>
      <c r="E132" s="77"/>
      <c r="F132" s="77"/>
      <c r="G132" s="77"/>
      <c r="H132" s="77"/>
      <c r="I132" s="77"/>
      <c r="J132" s="77"/>
      <c r="K132" s="77"/>
      <c r="L132" s="83"/>
      <c r="M132" s="83"/>
      <c r="N132" s="77"/>
      <c r="O132" s="77"/>
      <c r="P132" s="77"/>
      <c r="Q132" s="77"/>
      <c r="R132" s="77"/>
      <c r="AG132" t="s">
        <v>4702</v>
      </c>
    </row>
    <row r="133" spans="1:33" ht="12" customHeight="1">
      <c r="A133" s="66" t="s">
        <v>4447</v>
      </c>
      <c r="B133" s="311" t="s">
        <v>4703</v>
      </c>
      <c r="C133" s="66"/>
      <c r="D133" s="77"/>
      <c r="E133" s="77"/>
      <c r="F133" s="77"/>
      <c r="G133" s="77"/>
      <c r="H133" s="77"/>
      <c r="I133" s="77"/>
      <c r="J133" s="77"/>
      <c r="K133" s="77"/>
      <c r="L133" s="83"/>
      <c r="M133" s="83"/>
      <c r="N133" s="77"/>
      <c r="O133" s="77"/>
      <c r="P133" s="77"/>
      <c r="Q133" s="77"/>
      <c r="R133" s="77"/>
      <c r="AG133" t="s">
        <v>4704</v>
      </c>
    </row>
    <row r="134" spans="1:33" ht="12" customHeight="1">
      <c r="A134" s="66" t="s">
        <v>4451</v>
      </c>
      <c r="B134" s="311" t="s">
        <v>4705</v>
      </c>
      <c r="C134" s="66"/>
      <c r="D134" s="77"/>
      <c r="E134" s="77"/>
      <c r="F134" s="77"/>
      <c r="G134" s="77"/>
      <c r="H134" s="77"/>
      <c r="I134" s="77"/>
      <c r="J134" s="77"/>
      <c r="K134" s="77"/>
      <c r="L134" s="83"/>
      <c r="M134" s="83"/>
      <c r="N134" s="77"/>
      <c r="O134" s="77"/>
      <c r="P134" s="77"/>
      <c r="Q134" s="77"/>
      <c r="R134" s="77"/>
      <c r="AG134" t="s">
        <v>4706</v>
      </c>
    </row>
    <row r="135" spans="1:33" ht="12" customHeight="1">
      <c r="A135" s="66" t="s">
        <v>4455</v>
      </c>
      <c r="B135" s="311" t="s">
        <v>4707</v>
      </c>
      <c r="C135" s="66"/>
      <c r="D135" s="77"/>
      <c r="E135" s="77"/>
      <c r="F135" s="77"/>
      <c r="G135" s="77"/>
      <c r="H135" s="77"/>
      <c r="I135" s="77"/>
      <c r="J135" s="77"/>
      <c r="K135" s="83"/>
      <c r="L135" s="83"/>
      <c r="M135" s="83"/>
      <c r="N135" s="77"/>
      <c r="O135" s="77"/>
      <c r="P135" s="77"/>
      <c r="Q135" s="77"/>
      <c r="R135" s="77"/>
      <c r="AG135" t="s">
        <v>4708</v>
      </c>
    </row>
    <row r="136" spans="1:33" ht="12" customHeight="1">
      <c r="A136" s="66" t="s">
        <v>4459</v>
      </c>
      <c r="B136" s="311" t="s">
        <v>4709</v>
      </c>
      <c r="C136" s="66"/>
      <c r="D136" s="77"/>
      <c r="E136" s="77"/>
      <c r="F136" s="77"/>
      <c r="G136" s="77"/>
      <c r="H136" s="77"/>
      <c r="I136" s="77"/>
      <c r="J136" s="77"/>
      <c r="K136" s="83"/>
      <c r="L136" s="83"/>
      <c r="M136" s="83"/>
      <c r="N136" s="77"/>
      <c r="O136" s="77"/>
      <c r="P136" s="77"/>
      <c r="Q136" s="77"/>
      <c r="R136" s="77"/>
      <c r="AG136" t="s">
        <v>4710</v>
      </c>
    </row>
    <row r="137" spans="1:33" ht="12" customHeight="1">
      <c r="A137" s="66" t="s">
        <v>4463</v>
      </c>
      <c r="B137" s="311" t="s">
        <v>4711</v>
      </c>
      <c r="C137" s="66"/>
      <c r="D137" s="77"/>
      <c r="E137" s="77"/>
      <c r="F137" s="77"/>
      <c r="G137" s="77"/>
      <c r="H137" s="77"/>
      <c r="I137" s="77"/>
      <c r="J137" s="77"/>
      <c r="K137" s="83"/>
      <c r="L137" s="83"/>
      <c r="M137" s="83"/>
      <c r="N137" s="77"/>
      <c r="O137" s="77"/>
      <c r="P137" s="77"/>
      <c r="Q137" s="77"/>
      <c r="R137" s="77"/>
      <c r="AG137" t="s">
        <v>4712</v>
      </c>
    </row>
    <row r="138" spans="1:33" ht="12" customHeight="1">
      <c r="A138" s="66" t="s">
        <v>4467</v>
      </c>
      <c r="B138" s="311" t="s">
        <v>4713</v>
      </c>
      <c r="C138" s="66"/>
      <c r="D138" s="77"/>
      <c r="E138" s="77"/>
      <c r="F138" s="77"/>
      <c r="G138" s="77"/>
      <c r="H138" s="77"/>
      <c r="I138" s="77"/>
      <c r="J138" s="77"/>
      <c r="K138" s="83"/>
      <c r="L138" s="83"/>
      <c r="M138" s="83"/>
      <c r="N138" s="77"/>
      <c r="O138" s="77"/>
      <c r="P138" s="77"/>
      <c r="Q138" s="77"/>
      <c r="R138" s="77"/>
      <c r="AG138" t="s">
        <v>4714</v>
      </c>
    </row>
    <row r="139" spans="1:33" ht="12" customHeight="1">
      <c r="A139" s="66" t="s">
        <v>4472</v>
      </c>
      <c r="B139" s="311" t="s">
        <v>4715</v>
      </c>
      <c r="C139" s="66"/>
      <c r="D139" s="77"/>
      <c r="E139" s="77"/>
      <c r="F139" s="77"/>
      <c r="G139" s="77"/>
      <c r="H139" s="77"/>
      <c r="I139" s="77"/>
      <c r="J139" s="77"/>
      <c r="K139" s="83"/>
      <c r="L139" s="83"/>
      <c r="M139" s="83"/>
      <c r="N139" s="77"/>
      <c r="O139" s="77"/>
      <c r="P139" s="77"/>
      <c r="Q139" s="77"/>
      <c r="R139" s="77"/>
      <c r="AG139" t="s">
        <v>4716</v>
      </c>
    </row>
    <row r="140" spans="1:33" ht="12" customHeight="1">
      <c r="A140" s="66" t="s">
        <v>4476</v>
      </c>
      <c r="B140" s="311" t="s">
        <v>4717</v>
      </c>
      <c r="C140" s="66"/>
      <c r="D140" s="77"/>
      <c r="E140" s="77"/>
      <c r="F140" s="77"/>
      <c r="G140" s="77"/>
      <c r="H140" s="77"/>
      <c r="I140" s="77"/>
      <c r="J140" s="77"/>
      <c r="K140" s="83"/>
      <c r="L140" s="83"/>
      <c r="M140" s="83"/>
      <c r="N140" s="77"/>
      <c r="O140" s="77"/>
      <c r="P140" s="77"/>
      <c r="Q140" s="77"/>
      <c r="R140" s="77"/>
      <c r="AG140" t="s">
        <v>4718</v>
      </c>
    </row>
    <row r="141" spans="1:33" ht="12" customHeight="1">
      <c r="A141" s="66" t="s">
        <v>4480</v>
      </c>
      <c r="B141" s="311" t="s">
        <v>4719</v>
      </c>
      <c r="C141" s="66"/>
      <c r="D141" s="77"/>
      <c r="E141" s="77"/>
      <c r="F141" s="77"/>
      <c r="G141" s="77"/>
      <c r="H141" s="77"/>
      <c r="I141" s="77"/>
      <c r="J141" s="77"/>
      <c r="K141" s="83"/>
      <c r="L141" s="83"/>
      <c r="M141" s="83"/>
      <c r="N141" s="77"/>
      <c r="O141" s="77"/>
      <c r="P141" s="77"/>
      <c r="Q141" s="77"/>
      <c r="R141" s="77"/>
    </row>
    <row r="142" spans="1:33" ht="12" customHeight="1">
      <c r="A142" s="66" t="s">
        <v>4484</v>
      </c>
      <c r="B142" s="311" t="s">
        <v>4720</v>
      </c>
      <c r="C142" s="66"/>
      <c r="D142" s="77"/>
      <c r="E142" s="77"/>
      <c r="F142" s="77"/>
      <c r="G142" s="77"/>
      <c r="H142" s="77"/>
      <c r="I142" s="77"/>
      <c r="J142" s="77"/>
      <c r="K142" s="83"/>
      <c r="L142" s="83"/>
      <c r="M142" s="83"/>
      <c r="N142" s="77"/>
      <c r="O142" s="77"/>
      <c r="P142" s="77"/>
      <c r="Q142" s="77"/>
      <c r="R142" s="77"/>
    </row>
    <row r="143" spans="1:33" ht="12" customHeight="1">
      <c r="A143" s="66" t="s">
        <v>4488</v>
      </c>
      <c r="B143" s="311" t="s">
        <v>4721</v>
      </c>
      <c r="C143" s="66"/>
      <c r="D143" s="77"/>
      <c r="E143" s="77"/>
      <c r="F143" s="77"/>
      <c r="G143" s="77"/>
      <c r="H143" s="77"/>
      <c r="I143" s="77"/>
      <c r="J143" s="77"/>
      <c r="K143" s="83"/>
      <c r="L143" s="83"/>
      <c r="M143" s="83"/>
      <c r="N143" s="77"/>
      <c r="O143" s="77"/>
      <c r="P143" s="77"/>
      <c r="Q143" s="77"/>
      <c r="R143" s="77"/>
    </row>
    <row r="144" spans="1:33" ht="12" customHeight="1">
      <c r="A144" s="66" t="s">
        <v>4492</v>
      </c>
      <c r="B144" s="311" t="s">
        <v>4722</v>
      </c>
      <c r="C144" s="66"/>
      <c r="D144" s="77"/>
      <c r="E144" s="77"/>
      <c r="F144" s="77"/>
      <c r="G144" s="77"/>
      <c r="H144" s="77"/>
      <c r="I144" s="77"/>
      <c r="J144" s="77"/>
      <c r="K144" s="83"/>
      <c r="L144" s="83"/>
      <c r="M144" s="83"/>
      <c r="N144" s="77"/>
      <c r="O144" s="77"/>
      <c r="P144" s="77"/>
      <c r="Q144" s="77"/>
      <c r="R144" s="77"/>
    </row>
    <row r="145" spans="1:18" ht="12" customHeight="1">
      <c r="A145" s="66" t="s">
        <v>4496</v>
      </c>
      <c r="B145" s="311" t="s">
        <v>4723</v>
      </c>
      <c r="C145" s="66"/>
      <c r="D145" s="77"/>
      <c r="E145" s="77"/>
      <c r="F145" s="77"/>
      <c r="G145" s="77"/>
      <c r="H145" s="77"/>
      <c r="I145" s="77"/>
      <c r="J145" s="77"/>
      <c r="K145" s="83"/>
      <c r="L145" s="83"/>
      <c r="M145" s="83"/>
      <c r="N145" s="77"/>
      <c r="O145" s="77"/>
      <c r="P145" s="77"/>
      <c r="R145" s="77"/>
    </row>
    <row r="146" spans="1:18" ht="12" customHeight="1">
      <c r="A146" s="66" t="s">
        <v>4501</v>
      </c>
      <c r="B146" s="311" t="s">
        <v>4724</v>
      </c>
      <c r="C146" s="66"/>
      <c r="D146" s="77"/>
      <c r="E146" s="77"/>
      <c r="F146" s="77"/>
      <c r="G146" s="77"/>
      <c r="H146" s="77"/>
      <c r="I146" s="77"/>
      <c r="J146" s="77"/>
      <c r="K146" s="83"/>
      <c r="L146" s="83"/>
      <c r="M146" s="83"/>
      <c r="N146" s="77"/>
      <c r="O146" s="77"/>
      <c r="P146" s="77"/>
      <c r="R146" s="77"/>
    </row>
    <row r="147" spans="1:18" ht="12" customHeight="1">
      <c r="A147" s="66" t="s">
        <v>4505</v>
      </c>
      <c r="B147" s="311" t="s">
        <v>4725</v>
      </c>
      <c r="C147" s="66"/>
      <c r="D147" s="77"/>
      <c r="E147" s="77"/>
      <c r="F147" s="77"/>
      <c r="G147" s="77"/>
      <c r="H147" s="77"/>
      <c r="I147" s="77"/>
      <c r="J147" s="77"/>
      <c r="K147" s="83"/>
      <c r="L147" s="83"/>
      <c r="M147" s="83"/>
      <c r="N147" s="77"/>
      <c r="O147" s="77"/>
      <c r="P147" s="77"/>
      <c r="R147" s="77"/>
    </row>
    <row r="148" spans="1:18" ht="12" customHeight="1">
      <c r="A148" s="66" t="s">
        <v>4509</v>
      </c>
      <c r="B148" s="311" t="s">
        <v>4726</v>
      </c>
      <c r="C148" s="66"/>
      <c r="D148" s="77"/>
      <c r="E148" s="77"/>
      <c r="F148" s="77"/>
      <c r="G148" s="77"/>
      <c r="H148" s="77"/>
      <c r="I148" s="77"/>
      <c r="J148" s="77"/>
      <c r="K148" s="83"/>
      <c r="L148" s="83"/>
      <c r="M148" s="83"/>
      <c r="N148" s="77"/>
      <c r="O148" s="77"/>
      <c r="P148" s="77"/>
      <c r="R148" s="77"/>
    </row>
    <row r="149" spans="1:18" ht="12" customHeight="1">
      <c r="A149" s="66" t="s">
        <v>4513</v>
      </c>
      <c r="B149" s="311" t="s">
        <v>4727</v>
      </c>
      <c r="C149" s="66"/>
      <c r="D149" s="77"/>
      <c r="E149" s="77"/>
      <c r="F149" s="77"/>
      <c r="G149" s="77"/>
      <c r="H149" s="77"/>
      <c r="I149" s="77"/>
      <c r="J149" s="77"/>
      <c r="K149" s="83"/>
      <c r="L149" s="83"/>
      <c r="M149" s="83"/>
      <c r="N149" s="77"/>
      <c r="O149" s="77"/>
      <c r="P149" s="77"/>
      <c r="R149" s="77"/>
    </row>
    <row r="150" spans="1:18" ht="12" customHeight="1">
      <c r="A150" s="66" t="s">
        <v>4516</v>
      </c>
      <c r="B150" s="311" t="s">
        <v>4728</v>
      </c>
      <c r="C150" s="66"/>
      <c r="D150" s="77"/>
      <c r="E150" s="77"/>
      <c r="F150" s="77"/>
      <c r="G150" s="77"/>
      <c r="H150" s="77"/>
      <c r="I150" s="77"/>
      <c r="J150" s="77"/>
      <c r="K150" s="83"/>
      <c r="L150" s="83"/>
      <c r="M150" s="83"/>
      <c r="N150" s="77"/>
      <c r="O150" s="77"/>
      <c r="P150" s="77"/>
      <c r="R150" s="77"/>
    </row>
    <row r="151" spans="1:18" ht="12" customHeight="1">
      <c r="A151" s="66" t="s">
        <v>4519</v>
      </c>
      <c r="B151" s="311" t="s">
        <v>4729</v>
      </c>
      <c r="C151" s="66"/>
      <c r="D151" s="77"/>
      <c r="E151" s="77"/>
      <c r="F151" s="77"/>
      <c r="G151" s="77"/>
      <c r="H151" s="77"/>
      <c r="I151" s="77"/>
      <c r="J151" s="77"/>
      <c r="K151" s="83"/>
      <c r="L151" s="83"/>
      <c r="M151" s="83"/>
      <c r="N151" s="77"/>
      <c r="O151" s="77"/>
      <c r="P151" s="77"/>
      <c r="R151" s="77"/>
    </row>
    <row r="152" spans="1:18" ht="12" customHeight="1">
      <c r="A152" s="66" t="s">
        <v>4522</v>
      </c>
      <c r="B152" s="311" t="s">
        <v>4730</v>
      </c>
      <c r="C152" s="66"/>
      <c r="D152" s="77"/>
      <c r="E152" s="77"/>
      <c r="F152" s="77"/>
      <c r="G152" s="77"/>
      <c r="H152" s="77"/>
      <c r="I152" s="77"/>
      <c r="J152" s="77"/>
      <c r="K152" s="83"/>
      <c r="L152" s="83"/>
      <c r="M152" s="83"/>
      <c r="N152" s="77"/>
      <c r="O152" s="77"/>
      <c r="P152" s="77"/>
      <c r="R152" s="77"/>
    </row>
    <row r="153" spans="1:18" ht="12" customHeight="1">
      <c r="A153" s="66" t="s">
        <v>4526</v>
      </c>
      <c r="B153" s="311" t="s">
        <v>4731</v>
      </c>
      <c r="C153" s="66"/>
      <c r="D153" s="77"/>
      <c r="E153" s="77"/>
      <c r="F153" s="77"/>
      <c r="G153" s="77"/>
      <c r="H153" s="77"/>
      <c r="I153" s="77"/>
      <c r="J153" s="77"/>
      <c r="K153" s="83"/>
      <c r="L153" s="83"/>
      <c r="M153" s="83"/>
      <c r="N153" s="77"/>
      <c r="O153" s="77"/>
      <c r="P153" s="77"/>
      <c r="R153" s="77"/>
    </row>
    <row r="154" spans="1:18" ht="12" customHeight="1">
      <c r="A154" s="66" t="s">
        <v>4529</v>
      </c>
      <c r="B154" s="311" t="s">
        <v>4732</v>
      </c>
      <c r="C154" s="66"/>
      <c r="D154" s="77"/>
      <c r="E154" s="77"/>
      <c r="F154" s="77"/>
      <c r="G154" s="77"/>
      <c r="H154" s="77"/>
      <c r="I154" s="77"/>
      <c r="J154" s="77"/>
      <c r="K154" s="83"/>
      <c r="L154" s="83"/>
      <c r="M154" s="83"/>
      <c r="N154" s="77"/>
      <c r="O154" s="77"/>
      <c r="P154" s="77"/>
      <c r="R154" s="77"/>
    </row>
    <row r="155" spans="1:18" ht="12" customHeight="1">
      <c r="A155" s="66" t="s">
        <v>4532</v>
      </c>
      <c r="B155" s="311" t="s">
        <v>4733</v>
      </c>
      <c r="C155" s="66"/>
      <c r="D155" s="77"/>
      <c r="E155" s="77"/>
      <c r="F155" s="77"/>
      <c r="G155" s="77"/>
      <c r="H155" s="77"/>
      <c r="I155" s="77"/>
      <c r="J155" s="77"/>
      <c r="K155" s="83"/>
      <c r="L155" s="83"/>
      <c r="M155" s="83"/>
      <c r="N155" s="77"/>
      <c r="O155" s="77"/>
      <c r="P155" s="77"/>
      <c r="R155" s="77"/>
    </row>
    <row r="156" spans="1:18" ht="12" customHeight="1">
      <c r="A156" s="66" t="s">
        <v>4535</v>
      </c>
      <c r="B156" s="311" t="s">
        <v>4734</v>
      </c>
      <c r="C156" s="66"/>
      <c r="D156" s="77"/>
      <c r="E156" s="77"/>
      <c r="F156" s="77"/>
      <c r="G156" s="77"/>
      <c r="H156" s="77"/>
      <c r="I156" s="77"/>
      <c r="J156" s="77"/>
      <c r="K156" s="83"/>
      <c r="L156" s="83"/>
      <c r="M156" s="83"/>
      <c r="N156" s="77"/>
      <c r="O156" s="77"/>
      <c r="P156" s="77"/>
      <c r="R156" s="77"/>
    </row>
    <row r="157" spans="1:18" ht="12" customHeight="1">
      <c r="A157" s="66" t="s">
        <v>4539</v>
      </c>
      <c r="B157" s="311" t="s">
        <v>4735</v>
      </c>
      <c r="C157" s="66"/>
      <c r="D157" s="77"/>
      <c r="E157" s="77"/>
      <c r="F157" s="77"/>
      <c r="G157" s="77"/>
      <c r="H157" s="77"/>
      <c r="I157" s="77"/>
      <c r="J157" s="77"/>
      <c r="K157" s="83"/>
      <c r="L157" s="83"/>
      <c r="M157" s="83"/>
      <c r="N157" s="77"/>
      <c r="O157" s="77"/>
      <c r="P157" s="77"/>
      <c r="R157" s="77"/>
    </row>
    <row r="158" spans="1:18" ht="12" customHeight="1">
      <c r="A158" s="66" t="s">
        <v>4542</v>
      </c>
      <c r="B158" s="311" t="s">
        <v>4736</v>
      </c>
      <c r="C158" s="66"/>
      <c r="D158" s="77"/>
      <c r="E158" s="77"/>
      <c r="F158" s="77"/>
      <c r="G158" s="77"/>
      <c r="H158" s="77"/>
      <c r="I158" s="77"/>
      <c r="J158" s="77"/>
      <c r="K158" s="83"/>
      <c r="L158" s="83"/>
      <c r="M158" s="83"/>
      <c r="N158" s="77"/>
      <c r="O158" s="77"/>
      <c r="P158" s="77"/>
      <c r="R158" s="77"/>
    </row>
    <row r="159" spans="1:18" ht="12" customHeight="1">
      <c r="A159" s="66" t="s">
        <v>4546</v>
      </c>
      <c r="B159" s="311" t="s">
        <v>4737</v>
      </c>
      <c r="C159" s="66"/>
      <c r="D159" s="77"/>
      <c r="E159" s="77"/>
      <c r="F159" s="77"/>
      <c r="G159" s="77"/>
      <c r="H159" s="77"/>
      <c r="I159" s="77"/>
      <c r="J159" s="77"/>
      <c r="K159" s="83"/>
      <c r="L159" s="83"/>
      <c r="M159" s="83"/>
      <c r="N159" s="77"/>
      <c r="O159" s="77"/>
      <c r="P159" s="77"/>
      <c r="R159" s="77"/>
    </row>
    <row r="160" spans="1:18" ht="12" customHeight="1">
      <c r="A160" s="66" t="s">
        <v>4549</v>
      </c>
      <c r="B160" s="311" t="s">
        <v>4738</v>
      </c>
      <c r="C160" s="66"/>
      <c r="D160" s="77"/>
      <c r="E160" s="77"/>
      <c r="F160" s="77"/>
      <c r="G160" s="77"/>
      <c r="H160" s="77"/>
      <c r="I160" s="77"/>
      <c r="J160" s="77"/>
      <c r="K160" s="83"/>
      <c r="L160" s="83"/>
      <c r="M160" s="83"/>
      <c r="N160" s="77"/>
      <c r="O160" s="77"/>
      <c r="P160" s="77"/>
      <c r="R160" s="77"/>
    </row>
    <row r="161" spans="1:18" ht="12" customHeight="1">
      <c r="A161" s="66" t="s">
        <v>4552</v>
      </c>
      <c r="B161" s="311" t="s">
        <v>4739</v>
      </c>
      <c r="C161" s="66"/>
      <c r="D161" s="77"/>
      <c r="E161" s="77"/>
      <c r="F161" s="77"/>
      <c r="G161" s="77"/>
      <c r="H161" s="77"/>
      <c r="I161" s="77"/>
      <c r="J161" s="77"/>
      <c r="K161" s="83"/>
      <c r="L161" s="83"/>
      <c r="M161" s="83"/>
      <c r="N161" s="77"/>
      <c r="O161" s="77"/>
      <c r="P161" s="77"/>
      <c r="R161" s="77"/>
    </row>
    <row r="162" spans="1:18" ht="12" customHeight="1">
      <c r="A162" s="66" t="s">
        <v>4555</v>
      </c>
      <c r="B162" s="311" t="s">
        <v>4740</v>
      </c>
      <c r="C162" s="66"/>
      <c r="D162" s="77"/>
      <c r="E162" s="77"/>
      <c r="F162" s="77"/>
      <c r="G162" s="77"/>
      <c r="H162" s="77"/>
      <c r="I162" s="77"/>
      <c r="J162" s="77"/>
      <c r="K162" s="83"/>
      <c r="L162" s="83"/>
      <c r="M162" s="83"/>
      <c r="N162" s="77"/>
      <c r="O162" s="77"/>
      <c r="P162" s="77"/>
      <c r="R162" s="77"/>
    </row>
    <row r="163" spans="1:18" ht="12" customHeight="1">
      <c r="A163" s="66" t="s">
        <v>4558</v>
      </c>
      <c r="B163" s="311" t="s">
        <v>4741</v>
      </c>
      <c r="C163" s="66"/>
      <c r="D163" s="77"/>
      <c r="E163" s="77"/>
      <c r="F163" s="77"/>
      <c r="G163" s="77"/>
      <c r="H163" s="77"/>
      <c r="I163" s="77"/>
      <c r="J163" s="77"/>
      <c r="K163" s="83"/>
      <c r="L163" s="83"/>
      <c r="M163" s="83"/>
      <c r="N163" s="77"/>
      <c r="O163" s="77"/>
      <c r="P163" s="77"/>
      <c r="R163" s="77"/>
    </row>
    <row r="164" spans="1:18" ht="12" customHeight="1">
      <c r="A164" s="66" t="s">
        <v>4561</v>
      </c>
      <c r="B164" s="311" t="s">
        <v>4742</v>
      </c>
      <c r="C164" s="66"/>
      <c r="D164" s="77"/>
      <c r="E164" s="77"/>
      <c r="F164" s="77"/>
      <c r="G164" s="77"/>
      <c r="H164" s="77"/>
      <c r="I164" s="77"/>
      <c r="J164" s="77"/>
      <c r="L164" s="83"/>
      <c r="M164" s="83"/>
      <c r="N164" s="77"/>
      <c r="O164" s="77"/>
      <c r="P164" s="77"/>
      <c r="R164" s="77"/>
    </row>
    <row r="165" spans="1:18" ht="12" customHeight="1">
      <c r="A165" s="66" t="s">
        <v>4564</v>
      </c>
      <c r="B165" s="311" t="s">
        <v>4743</v>
      </c>
      <c r="C165" s="66"/>
      <c r="D165" s="77"/>
      <c r="E165" s="77"/>
      <c r="F165" s="77"/>
      <c r="G165" s="77"/>
      <c r="H165" s="77"/>
      <c r="I165" s="77"/>
      <c r="J165" s="77"/>
      <c r="L165" s="83"/>
      <c r="M165" s="83"/>
      <c r="N165" s="77"/>
      <c r="O165" s="77"/>
      <c r="P165" s="77"/>
      <c r="R165" s="77"/>
    </row>
    <row r="166" spans="1:18" ht="12" customHeight="1">
      <c r="A166" s="66" t="s">
        <v>4567</v>
      </c>
      <c r="B166" s="311" t="s">
        <v>4744</v>
      </c>
      <c r="C166" s="66"/>
      <c r="D166" s="77"/>
      <c r="E166" s="77"/>
      <c r="F166" s="77"/>
      <c r="G166" s="77"/>
      <c r="H166" s="77"/>
      <c r="I166" s="77"/>
      <c r="J166" s="77"/>
      <c r="L166" s="83"/>
      <c r="M166" s="83"/>
      <c r="N166" s="77"/>
      <c r="O166" s="77"/>
      <c r="P166" s="77"/>
      <c r="R166" s="77"/>
    </row>
    <row r="167" spans="1:18" ht="12" customHeight="1">
      <c r="A167" s="66" t="s">
        <v>4570</v>
      </c>
      <c r="B167" s="311" t="s">
        <v>4745</v>
      </c>
      <c r="C167" s="66"/>
      <c r="D167" s="77"/>
      <c r="E167" s="77"/>
      <c r="F167" s="77"/>
      <c r="G167" s="77"/>
      <c r="H167" s="77"/>
      <c r="I167" s="77"/>
      <c r="J167" s="77"/>
      <c r="L167" s="83"/>
      <c r="M167" s="83"/>
      <c r="N167" s="77"/>
      <c r="O167" s="77"/>
      <c r="P167" s="77"/>
      <c r="R167" s="77"/>
    </row>
    <row r="168" spans="1:18" ht="12" customHeight="1">
      <c r="A168" s="66" t="s">
        <v>4573</v>
      </c>
      <c r="B168" s="311" t="s">
        <v>4746</v>
      </c>
      <c r="C168" s="66"/>
      <c r="D168" s="77"/>
      <c r="E168" s="77"/>
      <c r="F168" s="77"/>
      <c r="G168" s="77"/>
      <c r="H168" s="77"/>
      <c r="I168" s="77"/>
      <c r="J168" s="77"/>
      <c r="L168" s="83"/>
      <c r="M168" s="83"/>
      <c r="N168" s="77"/>
      <c r="O168" s="77"/>
      <c r="P168" s="77"/>
      <c r="R168" s="77"/>
    </row>
    <row r="169" spans="1:18" ht="12" customHeight="1">
      <c r="A169" s="66" t="s">
        <v>4576</v>
      </c>
      <c r="B169" s="311" t="s">
        <v>4747</v>
      </c>
      <c r="C169" s="66"/>
      <c r="D169" s="77"/>
      <c r="E169" s="77"/>
      <c r="F169" s="77"/>
      <c r="H169" s="77"/>
      <c r="I169" s="77"/>
      <c r="J169" s="77"/>
      <c r="L169" s="83"/>
      <c r="M169" s="83"/>
      <c r="N169" s="77"/>
      <c r="O169" s="77"/>
      <c r="P169" s="77"/>
      <c r="R169" s="77"/>
    </row>
    <row r="170" spans="1:18" ht="12" customHeight="1">
      <c r="A170" s="66" t="s">
        <v>4579</v>
      </c>
      <c r="B170" s="311" t="s">
        <v>4748</v>
      </c>
      <c r="C170" s="66"/>
      <c r="D170" s="77"/>
      <c r="E170" s="77"/>
      <c r="F170" s="77"/>
      <c r="H170" s="77"/>
      <c r="I170" s="77"/>
      <c r="J170" s="77"/>
      <c r="L170" s="83"/>
      <c r="M170" s="83"/>
      <c r="N170" s="77"/>
      <c r="O170" s="77"/>
      <c r="P170" s="77"/>
      <c r="R170" s="77"/>
    </row>
    <row r="171" spans="1:18" ht="12" customHeight="1">
      <c r="A171" s="66" t="s">
        <v>4582</v>
      </c>
      <c r="B171" s="311" t="s">
        <v>4749</v>
      </c>
      <c r="C171" s="66"/>
      <c r="D171" s="77"/>
      <c r="E171" s="77"/>
      <c r="F171" s="77"/>
      <c r="H171" s="77"/>
      <c r="I171" s="77"/>
      <c r="J171" s="77"/>
      <c r="L171" s="83"/>
      <c r="M171" s="83"/>
      <c r="N171" s="77"/>
      <c r="O171" s="77"/>
      <c r="P171" s="77"/>
      <c r="R171" s="77"/>
    </row>
    <row r="172" spans="1:18" ht="12" customHeight="1">
      <c r="A172" s="66" t="s">
        <v>4584</v>
      </c>
      <c r="B172" s="311" t="s">
        <v>4750</v>
      </c>
      <c r="C172" s="66"/>
      <c r="D172" s="77"/>
      <c r="E172" s="77"/>
      <c r="F172" s="77"/>
      <c r="H172" s="77"/>
      <c r="I172" s="77"/>
      <c r="J172" s="77"/>
      <c r="L172" s="83"/>
      <c r="M172" s="83"/>
      <c r="N172" s="77"/>
      <c r="O172" s="77"/>
      <c r="P172" s="77"/>
      <c r="R172" s="77"/>
    </row>
    <row r="173" spans="1:18" ht="12" customHeight="1">
      <c r="A173" s="66" t="s">
        <v>4586</v>
      </c>
      <c r="B173" s="311" t="s">
        <v>4751</v>
      </c>
      <c r="C173" s="66"/>
      <c r="D173" s="77"/>
      <c r="E173" s="77"/>
      <c r="F173" s="77"/>
      <c r="H173" s="77"/>
      <c r="I173" s="77"/>
      <c r="J173" s="77"/>
      <c r="L173" s="83"/>
      <c r="M173" s="83"/>
      <c r="N173" s="77"/>
      <c r="O173" s="77"/>
      <c r="P173" s="77"/>
      <c r="R173" s="77"/>
    </row>
    <row r="174" spans="1:18" ht="12" customHeight="1">
      <c r="A174" s="66" t="s">
        <v>4589</v>
      </c>
      <c r="B174" s="311" t="s">
        <v>4752</v>
      </c>
      <c r="C174" s="66"/>
      <c r="D174" s="77"/>
      <c r="E174" s="77"/>
      <c r="F174" s="77"/>
      <c r="H174" s="77"/>
      <c r="I174" s="77"/>
      <c r="J174" s="77"/>
      <c r="L174" s="83"/>
      <c r="M174" s="83"/>
      <c r="N174" s="77"/>
      <c r="O174" s="77"/>
      <c r="P174" s="77"/>
      <c r="R174" s="77"/>
    </row>
    <row r="175" spans="1:18" ht="12" customHeight="1">
      <c r="A175" s="66" t="s">
        <v>4592</v>
      </c>
      <c r="B175" s="311" t="s">
        <v>4753</v>
      </c>
      <c r="C175" s="66"/>
      <c r="D175" s="77"/>
      <c r="E175" s="77"/>
      <c r="F175" s="77"/>
      <c r="H175" s="77"/>
      <c r="I175" s="77"/>
      <c r="J175" s="77"/>
      <c r="L175" s="83"/>
      <c r="M175" s="83"/>
      <c r="N175" s="77"/>
      <c r="O175" s="77"/>
      <c r="P175" s="77"/>
      <c r="R175" s="77"/>
    </row>
    <row r="176" spans="1:18" ht="12" customHeight="1">
      <c r="A176" s="66" t="s">
        <v>4595</v>
      </c>
      <c r="B176" s="311" t="s">
        <v>4754</v>
      </c>
      <c r="C176" s="66"/>
    </row>
    <row r="177" spans="1:3" ht="12" customHeight="1">
      <c r="A177" s="66" t="s">
        <v>4598</v>
      </c>
      <c r="B177" s="311" t="s">
        <v>4755</v>
      </c>
      <c r="C177" s="66"/>
    </row>
    <row r="178" spans="1:3" ht="12" customHeight="1">
      <c r="A178" s="66" t="s">
        <v>4600</v>
      </c>
      <c r="B178" s="311" t="s">
        <v>4756</v>
      </c>
      <c r="C178" s="66"/>
    </row>
    <row r="179" spans="1:3" ht="12" customHeight="1">
      <c r="A179" s="66" t="s">
        <v>4603</v>
      </c>
      <c r="B179" s="311" t="s">
        <v>4757</v>
      </c>
      <c r="C179" s="66"/>
    </row>
    <row r="180" spans="1:3" ht="12" customHeight="1">
      <c r="A180" s="66" t="s">
        <v>4607</v>
      </c>
      <c r="B180" s="311" t="s">
        <v>4758</v>
      </c>
      <c r="C180" s="66"/>
    </row>
    <row r="181" spans="1:3" ht="12" customHeight="1">
      <c r="A181" s="66" t="s">
        <v>4611</v>
      </c>
      <c r="B181" s="311" t="s">
        <v>4759</v>
      </c>
      <c r="C181" s="66"/>
    </row>
    <row r="182" spans="1:3" ht="12" customHeight="1">
      <c r="A182" s="66" t="s">
        <v>4614</v>
      </c>
      <c r="B182" s="311" t="s">
        <v>4760</v>
      </c>
      <c r="C182" s="66"/>
    </row>
    <row r="183" spans="1:3" ht="12" customHeight="1">
      <c r="A183" s="66" t="s">
        <v>4617</v>
      </c>
      <c r="B183" s="311" t="s">
        <v>4761</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5D08-C7B6-4198-AFF8-40E847956C88}">
  <sheetPr>
    <tabColor rgb="FFFFCC99"/>
  </sheetPr>
  <dimension ref="A1:A5"/>
  <sheetViews>
    <sheetView workbookViewId="0"/>
  </sheetViews>
  <sheetFormatPr defaultColWidth="8.85546875" defaultRowHeight="15" customHeight="1"/>
  <sheetData>
    <row r="1" spans="1:1" ht="15" customHeight="1">
      <c r="A1" t="s">
        <v>4762</v>
      </c>
    </row>
    <row r="2" spans="1:1" ht="15" customHeight="1">
      <c r="A2" t="s">
        <v>4763</v>
      </c>
    </row>
    <row r="3" spans="1:1" ht="15" customHeight="1">
      <c r="A3" t="s">
        <v>4764</v>
      </c>
    </row>
    <row r="4" spans="1:1" ht="15" customHeight="1">
      <c r="A4" t="s">
        <v>4765</v>
      </c>
    </row>
    <row r="5" spans="1:1" ht="15" customHeight="1">
      <c r="A5" t="s">
        <v>4766</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044C-A788-063E-266E-FB1437AAB1B5}">
  <sheetPr>
    <tabColor rgb="FFFFCC99"/>
  </sheetPr>
  <dimension ref="A1:A4"/>
  <sheetViews>
    <sheetView workbookViewId="0"/>
  </sheetViews>
  <sheetFormatPr defaultColWidth="8.85546875" defaultRowHeight="15" customHeight="1"/>
  <sheetData>
    <row r="1" spans="1:1" ht="15" customHeight="1">
      <c r="A1" t="s">
        <v>4767</v>
      </c>
    </row>
    <row r="2" spans="1:1" ht="15" customHeight="1">
      <c r="A2" t="s">
        <v>353</v>
      </c>
    </row>
    <row r="3" spans="1:1" ht="15" customHeight="1">
      <c r="A3" t="s">
        <v>284</v>
      </c>
    </row>
    <row r="4" spans="1:1" ht="15" customHeight="1">
      <c r="A4" t="s">
        <v>4768</v>
      </c>
    </row>
  </sheetData>
  <sheetProtection insertRows="0" deleteColumns="0" deleteRows="0" sort="0" autoFilter="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1158-1828-FE38-7968-34BB4B9A95A8}">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C5E2-2F29-DCD1-A018-3AA4032BCF34}">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2C38-3579-6718-5058-3456D6972B28}">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40F2-252C-A3F8-6138-15870A141808}">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44A8-7391-CA62-FC0B-3702BC95ADE8}">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89B88-769B-96B3-B3C8-57F60844AC3B}">
  <sheetPr>
    <tabColor theme="3" tint="0.59999389629810485"/>
    <pageSetUpPr fitToPage="1"/>
  </sheetPr>
  <dimension ref="A1:BA223"/>
  <sheetViews>
    <sheetView showGridLines="0" topLeftCell="AA53" zoomScale="110" workbookViewId="0">
      <selection activeCell="AE61" sqref="AE61"/>
    </sheetView>
  </sheetViews>
  <sheetFormatPr defaultColWidth="9.140625" defaultRowHeight="19.5" customHeight="1"/>
  <cols>
    <col min="1" max="1" width="13.7109375" style="25" hidden="1" customWidth="1"/>
    <col min="2" max="2" width="14.28515625" style="328" hidden="1" customWidth="1"/>
    <col min="3" max="4" width="3.5703125" style="25" hidden="1" customWidth="1"/>
    <col min="5" max="5" width="4.7109375" style="449"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74.28515625" style="59" customWidth="1"/>
    <col min="32" max="32" width="3" style="285" customWidth="1"/>
    <col min="33" max="33" width="29.85546875" style="25" hidden="1" customWidth="1"/>
    <col min="34" max="34" width="18.5703125" style="25" hidden="1" customWidth="1"/>
    <col min="35" max="53" width="12" style="25" hidden="1" customWidth="1"/>
  </cols>
  <sheetData>
    <row r="1" spans="1:53" ht="11.25" hidden="1" customHeight="1">
      <c r="E1" s="25"/>
      <c r="V1" s="25" t="s">
        <v>91</v>
      </c>
      <c r="W1" s="353" t="s">
        <v>92</v>
      </c>
      <c r="X1" s="352" t="s">
        <v>93</v>
      </c>
      <c r="Y1" s="352" t="s">
        <v>94</v>
      </c>
      <c r="Z1" s="377" t="s">
        <v>95</v>
      </c>
      <c r="AA1" s="377" t="s">
        <v>96</v>
      </c>
      <c r="AD1" s="376" t="s">
        <v>97</v>
      </c>
      <c r="AE1" s="376" t="s">
        <v>98</v>
      </c>
      <c r="AF1" s="353" t="s">
        <v>99</v>
      </c>
    </row>
    <row r="2" spans="1:53" s="328" customFormat="1" ht="11.25" hidden="1" customHeight="1">
      <c r="B2" s="340" t="s">
        <v>18</v>
      </c>
      <c r="W2" s="15"/>
      <c r="X2" s="15"/>
      <c r="Y2" s="15"/>
      <c r="Z2" s="409"/>
      <c r="AA2" s="15"/>
      <c r="AB2" s="46"/>
      <c r="AC2" s="46"/>
      <c r="AD2" s="46"/>
      <c r="AE2" s="46"/>
      <c r="AF2" s="355"/>
      <c r="AG2" s="15"/>
      <c r="AH2" s="15"/>
      <c r="AI2" s="15"/>
      <c r="AJ2" s="15"/>
      <c r="AK2" s="15"/>
      <c r="AL2" s="15"/>
      <c r="AM2" s="15"/>
      <c r="AN2" s="15"/>
      <c r="AO2" s="15"/>
      <c r="AP2" s="15"/>
      <c r="AQ2" s="15"/>
      <c r="AR2" s="15"/>
      <c r="AS2" s="15"/>
      <c r="AT2" s="15"/>
      <c r="AU2" s="15"/>
      <c r="AV2" s="15"/>
      <c r="AW2" s="15"/>
      <c r="AX2" s="15"/>
      <c r="AY2" s="15"/>
      <c r="AZ2" s="15"/>
      <c r="BA2" s="15"/>
    </row>
    <row r="3" spans="1:53" s="328" customFormat="1" ht="11.25" hidden="1" customHeight="1">
      <c r="B3" s="46"/>
      <c r="W3" s="15"/>
      <c r="X3" s="15"/>
      <c r="Y3" s="15"/>
      <c r="Z3" s="409"/>
      <c r="AA3" s="15"/>
      <c r="AB3" s="46"/>
      <c r="AC3" s="46"/>
      <c r="AD3" s="46"/>
      <c r="AE3" s="46"/>
      <c r="AF3" s="355"/>
      <c r="AG3" s="15"/>
      <c r="AH3" s="15"/>
      <c r="AI3" s="15"/>
      <c r="AJ3" s="15"/>
      <c r="AK3" s="15"/>
      <c r="AL3" s="15"/>
      <c r="AM3" s="15"/>
      <c r="AN3" s="15"/>
      <c r="AO3" s="15"/>
      <c r="AP3" s="15"/>
      <c r="AQ3" s="15"/>
      <c r="AR3" s="15"/>
      <c r="AS3" s="15"/>
      <c r="AT3" s="15"/>
      <c r="AU3" s="15"/>
      <c r="AV3" s="15"/>
      <c r="AW3" s="15"/>
      <c r="AX3" s="15"/>
      <c r="AY3" s="15"/>
      <c r="AZ3" s="15"/>
      <c r="BA3" s="15"/>
    </row>
    <row r="4" spans="1:53" s="328" customFormat="1" ht="11.25" hidden="1" customHeight="1">
      <c r="B4" s="46"/>
      <c r="W4" s="15"/>
      <c r="X4" s="15"/>
      <c r="Y4" s="15"/>
      <c r="Z4" s="409"/>
      <c r="AA4" s="15"/>
      <c r="AB4" s="46"/>
      <c r="AC4" s="46"/>
      <c r="AD4" s="46"/>
      <c r="AE4" s="46"/>
      <c r="AF4" s="355"/>
      <c r="AG4" s="15"/>
      <c r="AH4" s="15"/>
      <c r="AI4" s="15"/>
      <c r="AJ4" s="15"/>
      <c r="AK4" s="15"/>
      <c r="AL4" s="15"/>
      <c r="AM4" s="15"/>
      <c r="AN4" s="15"/>
      <c r="AO4" s="15"/>
      <c r="AP4" s="15"/>
      <c r="AQ4" s="15"/>
      <c r="AR4" s="15"/>
      <c r="AS4" s="15"/>
      <c r="AT4" s="15"/>
      <c r="AU4" s="15"/>
      <c r="AV4" s="15"/>
      <c r="AW4" s="15"/>
      <c r="AX4" s="15"/>
      <c r="AY4" s="15"/>
      <c r="AZ4" s="15"/>
      <c r="BA4" s="15"/>
    </row>
    <row r="5" spans="1:53" s="450" customFormat="1" ht="11.25" hidden="1" customHeight="1">
      <c r="A5" s="328"/>
      <c r="B5" s="46"/>
      <c r="C5" s="328"/>
      <c r="D5" s="328"/>
      <c r="E5" s="451" t="s">
        <v>19</v>
      </c>
      <c r="V5" s="328"/>
      <c r="W5" s="453"/>
      <c r="X5" s="453"/>
      <c r="Y5" s="453"/>
      <c r="Z5" s="454"/>
      <c r="AA5" s="453">
        <v>3.43</v>
      </c>
      <c r="AB5" s="453">
        <v>12</v>
      </c>
      <c r="AC5" s="453">
        <v>18</v>
      </c>
      <c r="AD5" s="453">
        <v>56.86</v>
      </c>
      <c r="AE5" s="453">
        <v>65</v>
      </c>
      <c r="AF5" s="453">
        <v>3</v>
      </c>
      <c r="AG5" s="453"/>
      <c r="AH5" s="453"/>
      <c r="AI5" s="453"/>
      <c r="AJ5" s="453"/>
      <c r="AK5" s="453"/>
      <c r="AL5" s="453"/>
      <c r="AM5" s="453"/>
      <c r="AN5" s="453"/>
      <c r="AO5" s="453"/>
      <c r="AP5" s="453"/>
      <c r="AQ5" s="453"/>
      <c r="AR5" s="453"/>
      <c r="AS5" s="453"/>
      <c r="AT5" s="453"/>
      <c r="AU5" s="453"/>
      <c r="AV5" s="453"/>
      <c r="AW5" s="453"/>
      <c r="AX5" s="453"/>
      <c r="AY5" s="453"/>
      <c r="AZ5" s="453"/>
      <c r="BA5" s="453"/>
    </row>
    <row r="6" spans="1:53" s="328" customFormat="1" ht="11.25" hidden="1" customHeight="1">
      <c r="B6" s="46"/>
      <c r="E6" s="450"/>
      <c r="W6" s="15"/>
      <c r="X6" s="15"/>
      <c r="Y6" s="15"/>
      <c r="Z6" s="409"/>
      <c r="AA6" s="15"/>
      <c r="AB6" s="46"/>
      <c r="AC6" s="46"/>
      <c r="AD6" s="46"/>
      <c r="AE6" s="46"/>
      <c r="AF6" s="355"/>
      <c r="AG6" s="15"/>
      <c r="AH6" s="15"/>
      <c r="AI6" s="15"/>
      <c r="AJ6" s="15"/>
      <c r="AK6" s="15"/>
      <c r="AL6" s="15"/>
      <c r="AM6" s="15"/>
      <c r="AN6" s="15"/>
      <c r="AO6" s="15"/>
      <c r="AP6" s="15"/>
      <c r="AQ6" s="15"/>
      <c r="AR6" s="15"/>
      <c r="AS6" s="15"/>
      <c r="AT6" s="15"/>
      <c r="AU6" s="15"/>
      <c r="AV6" s="15"/>
      <c r="AW6" s="15"/>
      <c r="AX6" s="15"/>
      <c r="AY6" s="15"/>
      <c r="AZ6" s="15"/>
      <c r="BA6" s="15"/>
    </row>
    <row r="7" spans="1:53" s="328" customFormat="1" ht="11.25" hidden="1" customHeight="1">
      <c r="B7" s="46"/>
      <c r="E7" s="450"/>
      <c r="W7" s="15"/>
      <c r="X7" s="15"/>
      <c r="Y7" s="15"/>
      <c r="Z7" s="409"/>
      <c r="AA7" s="15"/>
      <c r="AB7" s="46"/>
      <c r="AC7" s="46"/>
      <c r="AD7" s="46"/>
      <c r="AE7" s="46"/>
      <c r="AF7" s="355"/>
      <c r="AG7" s="15"/>
      <c r="AH7" s="15"/>
      <c r="AI7" s="15"/>
      <c r="AJ7" s="15"/>
      <c r="AK7" s="15"/>
      <c r="AL7" s="15"/>
      <c r="AM7" s="15"/>
      <c r="AN7" s="15"/>
      <c r="AO7" s="15"/>
      <c r="AP7" s="15"/>
      <c r="AQ7" s="15"/>
      <c r="AR7" s="15"/>
      <c r="AS7" s="15"/>
      <c r="AT7" s="15"/>
      <c r="AU7" s="15"/>
      <c r="AV7" s="15"/>
      <c r="AW7" s="15"/>
      <c r="AX7" s="15"/>
      <c r="AY7" s="15"/>
      <c r="AZ7" s="15"/>
      <c r="BA7" s="15"/>
    </row>
    <row r="8" spans="1:53" s="328" customFormat="1" ht="11.25" hidden="1" customHeight="1">
      <c r="B8" s="46"/>
      <c r="E8" s="450"/>
      <c r="W8" s="15"/>
      <c r="X8" s="15"/>
      <c r="Y8" s="15"/>
      <c r="Z8" s="409"/>
      <c r="AA8" s="15"/>
      <c r="AB8" s="46"/>
      <c r="AC8" s="46"/>
      <c r="AD8" s="46"/>
      <c r="AE8" s="46"/>
      <c r="AF8" s="355"/>
      <c r="AG8" s="15"/>
      <c r="AH8" s="15"/>
      <c r="AI8" s="15"/>
      <c r="AJ8" s="15"/>
      <c r="AK8" s="15"/>
      <c r="AL8" s="15"/>
      <c r="AM8" s="15"/>
      <c r="AN8" s="15"/>
      <c r="AO8" s="15"/>
      <c r="AP8" s="15"/>
      <c r="AQ8" s="15"/>
      <c r="AR8" s="15"/>
      <c r="AS8" s="15"/>
      <c r="AT8" s="15"/>
      <c r="AU8" s="15"/>
      <c r="AV8" s="15"/>
      <c r="AW8" s="15"/>
      <c r="AX8" s="15"/>
      <c r="AY8" s="15"/>
      <c r="AZ8" s="15"/>
      <c r="BA8" s="15"/>
    </row>
    <row r="9" spans="1:53" s="328" customFormat="1" ht="11.25" hidden="1" customHeight="1">
      <c r="B9" s="46"/>
      <c r="E9" s="450"/>
      <c r="W9" s="15"/>
      <c r="X9" s="15"/>
      <c r="Y9" s="15"/>
      <c r="Z9" s="409"/>
      <c r="AA9" s="15"/>
      <c r="AB9" s="46"/>
      <c r="AC9" s="46"/>
      <c r="AD9" s="46"/>
      <c r="AE9" s="46"/>
      <c r="AF9" s="355"/>
      <c r="AG9" s="15"/>
      <c r="AH9" s="15"/>
      <c r="AI9" s="15"/>
      <c r="AJ9" s="15"/>
      <c r="AK9" s="15"/>
      <c r="AL9" s="15"/>
      <c r="AM9" s="15"/>
      <c r="AN9" s="15"/>
      <c r="AO9" s="15"/>
      <c r="AP9" s="15"/>
      <c r="AQ9" s="15"/>
      <c r="AR9" s="15"/>
      <c r="AS9" s="15"/>
      <c r="AT9" s="15"/>
      <c r="AU9" s="15"/>
      <c r="AV9" s="15"/>
      <c r="AW9" s="15"/>
      <c r="AX9" s="15"/>
      <c r="AY9" s="15"/>
      <c r="AZ9" s="15"/>
      <c r="BA9" s="15"/>
    </row>
    <row r="10" spans="1:53" s="328" customFormat="1" ht="11.25" hidden="1" customHeight="1">
      <c r="B10" s="46"/>
      <c r="E10" s="450"/>
      <c r="W10" s="15"/>
      <c r="X10" s="15"/>
      <c r="Y10" s="15"/>
      <c r="Z10" s="409"/>
      <c r="AA10" s="15"/>
      <c r="AB10" s="46"/>
      <c r="AC10" s="46"/>
      <c r="AD10" s="46"/>
      <c r="AE10" s="46"/>
      <c r="AF10" s="355"/>
      <c r="AG10" s="15"/>
      <c r="AH10" s="15"/>
      <c r="AI10" s="15"/>
      <c r="AJ10" s="15"/>
      <c r="AK10" s="15"/>
      <c r="AL10" s="15"/>
      <c r="AM10" s="15"/>
      <c r="AN10" s="15"/>
      <c r="AO10" s="15"/>
      <c r="AP10" s="15"/>
      <c r="AQ10" s="15"/>
      <c r="AR10" s="15"/>
      <c r="AS10" s="15"/>
      <c r="AT10" s="15"/>
      <c r="AU10" s="15"/>
      <c r="AV10" s="15"/>
      <c r="AW10" s="15"/>
      <c r="AX10" s="15"/>
      <c r="AY10" s="15"/>
      <c r="AZ10" s="15"/>
      <c r="BA10" s="15"/>
    </row>
    <row r="11" spans="1:53" s="328" customFormat="1" ht="11.25" hidden="1" customHeight="1">
      <c r="B11" s="46"/>
      <c r="E11" s="450"/>
      <c r="W11" s="15"/>
      <c r="X11" s="15"/>
      <c r="Y11" s="15"/>
      <c r="Z11" s="409"/>
      <c r="AA11" s="15"/>
      <c r="AB11" s="46"/>
      <c r="AC11" s="46"/>
      <c r="AD11" s="46"/>
      <c r="AE11" s="46"/>
      <c r="AF11" s="355"/>
      <c r="AG11" s="15"/>
      <c r="AH11" s="15"/>
      <c r="AI11" s="15"/>
      <c r="AJ11" s="15"/>
      <c r="AK11" s="15"/>
      <c r="AL11" s="15"/>
      <c r="AM11" s="15"/>
      <c r="AN11" s="15"/>
      <c r="AO11" s="15"/>
      <c r="AP11" s="15"/>
      <c r="AQ11" s="15"/>
      <c r="AR11" s="15"/>
      <c r="AS11" s="15"/>
      <c r="AT11" s="15"/>
      <c r="AU11" s="15"/>
      <c r="AV11" s="15"/>
      <c r="AW11" s="15"/>
      <c r="AX11" s="15"/>
      <c r="AY11" s="15"/>
      <c r="AZ11" s="15"/>
      <c r="BA11" s="15"/>
    </row>
    <row r="12" spans="1:53" s="328" customFormat="1" ht="11.25" hidden="1" customHeight="1">
      <c r="B12" s="46"/>
      <c r="E12" s="450"/>
      <c r="W12" s="15"/>
      <c r="X12" s="15"/>
      <c r="Y12" s="15"/>
      <c r="Z12" s="409"/>
      <c r="AA12" s="15"/>
      <c r="AB12" s="46"/>
      <c r="AC12" s="46"/>
      <c r="AD12" s="46"/>
      <c r="AE12" s="46"/>
      <c r="AF12" s="355"/>
      <c r="AG12" s="15"/>
      <c r="AH12" s="15"/>
      <c r="AI12" s="15"/>
      <c r="AJ12" s="15"/>
      <c r="AK12" s="15"/>
      <c r="AL12" s="15"/>
      <c r="AM12" s="15"/>
      <c r="AN12" s="15"/>
      <c r="AO12" s="15"/>
      <c r="AP12" s="15"/>
      <c r="AQ12" s="15"/>
      <c r="AR12" s="15"/>
      <c r="AS12" s="15"/>
      <c r="AT12" s="15"/>
      <c r="AU12" s="15"/>
      <c r="AV12" s="15"/>
      <c r="AW12" s="15"/>
      <c r="AX12" s="15"/>
      <c r="AY12" s="15"/>
      <c r="AZ12" s="15"/>
      <c r="BA12" s="15"/>
    </row>
    <row r="13" spans="1:53" s="328" customFormat="1" ht="11.25" hidden="1" customHeight="1">
      <c r="B13" s="46"/>
      <c r="E13" s="450"/>
      <c r="W13" s="15"/>
      <c r="X13" s="15"/>
      <c r="Y13" s="15"/>
      <c r="Z13" s="409"/>
      <c r="AA13" s="15"/>
      <c r="AB13" s="46"/>
      <c r="AC13" s="46"/>
      <c r="AD13" s="46"/>
      <c r="AE13" s="46"/>
      <c r="AF13" s="355"/>
      <c r="AG13" s="15"/>
      <c r="AH13" s="15"/>
      <c r="AI13" s="15"/>
      <c r="AJ13" s="15"/>
      <c r="AK13" s="15"/>
      <c r="AL13" s="15"/>
      <c r="AM13" s="15"/>
      <c r="AN13" s="15"/>
      <c r="AO13" s="15"/>
      <c r="AP13" s="15"/>
      <c r="AQ13" s="15"/>
      <c r="AR13" s="15"/>
      <c r="AS13" s="15"/>
      <c r="AT13" s="15"/>
      <c r="AU13" s="15"/>
      <c r="AV13" s="15"/>
      <c r="AW13" s="15"/>
      <c r="AX13" s="15"/>
      <c r="AY13" s="15"/>
      <c r="AZ13" s="15"/>
      <c r="BA13" s="15"/>
    </row>
    <row r="14" spans="1:53" s="328" customFormat="1" ht="11.25" hidden="1" customHeight="1">
      <c r="B14" s="46"/>
      <c r="E14" s="450"/>
      <c r="W14" s="15"/>
      <c r="X14" s="15"/>
      <c r="Y14" s="15"/>
      <c r="Z14" s="409"/>
      <c r="AA14" s="15"/>
      <c r="AB14" s="46"/>
      <c r="AC14" s="46"/>
      <c r="AD14" s="46"/>
      <c r="AE14" s="46"/>
      <c r="AF14" s="355"/>
      <c r="AG14" s="15"/>
      <c r="AH14" s="15"/>
      <c r="AI14" s="15"/>
      <c r="AJ14" s="15"/>
      <c r="AK14" s="15"/>
      <c r="AL14" s="15"/>
      <c r="AM14" s="15"/>
      <c r="AN14" s="15"/>
      <c r="AO14" s="15"/>
      <c r="AP14" s="15"/>
      <c r="AQ14" s="15"/>
      <c r="AR14" s="15"/>
      <c r="AS14" s="15"/>
      <c r="AT14" s="15"/>
      <c r="AU14" s="15"/>
      <c r="AV14" s="15"/>
      <c r="AW14" s="15"/>
      <c r="AX14" s="15"/>
      <c r="AY14" s="15"/>
      <c r="AZ14" s="15"/>
      <c r="BA14" s="15"/>
    </row>
    <row r="15" spans="1:53" s="328" customFormat="1" ht="11.25" hidden="1" customHeight="1">
      <c r="B15" s="46"/>
      <c r="E15" s="450"/>
      <c r="W15" s="15"/>
      <c r="X15" s="15"/>
      <c r="Y15" s="15"/>
      <c r="Z15" s="409"/>
      <c r="AA15" s="15"/>
      <c r="AB15" s="46"/>
      <c r="AC15" s="46"/>
      <c r="AD15" s="46"/>
      <c r="AE15" s="46"/>
      <c r="AF15" s="355"/>
      <c r="AG15" s="15"/>
      <c r="AH15" s="15"/>
      <c r="AI15" s="15"/>
      <c r="AJ15" s="15"/>
      <c r="AK15" s="15"/>
      <c r="AL15" s="15"/>
      <c r="AM15" s="15"/>
      <c r="AN15" s="15"/>
      <c r="AO15" s="15"/>
      <c r="AP15" s="15"/>
      <c r="AQ15" s="15"/>
      <c r="AR15" s="15"/>
      <c r="AS15" s="15"/>
      <c r="AT15" s="15"/>
      <c r="AU15" s="15"/>
      <c r="AV15" s="15"/>
      <c r="AW15" s="15"/>
      <c r="AX15" s="15"/>
      <c r="AY15" s="15"/>
      <c r="AZ15" s="15"/>
      <c r="BA15" s="15"/>
    </row>
    <row r="16" spans="1:53" s="328" customFormat="1" ht="11.25" hidden="1" customHeight="1">
      <c r="B16" s="46"/>
      <c r="E16" s="450"/>
      <c r="W16" s="15"/>
      <c r="X16" s="15"/>
      <c r="Y16" s="15"/>
      <c r="Z16" s="409"/>
      <c r="AA16" s="15"/>
      <c r="AB16" s="46"/>
      <c r="AC16" s="46"/>
      <c r="AD16" s="46"/>
      <c r="AE16" s="46"/>
      <c r="AF16" s="355"/>
      <c r="AG16" s="15"/>
      <c r="AH16" s="15"/>
      <c r="AI16" s="15"/>
      <c r="AJ16" s="15"/>
      <c r="AK16" s="15"/>
      <c r="AL16" s="15"/>
      <c r="AM16" s="15"/>
      <c r="AN16" s="15"/>
      <c r="AO16" s="15"/>
      <c r="AP16" s="15"/>
      <c r="AQ16" s="15"/>
      <c r="AR16" s="15"/>
      <c r="AS16" s="15"/>
      <c r="AT16" s="15"/>
      <c r="AU16" s="15"/>
      <c r="AV16" s="15"/>
      <c r="AW16" s="15"/>
      <c r="AX16" s="15"/>
      <c r="AY16" s="15"/>
      <c r="AZ16" s="15"/>
      <c r="BA16" s="15"/>
    </row>
    <row r="17" spans="2:53" s="328" customFormat="1" ht="11.25" hidden="1" customHeight="1">
      <c r="B17" s="46"/>
      <c r="E17" s="450"/>
      <c r="W17" s="15"/>
      <c r="X17" s="15"/>
      <c r="Y17" s="15"/>
      <c r="Z17" s="409"/>
      <c r="AA17" s="15"/>
      <c r="AB17" s="46"/>
      <c r="AC17" s="46"/>
      <c r="AD17" s="46"/>
      <c r="AE17" s="46"/>
      <c r="AF17" s="355"/>
      <c r="AG17" s="15"/>
      <c r="AH17" s="15"/>
      <c r="AI17" s="15"/>
      <c r="AJ17" s="15"/>
      <c r="AK17" s="15"/>
      <c r="AL17" s="15"/>
      <c r="AM17" s="15"/>
      <c r="AN17" s="15"/>
      <c r="AO17" s="15"/>
      <c r="AP17" s="15"/>
      <c r="AQ17" s="15"/>
      <c r="AR17" s="15"/>
      <c r="AS17" s="15"/>
      <c r="AT17" s="15"/>
      <c r="AU17" s="15"/>
      <c r="AV17" s="15"/>
      <c r="AW17" s="15"/>
      <c r="AX17" s="15"/>
      <c r="AY17" s="15"/>
      <c r="AZ17" s="15"/>
      <c r="BA17" s="15"/>
    </row>
    <row r="18" spans="2:53" s="328" customFormat="1" ht="11.25" hidden="1" customHeight="1">
      <c r="B18" s="46"/>
      <c r="E18" s="450"/>
      <c r="W18" s="15"/>
      <c r="X18" s="15"/>
      <c r="Y18" s="15"/>
      <c r="Z18" s="409"/>
      <c r="AA18" s="15"/>
      <c r="AB18" s="46"/>
      <c r="AC18" s="46"/>
      <c r="AD18" s="46"/>
      <c r="AE18" s="46"/>
      <c r="AF18" s="355"/>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464">
        <v>11.25</v>
      </c>
      <c r="AA21" s="324"/>
      <c r="AF21" s="25"/>
    </row>
    <row r="22" spans="2:53" ht="18.95" customHeight="1">
      <c r="E22" s="464">
        <v>19.5</v>
      </c>
      <c r="AB22" s="972" t="s">
        <v>100</v>
      </c>
      <c r="AC22" s="973"/>
      <c r="AD22" s="974"/>
      <c r="AE22" s="185" t="s">
        <v>101</v>
      </c>
      <c r="AF22" s="467" t="str" cm="1">
        <f t="array" ref="AF22">INDEX(TEHSHEET!B1:B90,MATCH(region_name,REGION,0))</f>
        <v>RU42</v>
      </c>
    </row>
    <row r="23" spans="2:53" ht="18.95" customHeight="1">
      <c r="E23" s="464">
        <v>19.5</v>
      </c>
      <c r="AB23" s="347"/>
      <c r="AC23" s="348"/>
      <c r="AD23" s="349" t="s">
        <v>102</v>
      </c>
      <c r="AE23" s="346"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c r="E24" s="464">
        <v>19.5</v>
      </c>
      <c r="AB24" s="972" t="s">
        <v>104</v>
      </c>
      <c r="AC24" s="973"/>
      <c r="AD24" s="974"/>
      <c r="AE24" s="346">
        <v>2026</v>
      </c>
      <c r="AF24" s="286"/>
      <c r="AI24" s="25" t="str">
        <f>ORG_SHORT_NAME&amp;"_ИНН:"&amp;inn&amp;"_КПП:"&amp;kpp</f>
        <v>МУП "Водоканал"_ИНН:4202043124_КПП:420201001</v>
      </c>
    </row>
    <row r="25" spans="2:53" ht="18.95" customHeight="1">
      <c r="B25" s="340" t="b">
        <f>AND(NOT(method_reg="Метод экономически обоснованных расходов"),NOT(method_reg="Метод сравнения аналогов"))</f>
        <v>1</v>
      </c>
      <c r="E25" s="464">
        <v>19.5</v>
      </c>
      <c r="AB25" s="972" t="s">
        <v>105</v>
      </c>
      <c r="AC25" s="973"/>
      <c r="AD25" s="974"/>
      <c r="AE25" s="346">
        <v>2026</v>
      </c>
      <c r="AF25" s="469">
        <f>first_year+PERIOD_LENGTH-1</f>
        <v>2028</v>
      </c>
      <c r="AG25" s="25" cm="1">
        <f t="array" ref="AG25">IF(AE222="да",god,last_year)</f>
        <v>2028</v>
      </c>
    </row>
    <row r="26" spans="2:53" ht="18.95" customHeight="1">
      <c r="B26" s="340" t="b">
        <f>AND(NOT(method_reg="Метод экономически обоснованных расходов"),NOT(method_reg="Метод сравнения аналогов"))</f>
        <v>1</v>
      </c>
      <c r="E26" s="464">
        <v>19.5</v>
      </c>
      <c r="AB26" s="972" t="s">
        <v>106</v>
      </c>
      <c r="AC26" s="973"/>
      <c r="AD26" s="974"/>
      <c r="AE26" s="346">
        <v>3</v>
      </c>
      <c r="AF26" s="286"/>
    </row>
    <row r="27" spans="2:53" ht="18.95" hidden="1" customHeight="1">
      <c r="B27" s="340" t="b">
        <f>AND(NOT(method_reg="Метод экономически обоснованных расходов"),NOT(method_reg="Метод сравнения аналогов"),NOT(god=first_year))</f>
        <v>0</v>
      </c>
      <c r="E27" s="464">
        <v>19.5</v>
      </c>
      <c r="AB27" s="972" t="s">
        <v>107</v>
      </c>
      <c r="AC27" s="973"/>
      <c r="AD27" s="974"/>
      <c r="AE27" s="185">
        <f>IF(OR(PERIOD_LENGTH-god+first_year&lt;=0,PERIOD_LENGTH-god+first_year&gt;10),"",PERIOD_LENGTH-god+first_year)</f>
        <v>3</v>
      </c>
      <c r="AF27" s="286"/>
    </row>
    <row r="28" spans="2:53" ht="7.35" customHeight="1">
      <c r="E28" s="464">
        <v>7.5</v>
      </c>
    </row>
    <row r="29" spans="2:53" ht="7.35" customHeight="1">
      <c r="E29" s="464">
        <v>7.5</v>
      </c>
    </row>
    <row r="30" spans="2:53" ht="24.6" customHeight="1">
      <c r="E30" s="464">
        <v>19.5</v>
      </c>
      <c r="AB30" s="975" t="s">
        <v>108</v>
      </c>
      <c r="AC30" s="975"/>
      <c r="AD30" s="975"/>
      <c r="AE30" s="975"/>
      <c r="AF30" s="287"/>
      <c r="AG30" s="27"/>
      <c r="AH30" s="27"/>
      <c r="AI30" s="27"/>
      <c r="AJ30" s="27"/>
      <c r="AK30" s="27"/>
      <c r="AL30" s="27"/>
    </row>
    <row r="31" spans="2:53" ht="28.7" customHeight="1">
      <c r="E31" s="464">
        <v>19.5</v>
      </c>
      <c r="AB31" s="976" t="s">
        <v>109</v>
      </c>
      <c r="AC31" s="976"/>
      <c r="AD31" s="976"/>
      <c r="AE31" s="976"/>
      <c r="AF31" s="287"/>
      <c r="AG31" s="27"/>
      <c r="AH31" s="27"/>
      <c r="AI31" s="27"/>
      <c r="AJ31" s="27"/>
      <c r="AK31" s="27"/>
      <c r="AL31" s="27"/>
    </row>
    <row r="32" spans="2:53" ht="24" customHeight="1">
      <c r="E32" s="464">
        <v>19.5</v>
      </c>
      <c r="AB32" s="977" t="s">
        <v>110</v>
      </c>
      <c r="AC32" s="977"/>
      <c r="AD32" s="977"/>
      <c r="AE32" s="977"/>
      <c r="AF32" s="287"/>
      <c r="AG32" s="27"/>
      <c r="AH32" s="27"/>
      <c r="AI32" s="27"/>
      <c r="AJ32" s="27"/>
      <c r="AK32" s="27"/>
      <c r="AL32" s="27"/>
    </row>
    <row r="33" spans="5:38" ht="24" customHeight="1">
      <c r="E33" s="464">
        <v>19.5</v>
      </c>
      <c r="AA33" s="468">
        <v>27977465</v>
      </c>
      <c r="AB33" s="978" t="s">
        <v>111</v>
      </c>
      <c r="AC33" s="978"/>
      <c r="AD33" s="978"/>
      <c r="AE33" s="978"/>
      <c r="AG33" s="27"/>
      <c r="AH33" s="27"/>
      <c r="AI33" s="27"/>
      <c r="AJ33" s="27"/>
      <c r="AK33" s="27"/>
      <c r="AL33" s="25" t="str">
        <f>IFERROR(region_name&amp;" / "&amp;god&amp;" / "&amp;org&amp;" (ИНН:"&amp;inn&amp;", КПП:"&amp;kpp&amp;") / ДПР: "&amp;first_year&amp;"-"&amp;last_year,"")</f>
        <v>Кемеровская область / 2026 / МУП "Водоканал" (ИНН:4202043124, КПП:420201001) / ДПР: 2026-2028</v>
      </c>
    </row>
    <row r="34" spans="5:38" ht="18.95" customHeight="1">
      <c r="E34" s="464">
        <v>19.5</v>
      </c>
      <c r="AB34" s="979"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v>
      </c>
      <c r="AC34" s="979"/>
      <c r="AD34" s="979"/>
      <c r="AE34" s="979"/>
      <c r="AG34" s="27"/>
      <c r="AH34" s="27"/>
      <c r="AI34" s="27"/>
      <c r="AJ34" s="27"/>
      <c r="AK34" s="27"/>
      <c r="AL34" s="27"/>
    </row>
    <row r="35" spans="5:38" ht="20.45" customHeight="1">
      <c r="E35" s="464">
        <v>19.5</v>
      </c>
      <c r="AB35" s="980"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2026-2028 гг.</v>
      </c>
      <c r="AC35" s="980"/>
      <c r="AD35" s="980"/>
      <c r="AE35" s="980"/>
      <c r="AF35" s="287"/>
      <c r="AG35" s="27"/>
      <c r="AH35" s="27"/>
      <c r="AI35" s="27"/>
      <c r="AJ35" s="27"/>
      <c r="AK35" s="27"/>
      <c r="AL35" s="27"/>
    </row>
    <row r="36" spans="5:38" ht="10.9" customHeight="1">
      <c r="E36" s="464">
        <v>11.25</v>
      </c>
      <c r="AB36" s="981"/>
      <c r="AC36" s="982"/>
      <c r="AD36" s="982"/>
      <c r="AE36" s="983"/>
      <c r="AF36" s="356"/>
      <c r="AG36" s="29"/>
      <c r="AH36" s="15"/>
      <c r="AI36" s="970"/>
      <c r="AJ36" s="970"/>
      <c r="AK36" s="15"/>
      <c r="AL36" s="29"/>
    </row>
    <row r="37" spans="5:38" ht="24" customHeight="1">
      <c r="E37" s="464">
        <v>19.5</v>
      </c>
      <c r="AB37" s="971" t="s">
        <v>112</v>
      </c>
      <c r="AC37" s="971"/>
      <c r="AD37" s="971"/>
      <c r="AE37" s="971"/>
      <c r="AF37" s="357"/>
      <c r="AG37" s="30"/>
      <c r="AH37" s="30"/>
      <c r="AI37" s="30"/>
      <c r="AJ37" s="30"/>
      <c r="AK37" s="30"/>
      <c r="AL37" s="26"/>
    </row>
    <row r="38" spans="5:38" ht="35.1" customHeight="1">
      <c r="E38" s="464">
        <v>36</v>
      </c>
      <c r="AB38" s="953" t="s">
        <v>113</v>
      </c>
      <c r="AC38" s="953"/>
      <c r="AD38" s="953"/>
      <c r="AE38" s="537" t="s">
        <v>114</v>
      </c>
      <c r="AF38" s="358"/>
      <c r="AG38" s="26"/>
      <c r="AH38" s="26"/>
      <c r="AI38" s="26"/>
    </row>
    <row r="39" spans="5:38" ht="35.1" customHeight="1">
      <c r="E39" s="464">
        <v>36</v>
      </c>
      <c r="AB39" s="953" t="s">
        <v>115</v>
      </c>
      <c r="AC39" s="953"/>
      <c r="AD39" s="953"/>
      <c r="AE39" s="537" t="s">
        <v>111</v>
      </c>
      <c r="AF39" s="358"/>
    </row>
    <row r="40" spans="5:38" ht="19.149999999999999" customHeight="1">
      <c r="E40" s="464">
        <v>19.5</v>
      </c>
      <c r="AB40" s="953" t="s">
        <v>116</v>
      </c>
      <c r="AC40" s="953"/>
      <c r="AD40" s="953"/>
      <c r="AE40" s="763"/>
      <c r="AF40" s="286"/>
    </row>
    <row r="41" spans="5:38" ht="18.95" customHeight="1">
      <c r="E41" s="464">
        <v>19.5</v>
      </c>
      <c r="AB41" s="953" t="s">
        <v>117</v>
      </c>
      <c r="AC41" s="953"/>
      <c r="AD41" s="953"/>
      <c r="AE41" s="538" t="s">
        <v>118</v>
      </c>
      <c r="AF41" s="286"/>
    </row>
    <row r="42" spans="5:38" ht="18.95" customHeight="1">
      <c r="E42" s="464">
        <v>19.5</v>
      </c>
      <c r="AB42" s="953" t="s">
        <v>119</v>
      </c>
      <c r="AC42" s="953"/>
      <c r="AD42" s="953"/>
      <c r="AE42" s="538" t="s">
        <v>120</v>
      </c>
      <c r="AF42" s="286"/>
    </row>
    <row r="43" spans="5:38" ht="18.95" customHeight="1">
      <c r="E43" s="464">
        <v>19.5</v>
      </c>
      <c r="AB43" s="953" t="s">
        <v>121</v>
      </c>
      <c r="AC43" s="953"/>
      <c r="AD43" s="953"/>
      <c r="AE43" s="538" t="s">
        <v>122</v>
      </c>
      <c r="AF43" s="286"/>
    </row>
    <row r="44" spans="5:38" ht="18.95" customHeight="1">
      <c r="E44" s="464">
        <v>19.5</v>
      </c>
      <c r="AB44" s="953" t="s">
        <v>123</v>
      </c>
      <c r="AC44" s="953"/>
      <c r="AD44" s="953"/>
      <c r="AE44" s="283" t="s">
        <v>124</v>
      </c>
      <c r="AF44" s="286"/>
      <c r="AG44" s="25" t="s">
        <v>125</v>
      </c>
    </row>
    <row r="45" spans="5:38" ht="18.95" customHeight="1">
      <c r="E45" s="464">
        <v>19.5</v>
      </c>
      <c r="AB45" s="953" t="s">
        <v>126</v>
      </c>
      <c r="AC45" s="953"/>
      <c r="AD45" s="953"/>
      <c r="AE45" s="288" t="s">
        <v>127</v>
      </c>
      <c r="AF45" s="286"/>
      <c r="AG45" s="25" t="s">
        <v>128</v>
      </c>
    </row>
    <row r="46" spans="5:38" ht="18.95" customHeight="1">
      <c r="E46" s="464">
        <v>19.5</v>
      </c>
      <c r="AB46" s="953" t="s">
        <v>129</v>
      </c>
      <c r="AC46" s="953"/>
      <c r="AD46" s="953"/>
      <c r="AE46" s="288" t="s">
        <v>130</v>
      </c>
      <c r="AG46" s="25" t="s">
        <v>131</v>
      </c>
    </row>
    <row r="47" spans="5:38" ht="18.95" customHeight="1">
      <c r="E47" s="464">
        <v>19.5</v>
      </c>
      <c r="AB47" s="953" t="s">
        <v>132</v>
      </c>
      <c r="AC47" s="953"/>
      <c r="AD47" s="953"/>
      <c r="AE47" s="288" t="s">
        <v>130</v>
      </c>
      <c r="AG47" s="25" t="s">
        <v>133</v>
      </c>
    </row>
    <row r="48" spans="5:38" ht="18.95" customHeight="1">
      <c r="E48" s="464">
        <v>19.5</v>
      </c>
      <c r="AB48" s="953" t="s">
        <v>134</v>
      </c>
      <c r="AC48" s="953"/>
      <c r="AD48" s="953"/>
      <c r="AE48" s="288" t="s">
        <v>135</v>
      </c>
      <c r="AG48" s="25" t="s">
        <v>136</v>
      </c>
    </row>
    <row r="49" spans="2:33" ht="18.95" customHeight="1">
      <c r="E49" s="464">
        <v>19.5</v>
      </c>
      <c r="AB49" s="953" t="s">
        <v>137</v>
      </c>
      <c r="AC49" s="953"/>
      <c r="AD49" s="953"/>
      <c r="AE49" s="804" t="s">
        <v>138</v>
      </c>
      <c r="AG49" s="25" t="s">
        <v>139</v>
      </c>
    </row>
    <row r="50" spans="2:33" ht="18.95" customHeight="1">
      <c r="E50" s="464">
        <v>19.5</v>
      </c>
      <c r="AB50" s="953" t="s">
        <v>140</v>
      </c>
      <c r="AC50" s="953"/>
      <c r="AD50" s="953"/>
      <c r="AE50" s="288" t="s">
        <v>141</v>
      </c>
      <c r="AG50" s="25" t="s">
        <v>142</v>
      </c>
    </row>
    <row r="51" spans="2:33" ht="18.95" customHeight="1">
      <c r="E51" s="464">
        <v>19.5</v>
      </c>
      <c r="AB51" s="953" t="s">
        <v>143</v>
      </c>
      <c r="AC51" s="953"/>
      <c r="AD51" s="953"/>
      <c r="AE51" s="288" t="s">
        <v>144</v>
      </c>
      <c r="AG51" s="25" t="s">
        <v>145</v>
      </c>
    </row>
    <row r="52" spans="2:33" ht="18.95" customHeight="1">
      <c r="E52" s="464">
        <v>19.5</v>
      </c>
      <c r="AB52" s="953" t="s">
        <v>146</v>
      </c>
      <c r="AC52" s="953"/>
      <c r="AD52" s="953"/>
      <c r="AE52" s="289" t="s">
        <v>124</v>
      </c>
      <c r="AG52" s="25" t="s">
        <v>147</v>
      </c>
    </row>
    <row r="53" spans="2:33" ht="18.95" customHeight="1">
      <c r="E53" s="464">
        <v>19.5</v>
      </c>
      <c r="AB53" s="953" t="s">
        <v>148</v>
      </c>
      <c r="AC53" s="953"/>
      <c r="AD53" s="16" t="s">
        <v>149</v>
      </c>
      <c r="AE53" s="290" t="s">
        <v>150</v>
      </c>
      <c r="AG53" s="25" t="s">
        <v>151</v>
      </c>
    </row>
    <row r="54" spans="2:33" ht="18.95" customHeight="1">
      <c r="E54" s="464">
        <v>19.5</v>
      </c>
      <c r="AB54" s="953"/>
      <c r="AC54" s="953"/>
      <c r="AD54" s="16" t="s">
        <v>152</v>
      </c>
      <c r="AE54" s="290" t="s">
        <v>153</v>
      </c>
      <c r="AG54" s="25" t="s">
        <v>154</v>
      </c>
    </row>
    <row r="55" spans="2:33" ht="18.95" customHeight="1">
      <c r="E55" s="464">
        <v>19.5</v>
      </c>
      <c r="AB55" s="953"/>
      <c r="AC55" s="953"/>
      <c r="AD55" s="16" t="s">
        <v>155</v>
      </c>
      <c r="AE55" s="290" t="s">
        <v>156</v>
      </c>
      <c r="AG55" s="25" t="s">
        <v>157</v>
      </c>
    </row>
    <row r="56" spans="2:33" ht="24.95" customHeight="1">
      <c r="E56" s="464">
        <v>25.5</v>
      </c>
      <c r="AB56" s="953" t="s">
        <v>158</v>
      </c>
      <c r="AC56" s="953"/>
      <c r="AD56" s="953"/>
      <c r="AE56" s="290" t="s">
        <v>150</v>
      </c>
      <c r="AF56" s="359"/>
      <c r="AG56" s="25" t="s">
        <v>159</v>
      </c>
    </row>
    <row r="57" spans="2:33" ht="24.95" customHeight="1">
      <c r="E57" s="464">
        <v>25.5</v>
      </c>
      <c r="AB57" s="953" t="s">
        <v>160</v>
      </c>
      <c r="AC57" s="953"/>
      <c r="AD57" s="953"/>
      <c r="AE57" s="290" t="s">
        <v>161</v>
      </c>
      <c r="AF57" s="470"/>
      <c r="AG57" s="414"/>
    </row>
    <row r="58" spans="2:33" ht="18.95" customHeight="1">
      <c r="E58" s="464">
        <v>19.5</v>
      </c>
      <c r="AB58" s="953" t="s">
        <v>162</v>
      </c>
      <c r="AC58" s="953"/>
      <c r="AD58" s="953"/>
      <c r="AE58" s="290" t="s">
        <v>150</v>
      </c>
      <c r="AG58" s="25" t="s">
        <v>163</v>
      </c>
    </row>
    <row r="59" spans="2:33" ht="24.95" customHeight="1">
      <c r="E59" s="464">
        <v>25.5</v>
      </c>
      <c r="AB59" s="953" t="s">
        <v>164</v>
      </c>
      <c r="AC59" s="953"/>
      <c r="AD59" s="953"/>
      <c r="AE59" s="290" t="s">
        <v>150</v>
      </c>
      <c r="AF59" s="359"/>
      <c r="AG59" s="25" t="s">
        <v>165</v>
      </c>
    </row>
    <row r="60" spans="2:33" ht="21.95" customHeight="1">
      <c r="B60" s="340" t="b">
        <f>NOT(method_reg="Метод сравнения аналогов")</f>
        <v>1</v>
      </c>
      <c r="E60" s="464">
        <v>19.5</v>
      </c>
      <c r="F60" s="25" t="s">
        <v>166</v>
      </c>
      <c r="AB60" s="953" t="s">
        <v>167</v>
      </c>
      <c r="AC60" s="953"/>
      <c r="AD60" s="953"/>
      <c r="AE60" s="290" t="s">
        <v>150</v>
      </c>
      <c r="AG60" s="25" t="s">
        <v>168</v>
      </c>
    </row>
    <row r="61" spans="2:33" ht="24.6" customHeight="1">
      <c r="B61" s="340" t="b">
        <f>AND(NOT(method_reg="Метод сравнения аналогов"),STATUS_GO="да")</f>
        <v>1</v>
      </c>
      <c r="E61" s="464">
        <v>12</v>
      </c>
      <c r="AA61" s="463"/>
      <c r="AB61" s="953" t="s">
        <v>169</v>
      </c>
      <c r="AC61" s="953"/>
      <c r="AD61" s="953"/>
      <c r="AE61" s="805" t="s">
        <v>170</v>
      </c>
      <c r="AF61" s="463"/>
    </row>
    <row r="62" spans="2:33" ht="11.65" hidden="1" customHeight="1">
      <c r="B62" s="340" t="b">
        <f>AND(NOT(method_reg="Метод сравнения аналогов"),STATUS_GO="да")</f>
        <v>1</v>
      </c>
      <c r="E62" s="464">
        <v>12</v>
      </c>
      <c r="W62" s="353" t="b">
        <f>ROW(Y62)&gt;ROW(Y$62)</f>
        <v>0</v>
      </c>
      <c r="Y62" s="25" t="s">
        <v>171</v>
      </c>
      <c r="AA62" s="463" t="s">
        <v>172</v>
      </c>
      <c r="AB62" s="953" t="s">
        <v>169</v>
      </c>
      <c r="AC62" s="953"/>
      <c r="AD62" s="953"/>
      <c r="AE62" s="315"/>
      <c r="AF62" s="463"/>
    </row>
    <row r="63" spans="2:33" ht="13.7" customHeight="1">
      <c r="B63" s="340" t="b">
        <f>AND(NOT(method_reg="Метод сравнения аналогов"),STATUS_GO="да")</f>
        <v>1</v>
      </c>
      <c r="E63" s="464">
        <v>14</v>
      </c>
      <c r="F63" s="25" t="s">
        <v>173</v>
      </c>
      <c r="Y63" s="26" t="s">
        <v>174</v>
      </c>
      <c r="AB63" s="176"/>
      <c r="AC63" s="175"/>
      <c r="AD63" s="175"/>
      <c r="AE63" s="268" t="s">
        <v>175</v>
      </c>
      <c r="AF63" s="710"/>
    </row>
    <row r="64" spans="2:33" ht="13.7" hidden="1" customHeight="1">
      <c r="B64" s="340" t="b">
        <f t="shared" ref="B64:B69" si="0">method_reg="Метод сравнения аналогов"</f>
        <v>0</v>
      </c>
      <c r="E64" s="464">
        <v>14</v>
      </c>
      <c r="AB64" s="410"/>
      <c r="AC64" s="411"/>
      <c r="AD64" s="411"/>
      <c r="AE64" s="412"/>
      <c r="AF64" s="710"/>
    </row>
    <row r="65" spans="2:33" ht="18.95" hidden="1" customHeight="1">
      <c r="B65" s="340" t="b">
        <f t="shared" si="0"/>
        <v>0</v>
      </c>
      <c r="E65" s="464">
        <v>19.5</v>
      </c>
      <c r="AB65" s="989" t="s">
        <v>176</v>
      </c>
      <c r="AC65" s="989"/>
      <c r="AD65" s="989"/>
      <c r="AE65" s="537"/>
      <c r="AF65" s="710"/>
      <c r="AG65" s="25" t="s">
        <v>177</v>
      </c>
    </row>
    <row r="66" spans="2:33" ht="18.95" hidden="1" customHeight="1">
      <c r="B66" s="340" t="b">
        <f t="shared" si="0"/>
        <v>0</v>
      </c>
      <c r="E66" s="464">
        <v>19.5</v>
      </c>
      <c r="AB66" s="989" t="s">
        <v>178</v>
      </c>
      <c r="AC66" s="989"/>
      <c r="AD66" s="989"/>
      <c r="AE66" s="537"/>
      <c r="AF66" s="710"/>
      <c r="AG66" s="25" t="s">
        <v>179</v>
      </c>
    </row>
    <row r="67" spans="2:33" ht="18.95" hidden="1" customHeight="1">
      <c r="B67" s="340" t="b">
        <f t="shared" si="0"/>
        <v>0</v>
      </c>
      <c r="E67" s="464">
        <v>19.5</v>
      </c>
      <c r="AB67" s="989" t="s">
        <v>180</v>
      </c>
      <c r="AC67" s="989"/>
      <c r="AD67" s="989"/>
      <c r="AE67" s="537"/>
      <c r="AF67" s="710"/>
      <c r="AG67" s="25" t="s">
        <v>181</v>
      </c>
    </row>
    <row r="68" spans="2:33" ht="18.95" hidden="1" customHeight="1">
      <c r="B68" s="340" t="b">
        <f t="shared" si="0"/>
        <v>0</v>
      </c>
      <c r="E68" s="464">
        <v>19.5</v>
      </c>
      <c r="AB68" s="953" t="s">
        <v>182</v>
      </c>
      <c r="AC68" s="953"/>
      <c r="AD68" s="953"/>
      <c r="AE68" s="316"/>
      <c r="AF68" s="710"/>
      <c r="AG68" s="25" t="s">
        <v>183</v>
      </c>
    </row>
    <row r="69" spans="2:33" ht="18.95" hidden="1" customHeight="1">
      <c r="B69" s="340" t="b">
        <f t="shared" si="0"/>
        <v>0</v>
      </c>
      <c r="E69" s="464">
        <v>19.5</v>
      </c>
      <c r="AB69" s="953" t="s">
        <v>184</v>
      </c>
      <c r="AC69" s="953"/>
      <c r="AD69" s="953"/>
      <c r="AE69" s="806"/>
      <c r="AF69" s="710"/>
      <c r="AG69" s="25" t="s">
        <v>185</v>
      </c>
    </row>
    <row r="70" spans="2:33" ht="13.7" customHeight="1">
      <c r="B70" s="25"/>
      <c r="E70" s="464">
        <v>14</v>
      </c>
      <c r="AB70" s="410"/>
      <c r="AC70" s="411"/>
      <c r="AD70" s="411"/>
      <c r="AE70" s="412"/>
      <c r="AF70" s="710"/>
    </row>
    <row r="71" spans="2:33" ht="18.95" customHeight="1">
      <c r="B71" s="25"/>
      <c r="E71" s="464">
        <v>19.5</v>
      </c>
      <c r="AB71" s="953" t="s">
        <v>186</v>
      </c>
      <c r="AC71" s="953"/>
      <c r="AD71" s="953"/>
      <c r="AE71" s="290" t="s">
        <v>150</v>
      </c>
      <c r="AF71" s="710"/>
      <c r="AG71" s="25" t="s">
        <v>187</v>
      </c>
    </row>
    <row r="72" spans="2:33" ht="18.95" customHeight="1">
      <c r="B72" s="25"/>
      <c r="E72" s="464">
        <v>19.5</v>
      </c>
      <c r="F72" s="25" t="s">
        <v>188</v>
      </c>
      <c r="AB72" s="953" t="s">
        <v>189</v>
      </c>
      <c r="AC72" s="953"/>
      <c r="AD72" s="953"/>
      <c r="AE72" s="290" t="s">
        <v>150</v>
      </c>
      <c r="AF72" s="710"/>
      <c r="AG72" s="25" t="s">
        <v>190</v>
      </c>
    </row>
    <row r="73" spans="2:33" ht="47.85" customHeight="1">
      <c r="B73" s="340" t="b">
        <f t="shared" ref="B73:B83" si="1">HAS_DOC2="да"</f>
        <v>1</v>
      </c>
      <c r="E73" s="464">
        <v>19.5</v>
      </c>
      <c r="AB73" s="984" t="s">
        <v>191</v>
      </c>
      <c r="AC73" s="987" t="s">
        <v>192</v>
      </c>
      <c r="AD73" s="988"/>
      <c r="AE73" s="283" t="s">
        <v>193</v>
      </c>
      <c r="AF73" s="710"/>
    </row>
    <row r="74" spans="2:33" ht="21.95" customHeight="1">
      <c r="B74" s="340" t="b">
        <f t="shared" si="1"/>
        <v>1</v>
      </c>
      <c r="E74" s="464">
        <v>19.5</v>
      </c>
      <c r="AB74" s="985"/>
      <c r="AC74" s="987" t="s">
        <v>194</v>
      </c>
      <c r="AD74" s="988"/>
      <c r="AE74" s="284" t="s">
        <v>195</v>
      </c>
      <c r="AF74" s="710"/>
    </row>
    <row r="75" spans="2:33" ht="21.95" customHeight="1">
      <c r="B75" s="340" t="b">
        <f t="shared" si="1"/>
        <v>1</v>
      </c>
      <c r="E75" s="464">
        <v>19.5</v>
      </c>
      <c r="AB75" s="985"/>
      <c r="AC75" s="987" t="s">
        <v>196</v>
      </c>
      <c r="AD75" s="988"/>
      <c r="AE75" s="283" t="s">
        <v>197</v>
      </c>
      <c r="AF75" s="710"/>
    </row>
    <row r="76" spans="2:33" ht="23.25" customHeight="1">
      <c r="B76" s="340" t="b">
        <f t="shared" si="1"/>
        <v>1</v>
      </c>
      <c r="E76" s="464">
        <v>19.5</v>
      </c>
      <c r="AB76" s="985"/>
      <c r="AC76" s="987" t="s">
        <v>198</v>
      </c>
      <c r="AD76" s="988"/>
      <c r="AE76" s="318" t="s">
        <v>199</v>
      </c>
    </row>
    <row r="77" spans="2:33" ht="18.95" customHeight="1">
      <c r="B77" s="340" t="b">
        <f t="shared" si="1"/>
        <v>1</v>
      </c>
      <c r="E77" s="464">
        <v>19.5</v>
      </c>
      <c r="AB77" s="986"/>
      <c r="AC77" s="987" t="s">
        <v>200</v>
      </c>
      <c r="AD77" s="988"/>
      <c r="AE77" s="301"/>
    </row>
    <row r="78" spans="2:33" ht="18.95" hidden="1" customHeight="1">
      <c r="B78" s="340" t="b">
        <f t="shared" si="1"/>
        <v>1</v>
      </c>
      <c r="E78" s="464">
        <v>19.5</v>
      </c>
      <c r="W78" s="353" t="b">
        <f>ROW(Y78)&gt;ROW(Y$78)</f>
        <v>0</v>
      </c>
      <c r="Y78" s="25" t="s">
        <v>171</v>
      </c>
      <c r="AA78" s="995" t="s">
        <v>172</v>
      </c>
      <c r="AB78" s="984" t="s">
        <v>191</v>
      </c>
      <c r="AC78" s="987" t="s">
        <v>192</v>
      </c>
      <c r="AD78" s="988"/>
      <c r="AE78" s="316"/>
    </row>
    <row r="79" spans="2:33" ht="18.95" hidden="1" customHeight="1">
      <c r="B79" s="340" t="b">
        <f t="shared" si="1"/>
        <v>1</v>
      </c>
      <c r="E79" s="464">
        <v>19.5</v>
      </c>
      <c r="W79" s="353" t="b" cm="1">
        <f t="array" ref="W79">W78</f>
        <v>0</v>
      </c>
      <c r="AA79" s="995"/>
      <c r="AB79" s="985"/>
      <c r="AC79" s="987" t="s">
        <v>194</v>
      </c>
      <c r="AD79" s="988"/>
      <c r="AE79" s="317"/>
    </row>
    <row r="80" spans="2:33" ht="18.95" hidden="1" customHeight="1">
      <c r="B80" s="340" t="b">
        <f t="shared" si="1"/>
        <v>1</v>
      </c>
      <c r="E80" s="464">
        <v>19.5</v>
      </c>
      <c r="W80" s="353" t="b" cm="1">
        <f t="array" ref="W80">W79</f>
        <v>0</v>
      </c>
      <c r="AA80" s="995"/>
      <c r="AB80" s="985"/>
      <c r="AC80" s="987" t="s">
        <v>196</v>
      </c>
      <c r="AD80" s="988"/>
      <c r="AE80" s="316"/>
    </row>
    <row r="81" spans="2:33" ht="18.95" hidden="1" customHeight="1">
      <c r="B81" s="340" t="b">
        <f t="shared" si="1"/>
        <v>1</v>
      </c>
      <c r="E81" s="464">
        <v>19.5</v>
      </c>
      <c r="W81" s="353" t="b" cm="1">
        <f t="array" ref="W81">W80</f>
        <v>0</v>
      </c>
      <c r="AA81" s="995"/>
      <c r="AB81" s="985"/>
      <c r="AC81" s="987" t="s">
        <v>198</v>
      </c>
      <c r="AD81" s="988"/>
      <c r="AE81" s="623"/>
    </row>
    <row r="82" spans="2:33" ht="18.95" hidden="1" customHeight="1">
      <c r="B82" s="340" t="b">
        <f t="shared" si="1"/>
        <v>1</v>
      </c>
      <c r="E82" s="464">
        <v>19.5</v>
      </c>
      <c r="W82" s="353" t="b" cm="1">
        <f t="array" ref="W82">W81</f>
        <v>0</v>
      </c>
      <c r="AA82" s="995"/>
      <c r="AB82" s="986"/>
      <c r="AC82" s="987" t="s">
        <v>200</v>
      </c>
      <c r="AD82" s="988"/>
      <c r="AE82" s="315"/>
    </row>
    <row r="83" spans="2:33" ht="14.65" customHeight="1">
      <c r="B83" s="340" t="b">
        <f t="shared" si="1"/>
        <v>1</v>
      </c>
      <c r="E83" s="464">
        <v>15</v>
      </c>
      <c r="F83" s="25" t="s">
        <v>188</v>
      </c>
      <c r="Y83" s="26" t="s">
        <v>174</v>
      </c>
      <c r="AB83" s="176"/>
      <c r="AC83" s="175"/>
      <c r="AD83" s="175"/>
      <c r="AE83" s="268" t="s">
        <v>175</v>
      </c>
    </row>
    <row r="84" spans="2:33" ht="23.25" customHeight="1">
      <c r="B84" s="25"/>
      <c r="E84" s="464">
        <v>19.5</v>
      </c>
      <c r="F84" s="25" t="s">
        <v>201</v>
      </c>
      <c r="AB84" s="953" t="s">
        <v>202</v>
      </c>
      <c r="AC84" s="953"/>
      <c r="AD84" s="953"/>
      <c r="AE84" s="290" t="s">
        <v>150</v>
      </c>
      <c r="AG84" s="25" t="s">
        <v>203</v>
      </c>
    </row>
    <row r="85" spans="2:33" ht="38.25" customHeight="1">
      <c r="B85" s="340" t="b">
        <f t="shared" ref="B85:B95" si="2">HAS_DOC3="да"</f>
        <v>1</v>
      </c>
      <c r="E85" s="464">
        <v>19.5</v>
      </c>
      <c r="AB85" s="967" t="s">
        <v>191</v>
      </c>
      <c r="AC85" s="953" t="s">
        <v>192</v>
      </c>
      <c r="AD85" s="953"/>
      <c r="AE85" s="283" t="s">
        <v>204</v>
      </c>
    </row>
    <row r="86" spans="2:33" ht="18.95" customHeight="1">
      <c r="B86" s="340" t="b">
        <f t="shared" si="2"/>
        <v>1</v>
      </c>
      <c r="E86" s="464">
        <v>19.5</v>
      </c>
      <c r="AB86" s="967"/>
      <c r="AC86" s="953" t="s">
        <v>194</v>
      </c>
      <c r="AD86" s="953"/>
      <c r="AE86" s="284" t="s">
        <v>205</v>
      </c>
    </row>
    <row r="87" spans="2:33" ht="18.95" customHeight="1">
      <c r="B87" s="340" t="b">
        <f t="shared" si="2"/>
        <v>1</v>
      </c>
      <c r="E87" s="464">
        <v>19.5</v>
      </c>
      <c r="AB87" s="967"/>
      <c r="AC87" s="953" t="s">
        <v>196</v>
      </c>
      <c r="AD87" s="953"/>
      <c r="AE87" s="283" t="s">
        <v>206</v>
      </c>
    </row>
    <row r="88" spans="2:33" ht="18.95" customHeight="1">
      <c r="B88" s="340" t="b">
        <f t="shared" si="2"/>
        <v>1</v>
      </c>
      <c r="E88" s="464">
        <v>19.5</v>
      </c>
      <c r="AB88" s="967"/>
      <c r="AC88" s="953" t="s">
        <v>198</v>
      </c>
      <c r="AD88" s="953"/>
      <c r="AE88" s="318">
        <v>44771</v>
      </c>
    </row>
    <row r="89" spans="2:33" ht="18.95" customHeight="1">
      <c r="B89" s="340" t="b">
        <f t="shared" si="2"/>
        <v>1</v>
      </c>
      <c r="E89" s="464">
        <v>19.5</v>
      </c>
      <c r="AB89" s="967"/>
      <c r="AC89" s="953" t="s">
        <v>200</v>
      </c>
      <c r="AD89" s="953"/>
      <c r="AE89" s="805" t="s">
        <v>207</v>
      </c>
    </row>
    <row r="90" spans="2:33" ht="18.95" hidden="1" customHeight="1">
      <c r="B90" s="340" t="b">
        <f t="shared" si="2"/>
        <v>1</v>
      </c>
      <c r="E90" s="464">
        <v>19.5</v>
      </c>
      <c r="W90" s="353" t="b">
        <f>ROW(Y90)&gt;ROW(Y$90)</f>
        <v>0</v>
      </c>
      <c r="Y90" s="25" t="s">
        <v>171</v>
      </c>
      <c r="AA90" s="995" t="s">
        <v>172</v>
      </c>
      <c r="AB90" s="984" t="s">
        <v>191</v>
      </c>
      <c r="AC90" s="987" t="s">
        <v>192</v>
      </c>
      <c r="AD90" s="988"/>
      <c r="AE90" s="316"/>
    </row>
    <row r="91" spans="2:33" ht="18.95" hidden="1" customHeight="1">
      <c r="B91" s="340" t="b">
        <f t="shared" si="2"/>
        <v>1</v>
      </c>
      <c r="E91" s="464">
        <v>19.5</v>
      </c>
      <c r="W91" s="353" t="b" cm="1">
        <f t="array" ref="W91">W90</f>
        <v>0</v>
      </c>
      <c r="AA91" s="995"/>
      <c r="AB91" s="985"/>
      <c r="AC91" s="987" t="s">
        <v>194</v>
      </c>
      <c r="AD91" s="988"/>
      <c r="AE91" s="317"/>
    </row>
    <row r="92" spans="2:33" ht="18.95" hidden="1" customHeight="1">
      <c r="B92" s="340" t="b">
        <f t="shared" si="2"/>
        <v>1</v>
      </c>
      <c r="E92" s="464">
        <v>19.5</v>
      </c>
      <c r="W92" s="353" t="b" cm="1">
        <f t="array" ref="W92">W91</f>
        <v>0</v>
      </c>
      <c r="AA92" s="995"/>
      <c r="AB92" s="985"/>
      <c r="AC92" s="987" t="s">
        <v>196</v>
      </c>
      <c r="AD92" s="988"/>
      <c r="AE92" s="316"/>
    </row>
    <row r="93" spans="2:33" ht="18.95" hidden="1" customHeight="1">
      <c r="B93" s="340" t="b">
        <f t="shared" si="2"/>
        <v>1</v>
      </c>
      <c r="E93" s="464">
        <v>19.5</v>
      </c>
      <c r="W93" s="353" t="b" cm="1">
        <f t="array" ref="W93">W92</f>
        <v>0</v>
      </c>
      <c r="AA93" s="995"/>
      <c r="AB93" s="985"/>
      <c r="AC93" s="987" t="s">
        <v>198</v>
      </c>
      <c r="AD93" s="988"/>
      <c r="AE93" s="623"/>
    </row>
    <row r="94" spans="2:33" ht="18.95" hidden="1" customHeight="1">
      <c r="B94" s="340" t="b">
        <f t="shared" si="2"/>
        <v>1</v>
      </c>
      <c r="E94" s="464">
        <v>19.5</v>
      </c>
      <c r="W94" s="353" t="b" cm="1">
        <f t="array" ref="W94">W93</f>
        <v>0</v>
      </c>
      <c r="AA94" s="995"/>
      <c r="AB94" s="986"/>
      <c r="AC94" s="987" t="s">
        <v>200</v>
      </c>
      <c r="AD94" s="988"/>
      <c r="AE94" s="315"/>
    </row>
    <row r="95" spans="2:33" ht="14.65" customHeight="1">
      <c r="B95" s="340" t="b">
        <f t="shared" si="2"/>
        <v>1</v>
      </c>
      <c r="E95" s="464">
        <v>15</v>
      </c>
      <c r="F95" s="25" t="s">
        <v>201</v>
      </c>
      <c r="Y95" s="26" t="s">
        <v>174</v>
      </c>
      <c r="AB95" s="176"/>
      <c r="AC95" s="175"/>
      <c r="AD95" s="175"/>
      <c r="AE95" s="268" t="s">
        <v>175</v>
      </c>
    </row>
    <row r="96" spans="2:33" ht="18.95" customHeight="1">
      <c r="B96" s="340" t="b">
        <f>NOT(method_reg="Метод сравнения аналогов")</f>
        <v>1</v>
      </c>
      <c r="E96" s="464">
        <v>19.5</v>
      </c>
      <c r="F96" s="25" t="s">
        <v>208</v>
      </c>
      <c r="AB96" s="953" t="s">
        <v>209</v>
      </c>
      <c r="AC96" s="953"/>
      <c r="AD96" s="953"/>
      <c r="AE96" s="290" t="s">
        <v>150</v>
      </c>
      <c r="AG96" s="25" t="s">
        <v>210</v>
      </c>
    </row>
    <row r="97" spans="2:33" ht="41.1" customHeight="1">
      <c r="B97" s="340" t="b">
        <f t="shared" ref="B97:B107" si="3">AND(NOT(method_reg="Метод сравнения аналогов"),HAS_DOC4="да")</f>
        <v>1</v>
      </c>
      <c r="E97" s="464">
        <v>19.5</v>
      </c>
      <c r="AB97" s="967" t="s">
        <v>191</v>
      </c>
      <c r="AC97" s="953" t="s">
        <v>192</v>
      </c>
      <c r="AD97" s="953"/>
      <c r="AE97" s="283" t="s">
        <v>211</v>
      </c>
    </row>
    <row r="98" spans="2:33" ht="18.95" customHeight="1">
      <c r="B98" s="340" t="b">
        <f t="shared" si="3"/>
        <v>1</v>
      </c>
      <c r="E98" s="464">
        <v>19.5</v>
      </c>
      <c r="AB98" s="967"/>
      <c r="AC98" s="953" t="s">
        <v>194</v>
      </c>
      <c r="AD98" s="953"/>
      <c r="AE98" s="284" t="s">
        <v>212</v>
      </c>
    </row>
    <row r="99" spans="2:33" ht="18.95" customHeight="1">
      <c r="B99" s="340" t="b">
        <f t="shared" si="3"/>
        <v>1</v>
      </c>
      <c r="E99" s="464">
        <v>19.5</v>
      </c>
      <c r="AB99" s="967"/>
      <c r="AC99" s="953" t="s">
        <v>196</v>
      </c>
      <c r="AD99" s="953"/>
      <c r="AE99" s="283" t="s">
        <v>213</v>
      </c>
    </row>
    <row r="100" spans="2:33" ht="18.95" customHeight="1">
      <c r="B100" s="340" t="b">
        <f t="shared" si="3"/>
        <v>1</v>
      </c>
      <c r="E100" s="464">
        <v>19.5</v>
      </c>
      <c r="AB100" s="967"/>
      <c r="AC100" s="953" t="s">
        <v>198</v>
      </c>
      <c r="AD100" s="953"/>
      <c r="AE100" s="318">
        <v>44015</v>
      </c>
    </row>
    <row r="101" spans="2:33" ht="18.95" customHeight="1">
      <c r="B101" s="340" t="b">
        <f t="shared" si="3"/>
        <v>1</v>
      </c>
      <c r="E101" s="464">
        <v>19.5</v>
      </c>
      <c r="AB101" s="967"/>
      <c r="AC101" s="953" t="s">
        <v>200</v>
      </c>
      <c r="AD101" s="953"/>
      <c r="AE101" s="301"/>
    </row>
    <row r="102" spans="2:33" ht="18.95" hidden="1" customHeight="1">
      <c r="B102" s="340" t="b">
        <f t="shared" si="3"/>
        <v>1</v>
      </c>
      <c r="E102" s="464">
        <v>19.5</v>
      </c>
      <c r="W102" s="353" t="b">
        <f>ROW(Y102)&gt;ROW(Y$102)</f>
        <v>0</v>
      </c>
      <c r="Y102" s="25" t="s">
        <v>171</v>
      </c>
      <c r="AA102" s="995" t="s">
        <v>172</v>
      </c>
      <c r="AB102" s="984" t="s">
        <v>191</v>
      </c>
      <c r="AC102" s="987" t="s">
        <v>192</v>
      </c>
      <c r="AD102" s="988"/>
      <c r="AE102" s="316"/>
    </row>
    <row r="103" spans="2:33" ht="18.95" hidden="1" customHeight="1">
      <c r="B103" s="340" t="b">
        <f t="shared" si="3"/>
        <v>1</v>
      </c>
      <c r="E103" s="464">
        <v>19.5</v>
      </c>
      <c r="W103" s="353" t="b" cm="1">
        <f t="array" ref="W103">W102</f>
        <v>0</v>
      </c>
      <c r="AA103" s="995"/>
      <c r="AB103" s="985"/>
      <c r="AC103" s="987" t="s">
        <v>194</v>
      </c>
      <c r="AD103" s="988"/>
      <c r="AE103" s="317"/>
    </row>
    <row r="104" spans="2:33" ht="18.95" hidden="1" customHeight="1">
      <c r="B104" s="340" t="b">
        <f t="shared" si="3"/>
        <v>1</v>
      </c>
      <c r="E104" s="464">
        <v>19.5</v>
      </c>
      <c r="W104" s="353" t="b" cm="1">
        <f t="array" ref="W104">W103</f>
        <v>0</v>
      </c>
      <c r="AA104" s="995"/>
      <c r="AB104" s="985"/>
      <c r="AC104" s="987" t="s">
        <v>196</v>
      </c>
      <c r="AD104" s="988"/>
      <c r="AE104" s="316"/>
    </row>
    <row r="105" spans="2:33" ht="18.95" hidden="1" customHeight="1">
      <c r="B105" s="340" t="b">
        <f t="shared" si="3"/>
        <v>1</v>
      </c>
      <c r="E105" s="464">
        <v>19.5</v>
      </c>
      <c r="W105" s="353" t="b" cm="1">
        <f t="array" ref="W105">W104</f>
        <v>0</v>
      </c>
      <c r="AA105" s="995"/>
      <c r="AB105" s="985"/>
      <c r="AC105" s="987" t="s">
        <v>198</v>
      </c>
      <c r="AD105" s="988"/>
      <c r="AE105" s="623"/>
    </row>
    <row r="106" spans="2:33" ht="18.95" hidden="1" customHeight="1">
      <c r="B106" s="340" t="b">
        <f t="shared" si="3"/>
        <v>1</v>
      </c>
      <c r="E106" s="464">
        <v>19.5</v>
      </c>
      <c r="W106" s="353" t="b" cm="1">
        <f t="array" ref="W106">W105</f>
        <v>0</v>
      </c>
      <c r="AA106" s="995"/>
      <c r="AB106" s="986"/>
      <c r="AC106" s="987" t="s">
        <v>200</v>
      </c>
      <c r="AD106" s="988"/>
      <c r="AE106" s="315"/>
    </row>
    <row r="107" spans="2:33" ht="14.65" customHeight="1">
      <c r="B107" s="340" t="b">
        <f t="shared" si="3"/>
        <v>1</v>
      </c>
      <c r="E107" s="464">
        <v>15</v>
      </c>
      <c r="F107" s="25" t="s">
        <v>208</v>
      </c>
      <c r="Y107" s="26" t="s">
        <v>174</v>
      </c>
      <c r="AB107" s="176"/>
      <c r="AC107" s="175"/>
      <c r="AD107" s="175"/>
      <c r="AE107" s="268" t="s">
        <v>175</v>
      </c>
    </row>
    <row r="108" spans="2:33" ht="24.95" customHeight="1">
      <c r="B108" s="340" t="b">
        <f>NOT(method_reg="Метод сравнения аналогов")</f>
        <v>1</v>
      </c>
      <c r="E108" s="464">
        <v>25.5</v>
      </c>
      <c r="F108" s="25" t="s">
        <v>214</v>
      </c>
      <c r="AB108" s="953"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53"/>
      <c r="AD108" s="953"/>
      <c r="AE108" s="290" t="s">
        <v>215</v>
      </c>
      <c r="AF108" s="359"/>
      <c r="AG108" s="25" t="s">
        <v>216</v>
      </c>
    </row>
    <row r="109" spans="2:33" ht="18.95" hidden="1" customHeight="1">
      <c r="B109" s="340" t="b">
        <f t="shared" ref="B109:B121" si="4">AND(NOT(method_reg="Метод сравнения аналогов"),HAS_DOC5="да")</f>
        <v>0</v>
      </c>
      <c r="E109" s="464">
        <v>19.5</v>
      </c>
      <c r="AB109" s="984" t="s">
        <v>191</v>
      </c>
      <c r="AC109" s="953" t="s">
        <v>192</v>
      </c>
      <c r="AD109" s="953"/>
      <c r="AE109" s="316"/>
    </row>
    <row r="110" spans="2:33" ht="18.95" hidden="1" customHeight="1">
      <c r="B110" s="340" t="b">
        <f t="shared" si="4"/>
        <v>0</v>
      </c>
      <c r="E110" s="464">
        <v>19.5</v>
      </c>
      <c r="AB110" s="985"/>
      <c r="AC110" s="953" t="s">
        <v>194</v>
      </c>
      <c r="AD110" s="953"/>
      <c r="AE110" s="317"/>
    </row>
    <row r="111" spans="2:33" ht="18.95" hidden="1" customHeight="1">
      <c r="B111" s="340" t="b">
        <f t="shared" si="4"/>
        <v>0</v>
      </c>
      <c r="E111" s="464">
        <v>19.5</v>
      </c>
      <c r="AB111" s="985"/>
      <c r="AC111" s="953" t="s">
        <v>196</v>
      </c>
      <c r="AD111" s="953"/>
      <c r="AE111" s="316"/>
    </row>
    <row r="112" spans="2:33" ht="18.95" hidden="1" customHeight="1">
      <c r="B112" s="340" t="b">
        <f t="shared" si="4"/>
        <v>0</v>
      </c>
      <c r="E112" s="464">
        <v>19.5</v>
      </c>
      <c r="AB112" s="985"/>
      <c r="AC112" s="953" t="s">
        <v>198</v>
      </c>
      <c r="AD112" s="953"/>
      <c r="AE112" s="623"/>
    </row>
    <row r="113" spans="2:33" ht="18.95" hidden="1" customHeight="1">
      <c r="B113" s="340" t="b">
        <f t="shared" si="4"/>
        <v>0</v>
      </c>
      <c r="E113" s="464">
        <v>19.5</v>
      </c>
      <c r="AB113" s="985"/>
      <c r="AC113" s="953" t="s">
        <v>217</v>
      </c>
      <c r="AD113" s="953"/>
      <c r="AE113" s="623"/>
    </row>
    <row r="114" spans="2:33" ht="18.95" hidden="1" customHeight="1">
      <c r="B114" s="340" t="b">
        <f t="shared" si="4"/>
        <v>0</v>
      </c>
      <c r="E114" s="464">
        <v>19.5</v>
      </c>
      <c r="AB114" s="986"/>
      <c r="AC114" s="953" t="s">
        <v>218</v>
      </c>
      <c r="AD114" s="953"/>
      <c r="AE114" s="623"/>
    </row>
    <row r="115" spans="2:33" ht="18.95" hidden="1" customHeight="1">
      <c r="B115" s="340" t="b">
        <f t="shared" si="4"/>
        <v>0</v>
      </c>
      <c r="E115" s="464">
        <v>19.5</v>
      </c>
      <c r="W115" s="353" t="b">
        <f>ROW(Y115)&gt;ROW(Y$115)</f>
        <v>0</v>
      </c>
      <c r="Y115" s="25" t="s">
        <v>171</v>
      </c>
      <c r="AA115" s="995" t="s">
        <v>172</v>
      </c>
      <c r="AB115" s="984" t="s">
        <v>191</v>
      </c>
      <c r="AC115" s="953" t="s">
        <v>192</v>
      </c>
      <c r="AD115" s="953"/>
      <c r="AE115" s="316"/>
    </row>
    <row r="116" spans="2:33" ht="18.95" hidden="1" customHeight="1">
      <c r="B116" s="340" t="b">
        <f t="shared" si="4"/>
        <v>0</v>
      </c>
      <c r="E116" s="464">
        <v>19.5</v>
      </c>
      <c r="W116" s="353" t="b" cm="1">
        <f t="array" ref="W116">W115</f>
        <v>0</v>
      </c>
      <c r="AA116" s="995"/>
      <c r="AB116" s="985"/>
      <c r="AC116" s="953" t="s">
        <v>194</v>
      </c>
      <c r="AD116" s="953"/>
      <c r="AE116" s="317"/>
    </row>
    <row r="117" spans="2:33" ht="18.95" hidden="1" customHeight="1">
      <c r="B117" s="340" t="b">
        <f t="shared" si="4"/>
        <v>0</v>
      </c>
      <c r="E117" s="464">
        <v>19.5</v>
      </c>
      <c r="W117" s="353" t="b" cm="1">
        <f t="array" ref="W117">W116</f>
        <v>0</v>
      </c>
      <c r="AA117" s="995"/>
      <c r="AB117" s="985"/>
      <c r="AC117" s="953" t="s">
        <v>196</v>
      </c>
      <c r="AD117" s="953"/>
      <c r="AE117" s="316"/>
    </row>
    <row r="118" spans="2:33" ht="18.95" hidden="1" customHeight="1">
      <c r="B118" s="340" t="b">
        <f t="shared" si="4"/>
        <v>0</v>
      </c>
      <c r="E118" s="464">
        <v>19.5</v>
      </c>
      <c r="W118" s="353" t="b" cm="1">
        <f t="array" ref="W118">W117</f>
        <v>0</v>
      </c>
      <c r="AA118" s="995"/>
      <c r="AB118" s="985"/>
      <c r="AC118" s="953" t="s">
        <v>198</v>
      </c>
      <c r="AD118" s="953"/>
      <c r="AE118" s="623"/>
    </row>
    <row r="119" spans="2:33" ht="18.95" hidden="1" customHeight="1">
      <c r="B119" s="340" t="b">
        <f t="shared" si="4"/>
        <v>0</v>
      </c>
      <c r="E119" s="464">
        <v>19.5</v>
      </c>
      <c r="W119" s="353" t="b" cm="1">
        <f t="array" ref="W119">W118</f>
        <v>0</v>
      </c>
      <c r="AA119" s="995"/>
      <c r="AB119" s="985"/>
      <c r="AC119" s="953" t="s">
        <v>217</v>
      </c>
      <c r="AD119" s="953"/>
      <c r="AE119" s="623"/>
    </row>
    <row r="120" spans="2:33" ht="18.95" hidden="1" customHeight="1">
      <c r="B120" s="340" t="b">
        <f t="shared" si="4"/>
        <v>0</v>
      </c>
      <c r="E120" s="464">
        <v>19.5</v>
      </c>
      <c r="W120" s="353" t="b" cm="1">
        <f t="array" ref="W120">W119</f>
        <v>0</v>
      </c>
      <c r="AA120" s="995"/>
      <c r="AB120" s="986"/>
      <c r="AC120" s="953" t="s">
        <v>218</v>
      </c>
      <c r="AD120" s="953"/>
      <c r="AE120" s="623"/>
    </row>
    <row r="121" spans="2:33" ht="14.65" hidden="1" customHeight="1">
      <c r="B121" s="340" t="b">
        <f t="shared" si="4"/>
        <v>0</v>
      </c>
      <c r="E121" s="464">
        <v>15</v>
      </c>
      <c r="F121" s="25" t="s">
        <v>214</v>
      </c>
      <c r="Y121" s="26" t="s">
        <v>174</v>
      </c>
      <c r="AB121" s="176"/>
      <c r="AC121" s="175"/>
      <c r="AD121" s="175"/>
      <c r="AE121" s="268" t="s">
        <v>175</v>
      </c>
    </row>
    <row r="122" spans="2:33" ht="24.95" customHeight="1">
      <c r="B122" s="340" t="b">
        <f>NOT(method_reg="Метод сравнения аналогов")</f>
        <v>1</v>
      </c>
      <c r="E122" s="464">
        <v>25.5</v>
      </c>
      <c r="F122" s="25" t="s">
        <v>219</v>
      </c>
      <c r="AB122" s="953"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953"/>
      <c r="AD122" s="953"/>
      <c r="AE122" s="290" t="s">
        <v>215</v>
      </c>
      <c r="AF122" s="359"/>
      <c r="AG122" s="25" t="s">
        <v>220</v>
      </c>
    </row>
    <row r="123" spans="2:33" ht="18.95" hidden="1" customHeight="1">
      <c r="B123" s="340" t="b">
        <f t="shared" ref="B123:B135" si="5">AND(NOT(method_reg="Метод сравнения аналогов"),HAS_DOC6="да")</f>
        <v>0</v>
      </c>
      <c r="E123" s="464">
        <v>19.5</v>
      </c>
      <c r="AB123" s="967" t="s">
        <v>191</v>
      </c>
      <c r="AC123" s="953" t="s">
        <v>192</v>
      </c>
      <c r="AD123" s="953"/>
      <c r="AE123" s="316"/>
    </row>
    <row r="124" spans="2:33" ht="18.95" hidden="1" customHeight="1">
      <c r="B124" s="340" t="b">
        <f t="shared" si="5"/>
        <v>0</v>
      </c>
      <c r="E124" s="464">
        <v>19.5</v>
      </c>
      <c r="AB124" s="967"/>
      <c r="AC124" s="953" t="s">
        <v>194</v>
      </c>
      <c r="AD124" s="953"/>
      <c r="AE124" s="317"/>
    </row>
    <row r="125" spans="2:33" ht="18.95" hidden="1" customHeight="1">
      <c r="B125" s="340" t="b">
        <f t="shared" si="5"/>
        <v>0</v>
      </c>
      <c r="E125" s="464">
        <v>19.5</v>
      </c>
      <c r="AB125" s="967"/>
      <c r="AC125" s="953" t="s">
        <v>196</v>
      </c>
      <c r="AD125" s="953"/>
      <c r="AE125" s="316"/>
    </row>
    <row r="126" spans="2:33" ht="18.95" hidden="1" customHeight="1">
      <c r="B126" s="340" t="b">
        <f t="shared" si="5"/>
        <v>0</v>
      </c>
      <c r="E126" s="464">
        <v>19.5</v>
      </c>
      <c r="AB126" s="967"/>
      <c r="AC126" s="953" t="s">
        <v>198</v>
      </c>
      <c r="AD126" s="953"/>
      <c r="AE126" s="623"/>
    </row>
    <row r="127" spans="2:33" ht="18.95" hidden="1" customHeight="1">
      <c r="B127" s="340" t="b">
        <f t="shared" si="5"/>
        <v>0</v>
      </c>
      <c r="E127" s="464">
        <v>19.5</v>
      </c>
      <c r="AB127" s="967"/>
      <c r="AC127" s="953" t="s">
        <v>217</v>
      </c>
      <c r="AD127" s="953"/>
      <c r="AE127" s="623"/>
    </row>
    <row r="128" spans="2:33" ht="18.95" hidden="1" customHeight="1">
      <c r="B128" s="340" t="b">
        <f t="shared" si="5"/>
        <v>0</v>
      </c>
      <c r="E128" s="464">
        <v>19.5</v>
      </c>
      <c r="AB128" s="967"/>
      <c r="AC128" s="953" t="s">
        <v>218</v>
      </c>
      <c r="AD128" s="953"/>
      <c r="AE128" s="623"/>
    </row>
    <row r="129" spans="2:33" ht="18.95" hidden="1" customHeight="1">
      <c r="B129" s="340" t="b">
        <f t="shared" si="5"/>
        <v>0</v>
      </c>
      <c r="E129" s="464">
        <v>19.5</v>
      </c>
      <c r="W129" s="353" t="b">
        <f>ROW(Y129)&gt;ROW(Y$129)</f>
        <v>0</v>
      </c>
      <c r="Y129" s="25" t="s">
        <v>171</v>
      </c>
      <c r="AA129" s="995" t="s">
        <v>172</v>
      </c>
      <c r="AB129" s="967" t="s">
        <v>191</v>
      </c>
      <c r="AC129" s="953" t="s">
        <v>192</v>
      </c>
      <c r="AD129" s="953"/>
      <c r="AE129" s="316"/>
    </row>
    <row r="130" spans="2:33" ht="18.95" hidden="1" customHeight="1">
      <c r="B130" s="340" t="b">
        <f t="shared" si="5"/>
        <v>0</v>
      </c>
      <c r="E130" s="464">
        <v>19.5</v>
      </c>
      <c r="W130" s="353" t="b" cm="1">
        <f t="array" ref="W130">W129</f>
        <v>0</v>
      </c>
      <c r="AA130" s="995"/>
      <c r="AB130" s="967"/>
      <c r="AC130" s="953" t="s">
        <v>194</v>
      </c>
      <c r="AD130" s="953"/>
      <c r="AE130" s="317"/>
    </row>
    <row r="131" spans="2:33" ht="18.95" hidden="1" customHeight="1">
      <c r="B131" s="340" t="b">
        <f t="shared" si="5"/>
        <v>0</v>
      </c>
      <c r="E131" s="464">
        <v>19.5</v>
      </c>
      <c r="W131" s="353" t="b" cm="1">
        <f t="array" ref="W131">W130</f>
        <v>0</v>
      </c>
      <c r="AA131" s="995"/>
      <c r="AB131" s="967"/>
      <c r="AC131" s="953" t="s">
        <v>196</v>
      </c>
      <c r="AD131" s="953"/>
      <c r="AE131" s="316"/>
    </row>
    <row r="132" spans="2:33" ht="18.95" hidden="1" customHeight="1">
      <c r="B132" s="340" t="b">
        <f t="shared" si="5"/>
        <v>0</v>
      </c>
      <c r="E132" s="464">
        <v>19.5</v>
      </c>
      <c r="W132" s="353" t="b" cm="1">
        <f t="array" ref="W132">W131</f>
        <v>0</v>
      </c>
      <c r="AA132" s="995"/>
      <c r="AB132" s="967"/>
      <c r="AC132" s="953" t="s">
        <v>198</v>
      </c>
      <c r="AD132" s="953"/>
      <c r="AE132" s="623"/>
    </row>
    <row r="133" spans="2:33" ht="18.95" hidden="1" customHeight="1">
      <c r="B133" s="340" t="b">
        <f t="shared" si="5"/>
        <v>0</v>
      </c>
      <c r="E133" s="464">
        <v>19.5</v>
      </c>
      <c r="W133" s="353" t="b" cm="1">
        <f t="array" ref="W133">W132</f>
        <v>0</v>
      </c>
      <c r="AA133" s="995"/>
      <c r="AB133" s="967"/>
      <c r="AC133" s="953" t="s">
        <v>217</v>
      </c>
      <c r="AD133" s="953"/>
      <c r="AE133" s="623"/>
    </row>
    <row r="134" spans="2:33" ht="18.95" hidden="1" customHeight="1">
      <c r="B134" s="340" t="b">
        <f t="shared" si="5"/>
        <v>0</v>
      </c>
      <c r="E134" s="464">
        <v>19.5</v>
      </c>
      <c r="W134" s="353" t="b" cm="1">
        <f t="array" ref="W134">W133</f>
        <v>0</v>
      </c>
      <c r="AA134" s="995"/>
      <c r="AB134" s="967"/>
      <c r="AC134" s="953" t="s">
        <v>218</v>
      </c>
      <c r="AD134" s="953"/>
      <c r="AE134" s="623"/>
    </row>
    <row r="135" spans="2:33" ht="14.65" hidden="1" customHeight="1">
      <c r="B135" s="340" t="b">
        <f t="shared" si="5"/>
        <v>0</v>
      </c>
      <c r="E135" s="464">
        <v>15</v>
      </c>
      <c r="F135" s="25" t="s">
        <v>219</v>
      </c>
      <c r="Y135" s="26" t="s">
        <v>174</v>
      </c>
      <c r="AB135" s="176"/>
      <c r="AC135" s="175"/>
      <c r="AD135" s="175"/>
      <c r="AE135" s="268" t="s">
        <v>175</v>
      </c>
    </row>
    <row r="136" spans="2:33" ht="24.95" customHeight="1">
      <c r="B136" s="340" t="b">
        <f>NOT(method_reg="Метод сравнения аналогов")</f>
        <v>1</v>
      </c>
      <c r="E136" s="464">
        <v>25.5</v>
      </c>
      <c r="F136" s="25" t="s">
        <v>221</v>
      </c>
      <c r="AB136" s="953"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953"/>
      <c r="AD136" s="953"/>
      <c r="AE136" s="290" t="s">
        <v>215</v>
      </c>
      <c r="AF136" s="359"/>
      <c r="AG136" s="25" t="s">
        <v>222</v>
      </c>
    </row>
    <row r="137" spans="2:33" ht="18.95" hidden="1" customHeight="1">
      <c r="B137" s="340" t="b">
        <f t="shared" ref="B137:B149" si="6">AND(NOT(method_reg="Метод сравнения аналогов"),HAS_DOC7="да")</f>
        <v>0</v>
      </c>
      <c r="E137" s="464">
        <v>19.5</v>
      </c>
      <c r="AB137" s="967" t="s">
        <v>191</v>
      </c>
      <c r="AC137" s="953" t="s">
        <v>192</v>
      </c>
      <c r="AD137" s="953"/>
      <c r="AE137" s="316"/>
    </row>
    <row r="138" spans="2:33" ht="18.95" hidden="1" customHeight="1">
      <c r="B138" s="340" t="b">
        <f t="shared" si="6"/>
        <v>0</v>
      </c>
      <c r="E138" s="464">
        <v>19.5</v>
      </c>
      <c r="AB138" s="967"/>
      <c r="AC138" s="953" t="s">
        <v>194</v>
      </c>
      <c r="AD138" s="953"/>
      <c r="AE138" s="316"/>
    </row>
    <row r="139" spans="2:33" ht="18.95" hidden="1" customHeight="1">
      <c r="B139" s="340" t="b">
        <f t="shared" si="6"/>
        <v>0</v>
      </c>
      <c r="E139" s="464">
        <v>19.5</v>
      </c>
      <c r="AB139" s="967"/>
      <c r="AC139" s="953" t="s">
        <v>196</v>
      </c>
      <c r="AD139" s="953"/>
      <c r="AE139" s="316"/>
    </row>
    <row r="140" spans="2:33" ht="18.95" hidden="1" customHeight="1">
      <c r="B140" s="340" t="b">
        <f t="shared" si="6"/>
        <v>0</v>
      </c>
      <c r="E140" s="464">
        <v>19.5</v>
      </c>
      <c r="AB140" s="967"/>
      <c r="AC140" s="953" t="s">
        <v>198</v>
      </c>
      <c r="AD140" s="953"/>
      <c r="AE140" s="623"/>
    </row>
    <row r="141" spans="2:33" ht="18.95" hidden="1" customHeight="1">
      <c r="B141" s="340" t="b">
        <f t="shared" si="6"/>
        <v>0</v>
      </c>
      <c r="E141" s="464">
        <v>19.5</v>
      </c>
      <c r="AB141" s="967"/>
      <c r="AC141" s="953" t="s">
        <v>223</v>
      </c>
      <c r="AD141" s="953"/>
      <c r="AE141" s="623"/>
    </row>
    <row r="142" spans="2:33" ht="18.95" hidden="1" customHeight="1">
      <c r="B142" s="340" t="b">
        <f t="shared" si="6"/>
        <v>0</v>
      </c>
      <c r="E142" s="464">
        <v>19.5</v>
      </c>
      <c r="AB142" s="967"/>
      <c r="AC142" s="953" t="s">
        <v>224</v>
      </c>
      <c r="AD142" s="953"/>
      <c r="AE142" s="623"/>
    </row>
    <row r="143" spans="2:33" ht="18.95" hidden="1" customHeight="1">
      <c r="B143" s="340" t="b">
        <f t="shared" si="6"/>
        <v>0</v>
      </c>
      <c r="E143" s="464">
        <v>19.5</v>
      </c>
      <c r="W143" s="353" t="b">
        <f>ROW(Y143)&gt;ROW(Y$143)</f>
        <v>0</v>
      </c>
      <c r="Y143" s="25" t="s">
        <v>171</v>
      </c>
      <c r="AA143" s="995" t="s">
        <v>172</v>
      </c>
      <c r="AB143" s="967" t="s">
        <v>191</v>
      </c>
      <c r="AC143" s="953" t="s">
        <v>192</v>
      </c>
      <c r="AD143" s="953"/>
      <c r="AE143" s="316"/>
    </row>
    <row r="144" spans="2:33" ht="18.95" hidden="1" customHeight="1">
      <c r="B144" s="340" t="b">
        <f t="shared" si="6"/>
        <v>0</v>
      </c>
      <c r="E144" s="464">
        <v>19.5</v>
      </c>
      <c r="W144" s="353" t="b" cm="1">
        <f t="array" ref="W144">W143</f>
        <v>0</v>
      </c>
      <c r="AA144" s="995"/>
      <c r="AB144" s="967"/>
      <c r="AC144" s="953" t="s">
        <v>194</v>
      </c>
      <c r="AD144" s="953"/>
      <c r="AE144" s="317"/>
    </row>
    <row r="145" spans="2:33" ht="18.95" hidden="1" customHeight="1">
      <c r="B145" s="340" t="b">
        <f t="shared" si="6"/>
        <v>0</v>
      </c>
      <c r="E145" s="464">
        <v>19.5</v>
      </c>
      <c r="W145" s="353" t="b" cm="1">
        <f t="array" ref="W145">W144</f>
        <v>0</v>
      </c>
      <c r="AA145" s="995"/>
      <c r="AB145" s="967"/>
      <c r="AC145" s="953" t="s">
        <v>196</v>
      </c>
      <c r="AD145" s="953"/>
      <c r="AE145" s="316"/>
    </row>
    <row r="146" spans="2:33" ht="18.95" hidden="1" customHeight="1">
      <c r="B146" s="340" t="b">
        <f t="shared" si="6"/>
        <v>0</v>
      </c>
      <c r="E146" s="464">
        <v>19.5</v>
      </c>
      <c r="W146" s="353" t="b" cm="1">
        <f t="array" ref="W146">W145</f>
        <v>0</v>
      </c>
      <c r="AA146" s="995"/>
      <c r="AB146" s="967"/>
      <c r="AC146" s="953" t="s">
        <v>198</v>
      </c>
      <c r="AD146" s="953"/>
      <c r="AE146" s="623"/>
    </row>
    <row r="147" spans="2:33" ht="18.95" hidden="1" customHeight="1">
      <c r="B147" s="340" t="b">
        <f t="shared" si="6"/>
        <v>0</v>
      </c>
      <c r="E147" s="464">
        <v>19.5</v>
      </c>
      <c r="W147" s="353" t="b" cm="1">
        <f t="array" ref="W147">W146</f>
        <v>0</v>
      </c>
      <c r="AA147" s="995"/>
      <c r="AB147" s="967"/>
      <c r="AC147" s="953" t="s">
        <v>223</v>
      </c>
      <c r="AD147" s="953"/>
      <c r="AE147" s="623"/>
    </row>
    <row r="148" spans="2:33" ht="18.95" hidden="1" customHeight="1">
      <c r="B148" s="340" t="b">
        <f t="shared" si="6"/>
        <v>0</v>
      </c>
      <c r="E148" s="464">
        <v>19.5</v>
      </c>
      <c r="W148" s="353" t="b" cm="1">
        <f t="array" ref="W148">W147</f>
        <v>0</v>
      </c>
      <c r="AA148" s="995"/>
      <c r="AB148" s="967"/>
      <c r="AC148" s="953" t="s">
        <v>224</v>
      </c>
      <c r="AD148" s="953"/>
      <c r="AE148" s="623"/>
    </row>
    <row r="149" spans="2:33" ht="14.65" hidden="1" customHeight="1">
      <c r="B149" s="340" t="b">
        <f t="shared" si="6"/>
        <v>0</v>
      </c>
      <c r="E149" s="464">
        <v>15</v>
      </c>
      <c r="F149" s="25" t="s">
        <v>221</v>
      </c>
      <c r="Y149" s="26" t="s">
        <v>174</v>
      </c>
      <c r="AB149" s="176"/>
      <c r="AC149" s="175"/>
      <c r="AD149" s="175"/>
      <c r="AE149" s="268" t="s">
        <v>175</v>
      </c>
    </row>
    <row r="150" spans="2:33" ht="18.95" customHeight="1">
      <c r="B150" s="25"/>
      <c r="E150" s="464">
        <v>19.5</v>
      </c>
      <c r="AB150" s="953" t="s">
        <v>225</v>
      </c>
      <c r="AC150" s="953"/>
      <c r="AD150" s="953"/>
      <c r="AE150" s="283"/>
      <c r="AG150" s="25" t="s">
        <v>226</v>
      </c>
    </row>
    <row r="151" spans="2:33" ht="24.95" customHeight="1">
      <c r="B151" s="25"/>
      <c r="E151" s="464">
        <v>25.5</v>
      </c>
      <c r="F151" s="25" t="s">
        <v>166</v>
      </c>
      <c r="AB151" s="953" t="s">
        <v>227</v>
      </c>
      <c r="AC151" s="953"/>
      <c r="AD151" s="953"/>
      <c r="AE151" s="290" t="s">
        <v>215</v>
      </c>
      <c r="AF151" s="359"/>
      <c r="AG151" s="282" t="s">
        <v>228</v>
      </c>
    </row>
    <row r="152" spans="2:33" ht="10.9" customHeight="1">
      <c r="B152" s="25"/>
      <c r="E152" s="464">
        <v>11.25</v>
      </c>
      <c r="AE152" s="59" t="s">
        <v>124</v>
      </c>
    </row>
    <row r="153" spans="2:33" ht="18.95" customHeight="1">
      <c r="B153" s="25"/>
      <c r="E153" s="464">
        <v>19.5</v>
      </c>
      <c r="AB153" s="953" t="s">
        <v>229</v>
      </c>
      <c r="AC153" s="953"/>
      <c r="AD153" s="16" t="s">
        <v>230</v>
      </c>
      <c r="AE153" s="283" t="s">
        <v>231</v>
      </c>
      <c r="AG153" s="25" t="s">
        <v>232</v>
      </c>
    </row>
    <row r="154" spans="2:33" ht="18.95" customHeight="1">
      <c r="B154" s="25"/>
      <c r="E154" s="464">
        <v>19.5</v>
      </c>
      <c r="AB154" s="953"/>
      <c r="AC154" s="953"/>
      <c r="AD154" s="16" t="s">
        <v>233</v>
      </c>
      <c r="AE154" s="283" t="s">
        <v>234</v>
      </c>
      <c r="AG154" s="25" t="s">
        <v>235</v>
      </c>
    </row>
    <row r="155" spans="2:33" ht="18.95" customHeight="1">
      <c r="B155" s="25"/>
      <c r="E155" s="464">
        <v>19.5</v>
      </c>
      <c r="AB155" s="953"/>
      <c r="AC155" s="953"/>
      <c r="AD155" s="16" t="s">
        <v>236</v>
      </c>
      <c r="AE155" s="283" t="s">
        <v>237</v>
      </c>
      <c r="AG155" s="25" t="s">
        <v>238</v>
      </c>
    </row>
    <row r="156" spans="2:33" ht="18.95" customHeight="1">
      <c r="B156" s="25"/>
      <c r="E156" s="464">
        <v>19.5</v>
      </c>
      <c r="AB156" s="953"/>
      <c r="AC156" s="953"/>
      <c r="AD156" s="16" t="s">
        <v>239</v>
      </c>
      <c r="AE156" s="283" t="s">
        <v>138</v>
      </c>
      <c r="AG156" s="25" t="s">
        <v>240</v>
      </c>
    </row>
    <row r="157" spans="2:33" ht="10.9" customHeight="1">
      <c r="B157" s="25"/>
      <c r="E157" s="464">
        <v>11.25</v>
      </c>
      <c r="AB157" s="117"/>
      <c r="AC157" s="117"/>
      <c r="AD157" s="117"/>
      <c r="AE157" s="208"/>
    </row>
    <row r="158" spans="2:33" ht="14.65" customHeight="1">
      <c r="B158" s="25"/>
      <c r="E158" s="464">
        <v>15</v>
      </c>
      <c r="AB158" s="968" t="s">
        <v>241</v>
      </c>
      <c r="AC158" s="968"/>
      <c r="AD158" s="968"/>
      <c r="AE158" s="968"/>
    </row>
    <row r="159" spans="2:33" ht="14.65" customHeight="1">
      <c r="B159" s="25"/>
      <c r="E159" s="464">
        <v>15</v>
      </c>
      <c r="AB159" s="969" t="s">
        <v>242</v>
      </c>
      <c r="AC159" s="969"/>
      <c r="AD159" s="969"/>
      <c r="AE159" s="969"/>
      <c r="AF159" s="360"/>
    </row>
    <row r="160" spans="2:33" ht="14.65" customHeight="1">
      <c r="B160" s="25"/>
      <c r="E160" s="464">
        <v>15</v>
      </c>
      <c r="AB160" s="954" t="s">
        <v>243</v>
      </c>
      <c r="AC160" s="954"/>
      <c r="AD160" s="954"/>
      <c r="AE160" s="954"/>
      <c r="AF160" s="360"/>
    </row>
    <row r="161" spans="2:38" ht="14.65" customHeight="1">
      <c r="B161" s="25"/>
      <c r="E161" s="464">
        <v>15</v>
      </c>
      <c r="AB161" s="954" t="s">
        <v>244</v>
      </c>
      <c r="AC161" s="954"/>
      <c r="AD161" s="954"/>
      <c r="AE161" s="954"/>
      <c r="AF161" s="360"/>
    </row>
    <row r="162" spans="2:38" ht="14.65" customHeight="1">
      <c r="B162" s="25"/>
      <c r="E162" s="464">
        <v>15</v>
      </c>
      <c r="AB162" s="954" t="s">
        <v>245</v>
      </c>
      <c r="AC162" s="954"/>
      <c r="AD162" s="954"/>
      <c r="AE162" s="954"/>
      <c r="AF162" s="360"/>
    </row>
    <row r="163" spans="2:38" ht="14.65" customHeight="1">
      <c r="B163" s="25"/>
      <c r="E163" s="464">
        <v>15</v>
      </c>
      <c r="AB163" s="954" t="s">
        <v>246</v>
      </c>
      <c r="AC163" s="954"/>
      <c r="AD163" s="954"/>
      <c r="AE163" s="954"/>
      <c r="AF163" s="360"/>
    </row>
    <row r="164" spans="2:38" ht="26.65" customHeight="1">
      <c r="B164" s="25"/>
      <c r="E164" s="464">
        <v>27.25</v>
      </c>
      <c r="AB164" s="954" t="s">
        <v>247</v>
      </c>
      <c r="AC164" s="954"/>
      <c r="AD164" s="954"/>
      <c r="AE164" s="954"/>
      <c r="AF164" s="361"/>
    </row>
    <row r="165" spans="2:38" ht="14.65" customHeight="1">
      <c r="B165" s="25"/>
      <c r="E165" s="464">
        <v>15</v>
      </c>
      <c r="AB165" s="954" t="s">
        <v>248</v>
      </c>
      <c r="AC165" s="954"/>
      <c r="AD165" s="954"/>
      <c r="AE165" s="954"/>
      <c r="AF165" s="360"/>
    </row>
    <row r="166" spans="2:38" ht="26.65" customHeight="1">
      <c r="B166" s="25"/>
      <c r="E166" s="464">
        <v>27.25</v>
      </c>
      <c r="AB166" s="954" t="s">
        <v>249</v>
      </c>
      <c r="AC166" s="954"/>
      <c r="AD166" s="954"/>
      <c r="AE166" s="954"/>
      <c r="AF166" s="361"/>
    </row>
    <row r="167" spans="2:38" ht="14.65" customHeight="1">
      <c r="B167" s="25"/>
      <c r="E167" s="464">
        <v>15</v>
      </c>
      <c r="AB167" s="954" t="s">
        <v>250</v>
      </c>
      <c r="AC167" s="954"/>
      <c r="AD167" s="954"/>
      <c r="AE167" s="954"/>
      <c r="AF167" s="360"/>
    </row>
    <row r="168" spans="2:38" ht="14.65" customHeight="1">
      <c r="B168" s="25"/>
      <c r="E168" s="464">
        <v>15</v>
      </c>
      <c r="AB168" s="954" t="s">
        <v>251</v>
      </c>
      <c r="AC168" s="954"/>
      <c r="AD168" s="954"/>
      <c r="AE168" s="954"/>
      <c r="AF168" s="360"/>
    </row>
    <row r="169" spans="2:38" ht="26.65" customHeight="1">
      <c r="B169" s="25"/>
      <c r="E169" s="464">
        <v>27.25</v>
      </c>
      <c r="AB169" s="954" t="s">
        <v>252</v>
      </c>
      <c r="AC169" s="954"/>
      <c r="AD169" s="954"/>
      <c r="AE169" s="954"/>
      <c r="AF169" s="361"/>
    </row>
    <row r="170" spans="2:38" ht="35.1" customHeight="1">
      <c r="B170" s="25"/>
      <c r="E170" s="464">
        <v>36</v>
      </c>
      <c r="AB170" s="954" t="s">
        <v>253</v>
      </c>
      <c r="AC170" s="954"/>
      <c r="AD170" s="954"/>
      <c r="AE170" s="954"/>
      <c r="AF170" s="361"/>
    </row>
    <row r="171" spans="2:38" ht="14.65" customHeight="1">
      <c r="B171" s="25"/>
      <c r="E171" s="464">
        <v>15</v>
      </c>
      <c r="W171" s="353" t="b">
        <f>NOT(method_reg="Метод сравнения аналогов")</f>
        <v>1</v>
      </c>
      <c r="AB171" s="954" t="s">
        <v>254</v>
      </c>
      <c r="AC171" s="954"/>
      <c r="AD171" s="954"/>
      <c r="AE171" s="954"/>
      <c r="AF171" s="360"/>
    </row>
    <row r="172" spans="2:38" ht="14.65" customHeight="1">
      <c r="B172" s="25"/>
      <c r="E172" s="464">
        <v>15</v>
      </c>
      <c r="AB172" s="955" t="str">
        <f>IF(W171,"14","13")&amp;". Иные нормативные правовые акты Российской Федерации."</f>
        <v>14. Иные нормативные правовые акты Российской Федерации.</v>
      </c>
      <c r="AC172" s="955"/>
      <c r="AD172" s="955"/>
      <c r="AE172" s="955"/>
      <c r="AF172" s="360"/>
    </row>
    <row r="173" spans="2:38" ht="11.65" customHeight="1">
      <c r="B173" s="25"/>
      <c r="E173" s="464">
        <v>12</v>
      </c>
      <c r="AD173" s="466" t="b">
        <f>COUNTIF(AE193:AE208,"Водоснабжение")&gt;0</f>
        <v>1</v>
      </c>
      <c r="AE173" s="466" t="b">
        <f>COUNTIF(AE193:AE208,"Водоотведение")&gt;0</f>
        <v>0</v>
      </c>
      <c r="AF173" s="467" t="b">
        <f>COUNTIF(AE193:AE208,"Транспортировка воды")&gt;0</f>
        <v>0</v>
      </c>
      <c r="AG173" s="468" t="b">
        <f>COUNTIF(AE193:AE208,"Транспортировка сточных вод")&gt;0</f>
        <v>0</v>
      </c>
    </row>
    <row r="174" spans="2:38" ht="18.95" customHeight="1">
      <c r="B174" s="25"/>
      <c r="E174" s="464">
        <v>19.5</v>
      </c>
      <c r="AB174" s="956" t="s">
        <v>255</v>
      </c>
      <c r="AC174" s="956"/>
      <c r="AD174" s="956"/>
      <c r="AE174" s="957"/>
      <c r="AF174" s="357"/>
      <c r="AG174" s="30"/>
      <c r="AH174" s="30"/>
      <c r="AI174" s="30"/>
      <c r="AJ174" s="30"/>
      <c r="AK174" s="30"/>
      <c r="AL174" s="26"/>
    </row>
    <row r="175" spans="2:38" ht="24.95" customHeight="1">
      <c r="B175" s="25"/>
      <c r="E175" s="464">
        <v>25.5</v>
      </c>
      <c r="AB175" s="952" t="s">
        <v>256</v>
      </c>
      <c r="AC175" s="952"/>
      <c r="AD175" s="952"/>
      <c r="AE175" s="424" t="s">
        <v>215</v>
      </c>
      <c r="AF175" s="359"/>
      <c r="AG175" s="30" t="s">
        <v>257</v>
      </c>
      <c r="AH175" s="30"/>
      <c r="AI175" s="30"/>
      <c r="AJ175" s="30"/>
      <c r="AK175" s="30"/>
      <c r="AL175" s="26"/>
    </row>
    <row r="176" spans="2:38" ht="24.6" customHeight="1">
      <c r="B176" s="340" t="b">
        <f>FIRST_TIME_REG="нет"</f>
        <v>1</v>
      </c>
      <c r="E176" s="464">
        <v>19.5</v>
      </c>
      <c r="AB176" s="948" t="s">
        <v>258</v>
      </c>
      <c r="AC176" s="949"/>
      <c r="AD176" s="425" t="s">
        <v>194</v>
      </c>
      <c r="AE176" s="284" t="s">
        <v>205</v>
      </c>
      <c r="AG176" s="30" t="s">
        <v>259</v>
      </c>
      <c r="AH176" s="30"/>
      <c r="AI176" s="30"/>
      <c r="AJ176" s="30"/>
      <c r="AK176" s="30"/>
      <c r="AL176" s="26"/>
    </row>
    <row r="177" spans="2:40" ht="19.899999999999999" customHeight="1">
      <c r="B177" s="340" t="b">
        <f>FIRST_TIME_REG="нет"</f>
        <v>1</v>
      </c>
      <c r="E177" s="464">
        <v>19.5</v>
      </c>
      <c r="AB177" s="948"/>
      <c r="AC177" s="949"/>
      <c r="AD177" s="292" t="s">
        <v>196</v>
      </c>
      <c r="AE177" s="283" t="s">
        <v>260</v>
      </c>
      <c r="AG177" s="25" t="s">
        <v>261</v>
      </c>
    </row>
    <row r="178" spans="2:40" ht="24" customHeight="1">
      <c r="B178" s="340" t="b">
        <f>FIRST_TIME_REG="нет"</f>
        <v>1</v>
      </c>
      <c r="E178" s="464">
        <v>19.5</v>
      </c>
      <c r="AB178" s="950"/>
      <c r="AC178" s="951"/>
      <c r="AD178" s="292" t="s">
        <v>198</v>
      </c>
      <c r="AE178" s="318">
        <v>45643</v>
      </c>
      <c r="AG178" s="25" t="s">
        <v>262</v>
      </c>
    </row>
    <row r="179" spans="2:40" ht="19.899999999999999" customHeight="1">
      <c r="B179" s="25"/>
      <c r="E179" s="464">
        <v>20.5</v>
      </c>
      <c r="F179" s="86" t="s">
        <v>263</v>
      </c>
      <c r="AB179" s="958" t="s">
        <v>264</v>
      </c>
      <c r="AC179" s="959"/>
      <c r="AD179" s="367"/>
      <c r="AE179" s="368"/>
      <c r="AF179" s="314"/>
      <c r="AG179" s="314"/>
      <c r="AN179" s="25" t="s">
        <v>265</v>
      </c>
    </row>
    <row r="180" spans="2:40" ht="18.2" hidden="1" customHeight="1">
      <c r="B180" s="25"/>
      <c r="E180" s="464">
        <v>18.75</v>
      </c>
      <c r="F180" s="25" cm="1">
        <f t="array" ref="F180">Z180</f>
        <v>0</v>
      </c>
      <c r="V180" s="165" cm="1">
        <f t="array" ref="V180">AE181</f>
        <v>0</v>
      </c>
      <c r="W180" s="353" t="b">
        <f>Z180&gt;0</f>
        <v>0</v>
      </c>
      <c r="X180" s="25" t="s">
        <v>266</v>
      </c>
      <c r="Z180" s="946">
        <v>0</v>
      </c>
      <c r="AA180" s="966"/>
      <c r="AB180" s="960"/>
      <c r="AC180" s="961"/>
      <c r="AD180" s="298" t="str">
        <f>"Тариф "&amp;Z180</f>
        <v>Тариф 0</v>
      </c>
      <c r="AE180" s="299"/>
      <c r="AF180" s="947" t="s">
        <v>172</v>
      </c>
      <c r="AG180" s="25" t="str">
        <f>AD180&amp;" ("&amp;AE180&amp;") - "&amp;AE182&amp;IF(AE186="",""," ("&amp;AE186&amp;")")</f>
        <v xml:space="preserve">Тариф 0 () - </v>
      </c>
      <c r="AH180" s="25" cm="1">
        <f t="array" ref="AH180">AE185</f>
        <v>0</v>
      </c>
      <c r="AI180" s="165" cm="1">
        <f t="array" ref="AI180">AE182</f>
        <v>0</v>
      </c>
      <c r="AJ180" s="25" cm="1">
        <f t="array" ref="AJ180">AE186</f>
        <v>0</v>
      </c>
      <c r="AK180" s="25" cm="1">
        <f t="array" ref="AK180">AE183</f>
        <v>0</v>
      </c>
      <c r="AL180" s="598" t="str" cm="1">
        <f t="array" ref="AL180">AE190</f>
        <v/>
      </c>
      <c r="AM180" s="374" cm="1">
        <f t="array" ref="AM180">AE191</f>
        <v>0</v>
      </c>
      <c r="AN180" s="25" t="b">
        <f>IF(ISERR(SEARCH("трансп",AI180)),FALSE,TRUE)</f>
        <v>0</v>
      </c>
    </row>
    <row r="181" spans="2:40" ht="16.149999999999999" hidden="1" customHeight="1">
      <c r="B181" s="25"/>
      <c r="E181" s="464">
        <v>16.5</v>
      </c>
      <c r="F181" s="25" cm="1">
        <f t="array" ref="F181">F180</f>
        <v>0</v>
      </c>
      <c r="V181" s="165"/>
      <c r="W181" s="353" t="b" cm="1">
        <f t="array" ref="W181">W180</f>
        <v>0</v>
      </c>
      <c r="Z181" s="946"/>
      <c r="AA181" s="966"/>
      <c r="AB181" s="960"/>
      <c r="AC181" s="961"/>
      <c r="AD181" s="294" t="s">
        <v>267</v>
      </c>
      <c r="AE181" s="291"/>
      <c r="AF181" s="947"/>
    </row>
    <row r="182" spans="2:40" ht="16.149999999999999" hidden="1" customHeight="1">
      <c r="B182" s="25"/>
      <c r="E182" s="464">
        <v>16.5</v>
      </c>
      <c r="F182" s="25" cm="1">
        <f t="array" ref="F182">F181</f>
        <v>0</v>
      </c>
      <c r="V182" s="165"/>
      <c r="W182" s="353" t="b" cm="1">
        <f t="array" ref="W182">W181</f>
        <v>0</v>
      </c>
      <c r="Z182" s="946"/>
      <c r="AA182" s="966"/>
      <c r="AB182" s="960"/>
      <c r="AC182" s="961"/>
      <c r="AD182" s="294" t="s">
        <v>268</v>
      </c>
      <c r="AE182" s="807"/>
      <c r="AF182" s="947"/>
    </row>
    <row r="183" spans="2:40" ht="16.149999999999999" hidden="1" customHeight="1">
      <c r="B183" s="25"/>
      <c r="E183" s="464">
        <v>16.5</v>
      </c>
      <c r="F183" s="25" cm="1">
        <f t="array" ref="F183">F182</f>
        <v>0</v>
      </c>
      <c r="V183" s="165"/>
      <c r="W183" s="353" t="b" cm="1">
        <f t="array" ref="W183">W182</f>
        <v>0</v>
      </c>
      <c r="Z183" s="946"/>
      <c r="AA183" s="966"/>
      <c r="AB183" s="960"/>
      <c r="AC183" s="961"/>
      <c r="AD183" s="294" t="s">
        <v>269</v>
      </c>
      <c r="AE183" s="807"/>
      <c r="AF183" s="947"/>
    </row>
    <row r="184" spans="2:40" ht="16.149999999999999" hidden="1" customHeight="1">
      <c r="B184" s="25"/>
      <c r="E184" s="464">
        <v>16.5</v>
      </c>
      <c r="F184" s="25" cm="1">
        <f t="array" ref="F184">F183</f>
        <v>0</v>
      </c>
      <c r="V184" s="165"/>
      <c r="W184" s="353" t="b" cm="1">
        <f t="array" ref="W184">W183</f>
        <v>0</v>
      </c>
      <c r="Z184" s="946"/>
      <c r="AA184" s="966"/>
      <c r="AB184" s="960"/>
      <c r="AC184" s="961"/>
      <c r="AD184" s="294" t="s">
        <v>270</v>
      </c>
      <c r="AE184" s="536"/>
      <c r="AF184" s="947"/>
    </row>
    <row r="185" spans="2:40" ht="16.149999999999999" hidden="1" customHeight="1">
      <c r="B185" s="25"/>
      <c r="E185" s="464">
        <v>16.5</v>
      </c>
      <c r="F185" s="25" cm="1">
        <f t="array" ref="F185">F184</f>
        <v>0</v>
      </c>
      <c r="V185" s="165"/>
      <c r="W185" s="353" t="b" cm="1">
        <f t="array" ref="W185">W184</f>
        <v>0</v>
      </c>
      <c r="Z185" s="946"/>
      <c r="AA185" s="966"/>
      <c r="AB185" s="960"/>
      <c r="AC185" s="961"/>
      <c r="AD185" s="16" t="str">
        <f>IF(AE180="Водоотведение","Вид сточных вод","Вид воды")</f>
        <v>Вид воды</v>
      </c>
      <c r="AE185" s="807"/>
      <c r="AF185" s="947"/>
    </row>
    <row r="186" spans="2:40" ht="16.149999999999999" hidden="1" customHeight="1">
      <c r="B186" s="25"/>
      <c r="E186" s="464">
        <v>16.5</v>
      </c>
      <c r="F186" s="25" cm="1">
        <f t="array" ref="F186">F185</f>
        <v>0</v>
      </c>
      <c r="V186" s="165"/>
      <c r="W186" s="353" t="b" cm="1">
        <f t="array" ref="W186">W185</f>
        <v>0</v>
      </c>
      <c r="Z186" s="946"/>
      <c r="AA186" s="966"/>
      <c r="AB186" s="960"/>
      <c r="AC186" s="961"/>
      <c r="AD186" s="16" t="s">
        <v>271</v>
      </c>
      <c r="AE186" s="536"/>
      <c r="AF186" s="947"/>
    </row>
    <row r="187" spans="2:40" ht="16.149999999999999" hidden="1" customHeight="1">
      <c r="B187" s="340" t="b">
        <f t="shared" ref="B187:B193" si="7">org_declaration="Заявление организации"</f>
        <v>1</v>
      </c>
      <c r="E187" s="464">
        <v>16.5</v>
      </c>
      <c r="F187" s="25" cm="1">
        <f t="array" ref="F187">F186</f>
        <v>0</v>
      </c>
      <c r="V187" s="165"/>
      <c r="W187" s="353" t="b" cm="1">
        <f t="array" ref="W187">W186</f>
        <v>0</v>
      </c>
      <c r="Z187" s="946"/>
      <c r="AA187" s="966"/>
      <c r="AB187" s="960"/>
      <c r="AC187" s="961"/>
      <c r="AD187" s="294" t="s">
        <v>272</v>
      </c>
      <c r="AE187" s="808"/>
      <c r="AF187" s="947"/>
    </row>
    <row r="188" spans="2:40" ht="16.149999999999999" hidden="1" customHeight="1">
      <c r="B188" s="340" t="b">
        <f t="shared" si="7"/>
        <v>1</v>
      </c>
      <c r="E188" s="464">
        <v>16.5</v>
      </c>
      <c r="F188" s="25" cm="1">
        <f t="array" ref="F188">F187</f>
        <v>0</v>
      </c>
      <c r="V188" s="165"/>
      <c r="W188" s="353" t="b" cm="1">
        <f t="array" ref="W188">W187</f>
        <v>0</v>
      </c>
      <c r="Z188" s="946"/>
      <c r="AA188" s="966"/>
      <c r="AB188" s="960"/>
      <c r="AC188" s="961"/>
      <c r="AD188" s="294" t="s">
        <v>273</v>
      </c>
      <c r="AE188" s="809"/>
      <c r="AF188" s="947"/>
    </row>
    <row r="189" spans="2:40" ht="16.149999999999999" hidden="1" customHeight="1">
      <c r="B189" s="340" t="b">
        <f t="shared" si="7"/>
        <v>1</v>
      </c>
      <c r="E189" s="464">
        <v>16.5</v>
      </c>
      <c r="F189" s="25" cm="1">
        <f t="array" ref="F189">F188</f>
        <v>0</v>
      </c>
      <c r="V189" s="165"/>
      <c r="W189" s="353" t="b" cm="1">
        <f t="array" ref="W189">W188</f>
        <v>0</v>
      </c>
      <c r="Z189" s="946"/>
      <c r="AA189" s="966"/>
      <c r="AB189" s="960"/>
      <c r="AC189" s="961"/>
      <c r="AD189" s="294" t="s">
        <v>274</v>
      </c>
      <c r="AE189" s="810"/>
      <c r="AF189" s="947"/>
    </row>
    <row r="190" spans="2:40" ht="16.149999999999999" hidden="1" customHeight="1">
      <c r="B190" s="340" t="b">
        <f t="shared" si="7"/>
        <v>1</v>
      </c>
      <c r="E190" s="464">
        <v>16.5</v>
      </c>
      <c r="F190" s="25" cm="1">
        <f t="array" ref="F190">F189</f>
        <v>0</v>
      </c>
      <c r="V190" s="165"/>
      <c r="W190" s="353" t="b" cm="1">
        <f t="array" ref="W190">W189</f>
        <v>0</v>
      </c>
      <c r="Z190" s="946"/>
      <c r="AA190" s="966"/>
      <c r="AB190" s="960"/>
      <c r="AC190" s="961"/>
      <c r="AD190" s="294" t="s">
        <v>275</v>
      </c>
      <c r="AE190" s="811" t="str">
        <f>IF(ISBLANK(AE192),"",DATE(AE192,7,1))</f>
        <v/>
      </c>
      <c r="AF190" s="947"/>
    </row>
    <row r="191" spans="2:40" ht="16.149999999999999" hidden="1" customHeight="1">
      <c r="B191" s="340" t="b">
        <f t="shared" si="7"/>
        <v>1</v>
      </c>
      <c r="E191" s="464">
        <v>16.5</v>
      </c>
      <c r="F191" s="25" cm="1">
        <f t="array" ref="F191">F190</f>
        <v>0</v>
      </c>
      <c r="V191" s="165"/>
      <c r="W191" s="353" t="b" cm="1">
        <f t="array" ref="W191">W190</f>
        <v>0</v>
      </c>
      <c r="Z191" s="946"/>
      <c r="AA191" s="966"/>
      <c r="AB191" s="960"/>
      <c r="AC191" s="961"/>
      <c r="AD191" s="294" t="s">
        <v>276</v>
      </c>
      <c r="AE191" s="779"/>
      <c r="AF191" s="947"/>
    </row>
    <row r="192" spans="2:40" ht="21.95" hidden="1" customHeight="1">
      <c r="B192" s="340" t="b">
        <f t="shared" si="7"/>
        <v>1</v>
      </c>
      <c r="E192" s="464">
        <v>22.5</v>
      </c>
      <c r="F192" s="25" cm="1">
        <f t="array" ref="F192">F191</f>
        <v>0</v>
      </c>
      <c r="V192" s="165"/>
      <c r="W192" s="353" t="b">
        <f>AND(W191,AE191&lt;&gt;"Метод экономически обоснованных расходов",AE191&lt;&gt;"Метод сравнения аналогов")</f>
        <v>0</v>
      </c>
      <c r="Z192" s="946"/>
      <c r="AA192" s="966"/>
      <c r="AB192" s="960"/>
      <c r="AC192" s="961"/>
      <c r="AD192" s="16"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779"/>
      <c r="AF192" s="947"/>
    </row>
    <row r="193" spans="2:40" ht="16.149999999999999" hidden="1" customHeight="1">
      <c r="B193" s="340" t="b">
        <f t="shared" si="7"/>
        <v>1</v>
      </c>
      <c r="E193" s="464">
        <v>16.5</v>
      </c>
      <c r="F193" s="25" cm="1">
        <f t="array" ref="F193">F192</f>
        <v>0</v>
      </c>
      <c r="V193" s="165"/>
      <c r="W193" s="353" t="b">
        <f>AND(W192,AE191&lt;&gt;"Метод экономически обоснованных расходов",AE191&lt;&gt;"Метод сравнения аналогов")</f>
        <v>0</v>
      </c>
      <c r="Z193" s="946"/>
      <c r="AA193" s="966"/>
      <c r="AB193" s="960"/>
      <c r="AC193" s="961"/>
      <c r="AD193" s="294" t="s">
        <v>106</v>
      </c>
      <c r="AE193" s="779"/>
      <c r="AF193" s="947"/>
    </row>
    <row r="194" spans="2:40" ht="24" customHeight="1">
      <c r="B194" s="25"/>
      <c r="E194" s="464">
        <v>18.75</v>
      </c>
      <c r="F194" s="25" t="str" cm="1">
        <f t="array" ref="F194">Z194</f>
        <v>1</v>
      </c>
      <c r="V194" s="165" t="str" cm="1">
        <f t="array" ref="V194">AE195</f>
        <v>ХВС.42.27977465.0005</v>
      </c>
      <c r="W194" s="353" t="b">
        <f>Z194&gt;0</f>
        <v>1</v>
      </c>
      <c r="Z194" s="946" t="s">
        <v>277</v>
      </c>
      <c r="AA194" s="966"/>
      <c r="AB194" s="962"/>
      <c r="AC194" s="963"/>
      <c r="AD194" s="298" t="str">
        <f>"Тариф "&amp;Z194</f>
        <v>Тариф 1</v>
      </c>
      <c r="AE194" s="299" t="s">
        <v>278</v>
      </c>
      <c r="AF194" s="947" t="s">
        <v>172</v>
      </c>
      <c r="AG194" s="25" t="str">
        <f>AD194&amp;" ("&amp;AE194&amp;") - "&amp;AE196&amp;IF(AE200="",""," ("&amp;AE200&amp;")")</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H194" s="25" t="str" cm="1">
        <f t="array" ref="AH194">AE199</f>
        <v>питьевая вода</v>
      </c>
      <c r="AI194" s="165" t="str" cm="1">
        <f t="array" ref="AI194">AE196</f>
        <v>тариф на питьевую воду</v>
      </c>
      <c r="AJ194" s="25" t="str" cm="1">
        <f t="array" ref="AJ194">AE200</f>
        <v>Оказание услуг на территории: город Белово (ОКТМО: 32707000) - г Белово; пгт Инской; пгт Новый Городок, мкр. Бабанаково, мкр. Чертинский, мкр. 8-е Марта; с Заречное</v>
      </c>
      <c r="AK194" s="25" t="str" cm="1">
        <f t="array" ref="AK194">AE197</f>
        <v>одноставочный</v>
      </c>
      <c r="AL194" s="598" cm="1">
        <f t="array" ref="AL194">AE204</f>
        <v>46204</v>
      </c>
      <c r="AM194" s="374" t="str" cm="1">
        <f t="array" ref="AM194">AE205</f>
        <v>Метод индексации</v>
      </c>
      <c r="AN194" s="25" t="b">
        <f>IF(ISERR(SEARCH("трансп",AI194)),FALSE,TRUE)</f>
        <v>0</v>
      </c>
    </row>
    <row r="195" spans="2:40" ht="22.5" customHeight="1">
      <c r="B195" s="25"/>
      <c r="E195" s="464">
        <v>16.5</v>
      </c>
      <c r="F195" s="25" t="str" cm="1">
        <f t="array" ref="F195">F194</f>
        <v>1</v>
      </c>
      <c r="V195" s="165"/>
      <c r="W195" s="353" t="b" cm="1">
        <f t="array" ref="W195">W194</f>
        <v>1</v>
      </c>
      <c r="Z195" s="946"/>
      <c r="AA195" s="966"/>
      <c r="AB195" s="962"/>
      <c r="AC195" s="963"/>
      <c r="AD195" s="294" t="s">
        <v>267</v>
      </c>
      <c r="AE195" s="291" t="s">
        <v>279</v>
      </c>
      <c r="AF195" s="947"/>
      <c r="AH195" s="25">
        <v>8358149983</v>
      </c>
    </row>
    <row r="196" spans="2:40" ht="26.1" customHeight="1">
      <c r="B196" s="25"/>
      <c r="E196" s="464">
        <v>16.5</v>
      </c>
      <c r="F196" s="25" t="str" cm="1">
        <f t="array" ref="F196">F195</f>
        <v>1</v>
      </c>
      <c r="V196" s="165"/>
      <c r="W196" s="353" t="b" cm="1">
        <f t="array" ref="W196">W195</f>
        <v>1</v>
      </c>
      <c r="Z196" s="946"/>
      <c r="AA196" s="966"/>
      <c r="AB196" s="962"/>
      <c r="AC196" s="963"/>
      <c r="AD196" s="294" t="s">
        <v>268</v>
      </c>
      <c r="AE196" s="293" t="s">
        <v>280</v>
      </c>
      <c r="AF196" s="947"/>
    </row>
    <row r="197" spans="2:40" ht="24.6" customHeight="1">
      <c r="B197" s="25"/>
      <c r="E197" s="464">
        <v>16.5</v>
      </c>
      <c r="F197" s="25" t="str" cm="1">
        <f t="array" ref="F197">F196</f>
        <v>1</v>
      </c>
      <c r="V197" s="165"/>
      <c r="W197" s="353" t="b" cm="1">
        <f t="array" ref="W197">W196</f>
        <v>1</v>
      </c>
      <c r="Z197" s="946"/>
      <c r="AA197" s="966"/>
      <c r="AB197" s="962"/>
      <c r="AC197" s="963"/>
      <c r="AD197" s="294" t="s">
        <v>269</v>
      </c>
      <c r="AE197" s="293" t="s">
        <v>281</v>
      </c>
      <c r="AF197" s="947"/>
    </row>
    <row r="198" spans="2:40" ht="33.6" customHeight="1">
      <c r="B198" s="25"/>
      <c r="E198" s="464">
        <v>16.5</v>
      </c>
      <c r="F198" s="25" t="str" cm="1">
        <f t="array" ref="F198">F197</f>
        <v>1</v>
      </c>
      <c r="V198" s="165"/>
      <c r="W198" s="353" t="b" cm="1">
        <f t="array" ref="W198">W197</f>
        <v>1</v>
      </c>
      <c r="Z198" s="946"/>
      <c r="AA198" s="966"/>
      <c r="AB198" s="962"/>
      <c r="AC198" s="963"/>
      <c r="AD198" s="294" t="s">
        <v>270</v>
      </c>
      <c r="AE198" s="536" t="s">
        <v>282</v>
      </c>
      <c r="AF198" s="947"/>
    </row>
    <row r="199" spans="2:40" ht="30" customHeight="1">
      <c r="B199" s="25"/>
      <c r="E199" s="464">
        <v>16.5</v>
      </c>
      <c r="F199" s="25" t="str" cm="1">
        <f t="array" ref="F199">F198</f>
        <v>1</v>
      </c>
      <c r="V199" s="165"/>
      <c r="W199" s="353" t="b" cm="1">
        <f t="array" ref="W199">W198</f>
        <v>1</v>
      </c>
      <c r="Z199" s="946"/>
      <c r="AA199" s="966"/>
      <c r="AB199" s="962"/>
      <c r="AC199" s="963"/>
      <c r="AD199" s="16" t="str">
        <f>IF(AE194="Водоотведение","Вид сточных вод","Вид воды")</f>
        <v>Вид воды</v>
      </c>
      <c r="AE199" s="293" t="s">
        <v>283</v>
      </c>
      <c r="AF199" s="947"/>
    </row>
    <row r="200" spans="2:40" ht="32.85" customHeight="1">
      <c r="B200" s="25"/>
      <c r="E200" s="464">
        <v>16.5</v>
      </c>
      <c r="F200" s="25" t="str" cm="1">
        <f t="array" ref="F200">F199</f>
        <v>1</v>
      </c>
      <c r="V200" s="165"/>
      <c r="W200" s="353" t="b" cm="1">
        <f t="array" ref="W200">W199</f>
        <v>1</v>
      </c>
      <c r="Z200" s="946"/>
      <c r="AA200" s="966"/>
      <c r="AB200" s="962"/>
      <c r="AC200" s="963"/>
      <c r="AD200" s="16" t="s">
        <v>271</v>
      </c>
      <c r="AE200" s="536" t="s">
        <v>284</v>
      </c>
      <c r="AF200" s="947"/>
    </row>
    <row r="201" spans="2:40" ht="21.95" customHeight="1">
      <c r="B201" s="340" t="b">
        <f t="shared" ref="B201:B207" si="8">org_declaration="Заявление организации"</f>
        <v>1</v>
      </c>
      <c r="E201" s="464">
        <v>16.5</v>
      </c>
      <c r="F201" s="25" t="str" cm="1">
        <f t="array" ref="F201">F200</f>
        <v>1</v>
      </c>
      <c r="V201" s="165"/>
      <c r="W201" s="353" t="b" cm="1">
        <f t="array" ref="W201">W200</f>
        <v>1</v>
      </c>
      <c r="Z201" s="946"/>
      <c r="AA201" s="966"/>
      <c r="AB201" s="962"/>
      <c r="AC201" s="963"/>
      <c r="AD201" s="294" t="s">
        <v>272</v>
      </c>
      <c r="AE201" s="289">
        <v>2823</v>
      </c>
      <c r="AF201" s="947"/>
    </row>
    <row r="202" spans="2:40" ht="21.2" customHeight="1">
      <c r="B202" s="340" t="b">
        <f t="shared" si="8"/>
        <v>1</v>
      </c>
      <c r="E202" s="464">
        <v>16.5</v>
      </c>
      <c r="F202" s="25" t="str" cm="1">
        <f t="array" ref="F202">F201</f>
        <v>1</v>
      </c>
      <c r="V202" s="165"/>
      <c r="W202" s="353" t="b" cm="1">
        <f t="array" ref="W202">W201</f>
        <v>1</v>
      </c>
      <c r="Z202" s="946"/>
      <c r="AA202" s="966"/>
      <c r="AB202" s="962"/>
      <c r="AC202" s="963"/>
      <c r="AD202" s="294" t="s">
        <v>273</v>
      </c>
      <c r="AE202" s="706">
        <v>45782</v>
      </c>
      <c r="AF202" s="947"/>
    </row>
    <row r="203" spans="2:40" ht="19.899999999999999" customHeight="1">
      <c r="B203" s="340" t="b">
        <f t="shared" si="8"/>
        <v>1</v>
      </c>
      <c r="E203" s="464">
        <v>16.5</v>
      </c>
      <c r="F203" s="25" t="str" cm="1">
        <f t="array" ref="F203">F202</f>
        <v>1</v>
      </c>
      <c r="V203" s="165"/>
      <c r="W203" s="353" t="b" cm="1">
        <f t="array" ref="W203">W202</f>
        <v>1</v>
      </c>
      <c r="Z203" s="946"/>
      <c r="AA203" s="966"/>
      <c r="AB203" s="962"/>
      <c r="AC203" s="963"/>
      <c r="AD203" s="294" t="s">
        <v>274</v>
      </c>
      <c r="AE203" s="300"/>
      <c r="AF203" s="947"/>
    </row>
    <row r="204" spans="2:40" ht="27.95" customHeight="1">
      <c r="B204" s="340" t="b">
        <f t="shared" si="8"/>
        <v>1</v>
      </c>
      <c r="E204" s="464">
        <v>16.5</v>
      </c>
      <c r="F204" s="25" t="str" cm="1">
        <f t="array" ref="F204">F203</f>
        <v>1</v>
      </c>
      <c r="V204" s="165"/>
      <c r="W204" s="353" t="b" cm="1">
        <f t="array" ref="W204">W203</f>
        <v>1</v>
      </c>
      <c r="Z204" s="946"/>
      <c r="AA204" s="966"/>
      <c r="AB204" s="962"/>
      <c r="AC204" s="963"/>
      <c r="AD204" s="294" t="s">
        <v>275</v>
      </c>
      <c r="AE204" s="624">
        <f>IF(ISBLANK(AE206),"",DATE(AE206,7,1))</f>
        <v>46204</v>
      </c>
      <c r="AF204" s="947"/>
    </row>
    <row r="205" spans="2:40" ht="27.95" customHeight="1">
      <c r="B205" s="340" t="b">
        <f t="shared" si="8"/>
        <v>1</v>
      </c>
      <c r="E205" s="464">
        <v>16.5</v>
      </c>
      <c r="F205" s="25" t="str" cm="1">
        <f t="array" ref="F205">F204</f>
        <v>1</v>
      </c>
      <c r="V205" s="165"/>
      <c r="W205" s="353" t="b" cm="1">
        <f t="array" ref="W205">W204</f>
        <v>1</v>
      </c>
      <c r="Z205" s="946"/>
      <c r="AA205" s="966"/>
      <c r="AB205" s="962"/>
      <c r="AC205" s="963"/>
      <c r="AD205" s="294" t="s">
        <v>276</v>
      </c>
      <c r="AE205" s="346" t="s">
        <v>103</v>
      </c>
      <c r="AF205" s="947"/>
    </row>
    <row r="206" spans="2:40" ht="32.85" customHeight="1">
      <c r="B206" s="340" t="b">
        <f t="shared" si="8"/>
        <v>1</v>
      </c>
      <c r="E206" s="464">
        <v>22.5</v>
      </c>
      <c r="F206" s="25" t="str" cm="1">
        <f t="array" ref="F206">F205</f>
        <v>1</v>
      </c>
      <c r="V206" s="165"/>
      <c r="W206" s="353" t="b">
        <f>AND(W205,AE205&lt;&gt;"Метод экономически обоснованных расходов",AE205&lt;&gt;"Метод сравнения аналогов")</f>
        <v>1</v>
      </c>
      <c r="Z206" s="946"/>
      <c r="AA206" s="966"/>
      <c r="AB206" s="962"/>
      <c r="AC206" s="963"/>
      <c r="AD206" s="16"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46" cm="1">
        <f t="array" ref="AE206">first_year</f>
        <v>2026</v>
      </c>
      <c r="AF206" s="947"/>
    </row>
    <row r="207" spans="2:40" ht="24" customHeight="1">
      <c r="B207" s="340" t="b">
        <f t="shared" si="8"/>
        <v>1</v>
      </c>
      <c r="E207" s="464">
        <v>16.5</v>
      </c>
      <c r="F207" s="25" t="str" cm="1">
        <f t="array" ref="F207">F206</f>
        <v>1</v>
      </c>
      <c r="V207" s="165"/>
      <c r="W207" s="353" t="b">
        <f>AND(W206,AE205&lt;&gt;"Метод экономически обоснованных расходов",AE205&lt;&gt;"Метод сравнения аналогов")</f>
        <v>1</v>
      </c>
      <c r="Z207" s="946"/>
      <c r="AA207" s="966"/>
      <c r="AB207" s="962"/>
      <c r="AC207" s="963"/>
      <c r="AD207" s="294" t="s">
        <v>106</v>
      </c>
      <c r="AE207" s="346" cm="1">
        <f t="array" ref="AE207">PERIOD_LENGTH</f>
        <v>3</v>
      </c>
      <c r="AF207" s="947"/>
    </row>
    <row r="208" spans="2:40" ht="18.95" customHeight="1">
      <c r="E208" s="464">
        <v>19.5</v>
      </c>
      <c r="F208" s="86" t="s">
        <v>285</v>
      </c>
      <c r="X208" s="208" t="s">
        <v>286</v>
      </c>
      <c r="Z208" s="25"/>
      <c r="AB208" s="964"/>
      <c r="AC208" s="965"/>
      <c r="AD208" s="369" t="s">
        <v>287</v>
      </c>
      <c r="AE208" s="174"/>
    </row>
    <row r="209" spans="1:53" ht="18.95" customHeight="1">
      <c r="E209" s="464">
        <v>19.5</v>
      </c>
      <c r="Z209" s="25"/>
      <c r="AB209" s="990" t="s">
        <v>288</v>
      </c>
      <c r="AC209" s="991"/>
      <c r="AD209" s="294" t="s">
        <v>289</v>
      </c>
      <c r="AE209" s="283" t="s">
        <v>290</v>
      </c>
      <c r="AG209" s="25" t="s">
        <v>291</v>
      </c>
    </row>
    <row r="210" spans="1:53" ht="18.95" customHeight="1">
      <c r="E210" s="464">
        <v>19.5</v>
      </c>
      <c r="Z210" s="25"/>
      <c r="AB210" s="990"/>
      <c r="AC210" s="991"/>
      <c r="AD210" s="294" t="s">
        <v>292</v>
      </c>
      <c r="AE210" s="283" t="s">
        <v>293</v>
      </c>
      <c r="AG210" s="25" t="s">
        <v>294</v>
      </c>
    </row>
    <row r="211" spans="1:53" ht="18.95" customHeight="1">
      <c r="E211" s="464">
        <v>19.5</v>
      </c>
      <c r="Z211" s="25"/>
      <c r="AB211" s="990"/>
      <c r="AC211" s="991"/>
      <c r="AD211" s="294" t="s">
        <v>295</v>
      </c>
      <c r="AE211" s="283" t="s">
        <v>296</v>
      </c>
      <c r="AG211" s="25" t="s">
        <v>297</v>
      </c>
    </row>
    <row r="212" spans="1:53" ht="18.95" customHeight="1">
      <c r="E212" s="464">
        <v>19.5</v>
      </c>
      <c r="Z212" s="25"/>
      <c r="AB212" s="990"/>
      <c r="AC212" s="991"/>
      <c r="AD212" s="294" t="s">
        <v>298</v>
      </c>
      <c r="AE212" s="283" t="s">
        <v>299</v>
      </c>
      <c r="AG212" s="25" t="s">
        <v>300</v>
      </c>
    </row>
    <row r="213" spans="1:53" ht="18.95" customHeight="1">
      <c r="E213" s="464">
        <v>19.5</v>
      </c>
      <c r="Z213" s="25"/>
      <c r="AB213" s="990"/>
      <c r="AC213" s="991"/>
      <c r="AD213" s="294" t="s">
        <v>301</v>
      </c>
      <c r="AE213" s="283" t="s">
        <v>302</v>
      </c>
      <c r="AG213" s="25" t="s">
        <v>303</v>
      </c>
    </row>
    <row r="214" spans="1:53" ht="18.95" hidden="1" customHeight="1">
      <c r="E214" s="464">
        <v>19.5</v>
      </c>
      <c r="W214" s="353" t="b">
        <f>ROW(X214)&gt;ROW(X$214)</f>
        <v>0</v>
      </c>
      <c r="X214" s="25" t="s">
        <v>266</v>
      </c>
      <c r="Z214" s="25"/>
      <c r="AB214" s="990"/>
      <c r="AC214" s="991"/>
      <c r="AD214" s="812"/>
      <c r="AE214" s="317"/>
      <c r="AF214" s="463" t="s">
        <v>172</v>
      </c>
    </row>
    <row r="215" spans="1:53" ht="14.65" customHeight="1">
      <c r="E215" s="464">
        <v>15</v>
      </c>
      <c r="X215" s="208" t="s">
        <v>174</v>
      </c>
      <c r="Z215" s="25"/>
      <c r="AB215" s="990"/>
      <c r="AC215" s="991"/>
      <c r="AD215" s="295" t="s">
        <v>304</v>
      </c>
      <c r="AE215" s="268"/>
    </row>
    <row r="216" spans="1:53" ht="20.45" customHeight="1">
      <c r="E216" s="464">
        <v>19.5</v>
      </c>
      <c r="Z216" s="25"/>
      <c r="AB216" s="990"/>
      <c r="AC216" s="991"/>
      <c r="AD216" s="294" t="s">
        <v>305</v>
      </c>
      <c r="AE216" s="296" t="str" cm="1">
        <f t="array" ref="AE216">method_reg</f>
        <v>Метод индексации</v>
      </c>
    </row>
    <row r="217" spans="1:53" ht="24" customHeight="1">
      <c r="E217" s="464">
        <v>19.5</v>
      </c>
      <c r="Z217" s="25"/>
      <c r="AB217" s="990"/>
      <c r="AC217" s="991"/>
      <c r="AD217" s="294" t="s">
        <v>104</v>
      </c>
      <c r="AE217" s="297" cm="1">
        <f t="array" ref="AE217">god</f>
        <v>2026</v>
      </c>
    </row>
    <row r="218" spans="1:53" ht="19.899999999999999" customHeight="1">
      <c r="B218" s="340" t="b">
        <f>AND(NOT(method_reg="Метод экономически обоснованных расходов"),NOT(method_reg="Метод сравнения аналогов"))</f>
        <v>1</v>
      </c>
      <c r="E218" s="464">
        <v>19.5</v>
      </c>
      <c r="Z218" s="25"/>
      <c r="AB218" s="990"/>
      <c r="AC218" s="991"/>
      <c r="AD218" s="294" t="s">
        <v>105</v>
      </c>
      <c r="AE218" s="297" cm="1">
        <f t="array" ref="AE218">first_year</f>
        <v>2026</v>
      </c>
    </row>
    <row r="219" spans="1:53" ht="22.5" customHeight="1">
      <c r="B219" s="340" t="b">
        <f>AND(NOT(method_reg="Метод экономически обоснованных расходов"),NOT(method_reg="Метод сравнения аналогов"))</f>
        <v>1</v>
      </c>
      <c r="E219" s="464">
        <v>19.5</v>
      </c>
      <c r="Z219" s="25"/>
      <c r="AB219" s="992"/>
      <c r="AC219" s="993"/>
      <c r="AD219" s="294" t="s">
        <v>106</v>
      </c>
      <c r="AE219" s="297" cm="1">
        <f t="array" ref="AE219">PERIOD_LENGTH</f>
        <v>3</v>
      </c>
    </row>
    <row r="220" spans="1:53" ht="37.15" customHeight="1">
      <c r="E220" s="464">
        <v>38</v>
      </c>
      <c r="Z220" s="25"/>
      <c r="AB220" s="987" t="s">
        <v>306</v>
      </c>
      <c r="AC220" s="994"/>
      <c r="AD220" s="988"/>
      <c r="AE220" s="290" t="s">
        <v>150</v>
      </c>
      <c r="AF220" s="359"/>
    </row>
    <row r="221" spans="1:53" ht="10.9" customHeight="1">
      <c r="E221" s="464">
        <v>11.25</v>
      </c>
      <c r="Z221" s="25"/>
      <c r="AF221" s="22"/>
    </row>
    <row r="222" spans="1:53" ht="18.95" hidden="1" customHeight="1">
      <c r="A222"/>
      <c r="B222" s="340" t="b">
        <f>AND(NOT(god=first_year),(method_reg="Метод индексации"))</f>
        <v>0</v>
      </c>
      <c r="C222"/>
      <c r="D222"/>
      <c r="E222" s="465">
        <v>19.5</v>
      </c>
      <c r="F222"/>
      <c r="G222"/>
      <c r="H222"/>
      <c r="I222"/>
      <c r="J222"/>
      <c r="K222"/>
      <c r="L222"/>
      <c r="M222"/>
      <c r="N222"/>
      <c r="O222"/>
      <c r="P222"/>
      <c r="Q222"/>
      <c r="R222"/>
      <c r="S222"/>
      <c r="T222"/>
      <c r="U222"/>
      <c r="V222"/>
      <c r="W222"/>
      <c r="X222" s="305"/>
      <c r="Y222"/>
      <c r="Z222" s="25"/>
      <c r="AA222"/>
      <c r="AB222" s="987" t="s">
        <v>307</v>
      </c>
      <c r="AC222" s="994"/>
      <c r="AD222" s="988"/>
      <c r="AE222" s="806"/>
      <c r="AF222" s="463"/>
      <c r="AG222" t="s">
        <v>308</v>
      </c>
      <c r="AH222"/>
      <c r="AI222"/>
      <c r="AJ222" s="314"/>
      <c r="AK222" s="314"/>
      <c r="AL222" s="314"/>
      <c r="AM222" s="314"/>
      <c r="AN222" s="314"/>
      <c r="AO222"/>
      <c r="AP222"/>
      <c r="AQ222"/>
      <c r="AR222"/>
      <c r="AS222"/>
      <c r="AT222"/>
      <c r="AU222"/>
      <c r="AV222"/>
      <c r="AW222"/>
      <c r="AX222"/>
      <c r="AY222"/>
      <c r="AZ222"/>
      <c r="BA222"/>
    </row>
    <row r="223" spans="1:53" ht="11.25" customHeight="1">
      <c r="Z223" s="25"/>
      <c r="AF223" s="22"/>
    </row>
  </sheetData>
  <sheetProtection formatColumns="0" formatRows="0" insertRows="0" deleteColumns="0" deleteRows="0" sort="0" autoFilter="0"/>
  <mergeCells count="164">
    <mergeCell ref="Z194:Z207"/>
    <mergeCell ref="AF194:AF207"/>
    <mergeCell ref="AA194:AA20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s>
  <dataValidations count="26">
    <dataValidation type="list" allowBlank="1" showInputMessage="1" showErrorMessage="1" errorTitle="Внимание" error="Пожалуйста, выберите значение из списка!" sqref="AE57" xr:uid="{00000000-0002-0000-0400-000000000000}">
      <formula1>NALOG_SYSTEM_LIST</formula1>
    </dataValidation>
    <dataValidation type="textLength" operator="lessThanOrEqual" allowBlank="1" showInputMessage="1" showErrorMessage="1" errorTitle="Ошибка" error="Допускается ввод не более 900 символов!" sqref="AE65:AE67" xr:uid="{00000000-0002-0000-0400-000001000000}">
      <formula1>900</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02000000}">
      <formula1>COLDVSNA_VTOV</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03000000}">
      <formula1>COLDVSNA_VTARIFF</formula1>
    </dataValidation>
    <dataValidation type="list" allowBlank="1" showInputMessage="1" showErrorMessage="1" sqref="AB179" xr:uid="{00000000-0002-0000-0400-000004000000}">
      <formula1>"Заявление организации,Заявление организации (отсутствует)"</formula1>
    </dataValidation>
    <dataValidation type="list" allowBlank="1" showInputMessage="1" showErrorMessage="1" sqref="AE222" xr:uid="{00000000-0002-0000-0400-000005000000}">
      <formula1>YES_NO</formula1>
    </dataValidation>
    <dataValidation type="list" allowBlank="1" showInputMessage="1" showErrorMessage="1" sqref="AE23" xr:uid="{00000000-0002-0000-0400-000006000000}">
      <formula1>metod_list</formula1>
    </dataValidation>
    <dataValidation type="list" allowBlank="1" showInputMessage="1" showErrorMessage="1" errorTitle="Ошибка" error="Выберите значение из списка" prompt="Выберите значение из списка" sqref="AE183 AE197" xr:uid="{00000000-0002-0000-0400-000007000000}">
      <formula1>tariff_type_list</formula1>
    </dataValidation>
    <dataValidation type="list" allowBlank="1" showInputMessage="1" showErrorMessage="1" errorTitle="Внимание" error="Пожалуйста, выберите значение из списка!" sqref="AE191 AE205" xr:uid="{00000000-0002-0000-0400-000008000000}">
      <formula1>TARIFF_CALC_METHOD</formula1>
    </dataValidation>
    <dataValidation type="list" allowBlank="1" showInputMessage="1" showErrorMessage="1" errorTitle="Ошибка" error="Выберите значение из списка" prompt="Выберите значение из списка" sqref="AE193 AE207" xr:uid="{00000000-0002-0000-0400-000009000000}">
      <formula1>period_list</formula1>
    </dataValidation>
    <dataValidation type="list" allowBlank="1" showInputMessage="1" showErrorMessage="1" errorTitle="Ошибка" error="Выберите значение из списка" prompt="Выберите значение из списка" sqref="AE192 AE206" xr:uid="{00000000-0002-0000-0400-00000A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B000000}">
      <formula1>okopf_list</formula1>
    </dataValidation>
    <dataValidation type="list" showInputMessage="1" showErrorMessage="1" errorTitle="Внимание" error="Пожалуйста, выберите значение из списка!" sqref="AE25" xr:uid="{00000000-0002-0000-0400-00000C000000}">
      <formula1>YEAR_LIST</formula1>
    </dataValidation>
    <dataValidation type="list" showDropDown="1" sqref="Z40" xr:uid="{00000000-0002-0000-0400-00000D000000}">
      <formula1>subsidiary_list</formula1>
    </dataValidation>
    <dataValidation type="list" showDropDown="1" showInputMessage="1" showErrorMessage="1" sqref="Z94 Z77 Z61:Z62 Z82 Z89 Z101 Z106" xr:uid="{00000000-0002-0000-0400-00000E000000}">
      <formula1>"FAS_URL"</formula1>
    </dataValidation>
    <dataValidation type="list" showInputMessage="1" showErrorMessage="1" errorTitle="Внимание" error="Пожалуйста, выберите значение из списка!" sqref="AE26" xr:uid="{00000000-0002-0000-0400-00000F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10000000}">
      <formula1>DOCUMENT_TYPES</formula1>
    </dataValidation>
    <dataValidation type="date" operator="notEqual" allowBlank="1" showInputMessage="1" showErrorMessage="1" sqref="Z81 Z88 Z100 Z126:Z134 Z140:Z148 Z76 Z93 Z105 Z112:Z120 Z178:Z179 Z208" xr:uid="{00000000-0002-0000-0400-000011000000}">
      <formula1>1</formula1>
    </dataValidation>
    <dataValidation type="list" showDropDown="1" showInputMessage="1" showErrorMessage="1" sqref="Z55" xr:uid="{00000000-0002-0000-0400-000012000000}">
      <formula1>OWNERSHIP_TYPE</formula1>
    </dataValidation>
    <dataValidation type="list" showDropDown="1" sqref="Z53 Z220 Z71:Z72 Z84 Z96 Z108 Z122 Z136 Z151 Z56:Z60" xr:uid="{00000000-0002-0000-0400-000013000000}">
      <formula1>YES_NO</formula1>
    </dataValidation>
    <dataValidation type="list" showDropDown="1" sqref="Z45" xr:uid="{00000000-0002-0000-0400-000014000000}">
      <formula1>okopf_list</formula1>
    </dataValidation>
    <dataValidation type="list" showDropDown="1" sqref="Z26" xr:uid="{00000000-0002-0000-0400-000015000000}">
      <formula1>period_list</formula1>
    </dataValidation>
    <dataValidation type="list" showDropDown="1" sqref="Z24" xr:uid="{00000000-0002-0000-0400-000016000000}">
      <formula1>year_list2</formula1>
    </dataValidation>
    <dataValidation type="list" showInputMessage="1" showErrorMessage="1" errorTitle="Внимание" error="Пожалуйста, выберите значение из списка" sqref="AE54" xr:uid="{00000000-0002-0000-0400-000017000000}">
      <formula1>STATE_SHARE</formula1>
    </dataValidation>
    <dataValidation type="list" showInputMessage="1" showErrorMessage="1" errorTitle="Внимание" error="Пожалуйста, выберите значение из списка" sqref="AE55" xr:uid="{00000000-0002-0000-0400-000018000000}">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AE56 AE58:AE60" xr:uid="{00000000-0002-0000-0400-000019000000}">
      <formula1>YES_NO</formula1>
    </dataValidation>
  </dataValidations>
  <hyperlinks>
    <hyperlink ref="AE49" r:id="rId1" xr:uid="{0D62B0A8-4B0F-073D-5E18-1B78C8CE2858}"/>
    <hyperlink ref="AE61" r:id="rId2" xr:uid="{36901C95-CAE1-1058-B70D-62299BDD2538}"/>
    <hyperlink ref="AE89" r:id="rId3" xr:uid="{B720A688-4F45-05E8-DB47-DBF2F6356E9C}"/>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A000000}">
          <x14:formula1>
            <xm:f>TEHSHEET!$Q$15:$Q$16</xm:f>
          </x14:formula1>
          <xm:sqref>AE24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E4F8-02E8-D891-4819-6D7042C88EFA}">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28BDA-C2F8-5E8F-87BE-AE2E7DE52F98}">
  <sheetPr>
    <tabColor rgb="FF000001"/>
  </sheetPr>
  <dimension ref="A1"/>
  <sheetViews>
    <sheetView workbookViewId="0"/>
  </sheetViews>
  <sheetFormatPr defaultColWidth="8.85546875" defaultRowHeight="15" customHeight="1"/>
  <sheetData/>
  <sheetProtection insertRows="0" deleteColumns="0" deleteRows="0" sort="0" autoFilter="0"/>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0C908-4B38-2CBA-6FDA-8055FADA2008}">
  <sheetPr>
    <tabColor theme="3" tint="0.59999389629810485"/>
    <outlinePr summaryBelow="0" summaryRight="0"/>
    <pageSetUpPr fitToPage="1"/>
  </sheetPr>
  <dimension ref="A1:AR34"/>
  <sheetViews>
    <sheetView showGridLines="0" workbookViewId="0">
      <pane xSplit="31" ySplit="24" topLeftCell="AF29" activePane="bottomRight" state="frozen"/>
      <selection pane="topRight" activeCell="AF1" sqref="AF1"/>
      <selection pane="bottomLeft" activeCell="A25" sqref="A25"/>
      <selection pane="bottomRight" activeCell="AG32" sqref="AG32"/>
    </sheetView>
  </sheetViews>
  <sheetFormatPr defaultColWidth="9.140625" defaultRowHeight="11.25" customHeight="1"/>
  <cols>
    <col min="1" max="1" width="3.5703125" style="64" hidden="1" customWidth="1"/>
    <col min="2" max="2" width="8.5703125" style="325" hidden="1" customWidth="1"/>
    <col min="3" max="4" width="3.5703125" style="64" hidden="1" customWidth="1"/>
    <col min="5" max="5" width="3.5703125" style="581" hidden="1" customWidth="1"/>
    <col min="6" max="16" width="3.5703125" style="64" hidden="1" customWidth="1"/>
    <col min="17" max="17" width="3.5703125" style="632" hidden="1" customWidth="1"/>
    <col min="18" max="19" width="3.5703125" style="64" hidden="1" customWidth="1"/>
    <col min="20" max="20" width="3.5703125" style="314"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54.42578125" style="20" customWidth="1"/>
    <col min="34" max="34" width="9.140625" style="20"/>
    <col min="35" max="41" width="9.140625" style="64" hidden="1"/>
    <col min="42" max="44" width="9.140625" style="20" hidden="1"/>
  </cols>
  <sheetData>
    <row r="1" spans="1:41" ht="11.25" hidden="1" customHeight="1">
      <c r="E1" s="64"/>
      <c r="F1" s="64" t="s">
        <v>309</v>
      </c>
      <c r="G1" s="64" t="s">
        <v>310</v>
      </c>
      <c r="U1" s="353" t="s">
        <v>92</v>
      </c>
      <c r="V1" s="351" t="s">
        <v>97</v>
      </c>
      <c r="W1" s="351" t="s">
        <v>93</v>
      </c>
      <c r="X1" s="351" t="s">
        <v>94</v>
      </c>
      <c r="Y1" s="351" t="s">
        <v>95</v>
      </c>
      <c r="Z1" s="351" t="s">
        <v>99</v>
      </c>
      <c r="AA1" s="353" t="s">
        <v>96</v>
      </c>
      <c r="AB1" s="352" t="s">
        <v>311</v>
      </c>
      <c r="AC1" s="352" t="s">
        <v>98</v>
      </c>
      <c r="AI1" s="64" t="s">
        <v>312</v>
      </c>
      <c r="AJ1" s="64" t="s">
        <v>313</v>
      </c>
      <c r="AK1" s="64" t="s">
        <v>314</v>
      </c>
      <c r="AL1" s="64" t="s">
        <v>315</v>
      </c>
      <c r="AM1" s="64" t="s">
        <v>316</v>
      </c>
      <c r="AN1" s="64" t="s">
        <v>317</v>
      </c>
      <c r="AO1" s="64" t="s">
        <v>318</v>
      </c>
    </row>
    <row r="2" spans="1:41" s="335" customFormat="1" ht="11.25" hidden="1" customHeight="1">
      <c r="A2" s="325"/>
      <c r="B2" s="633" t="s">
        <v>18</v>
      </c>
      <c r="C2" s="325"/>
      <c r="D2" s="325"/>
      <c r="E2" s="325"/>
      <c r="F2" s="325"/>
      <c r="G2" s="325"/>
      <c r="H2" s="325"/>
      <c r="I2" s="325"/>
      <c r="J2" s="325"/>
      <c r="K2" s="325"/>
      <c r="L2" s="325"/>
      <c r="M2" s="325"/>
      <c r="N2" s="325"/>
      <c r="O2" s="325"/>
      <c r="P2" s="325"/>
      <c r="Q2" s="325"/>
      <c r="R2" s="325"/>
      <c r="S2" s="325"/>
      <c r="T2" s="477"/>
      <c r="U2" s="208"/>
      <c r="V2" s="325"/>
      <c r="W2" s="325"/>
      <c r="X2" s="325"/>
      <c r="Y2" s="325"/>
      <c r="Z2" s="325"/>
      <c r="AA2" s="325"/>
      <c r="AI2" s="325"/>
      <c r="AJ2" s="325"/>
      <c r="AK2" s="325"/>
      <c r="AL2" s="325"/>
      <c r="AM2" s="325"/>
      <c r="AN2" s="325"/>
      <c r="AO2" s="325"/>
    </row>
    <row r="3" spans="1:41" ht="11.25" hidden="1" customHeight="1">
      <c r="E3" s="64"/>
    </row>
    <row r="4" spans="1:41" ht="11.25" hidden="1" customHeight="1">
      <c r="E4" s="64"/>
    </row>
    <row r="5" spans="1:41" s="455" customFormat="1" ht="11.25" hidden="1" customHeight="1">
      <c r="A5" s="64"/>
      <c r="B5" s="325"/>
      <c r="C5" s="64"/>
      <c r="D5" s="64"/>
      <c r="E5" s="634" t="s">
        <v>19</v>
      </c>
      <c r="F5" s="581"/>
      <c r="G5" s="581"/>
      <c r="H5" s="581"/>
      <c r="I5" s="581"/>
      <c r="J5" s="581"/>
      <c r="K5" s="581"/>
      <c r="L5" s="581"/>
      <c r="M5" s="581"/>
      <c r="N5" s="581"/>
      <c r="O5" s="581"/>
      <c r="P5" s="581"/>
      <c r="Q5" s="635"/>
      <c r="R5" s="581"/>
      <c r="S5" s="581"/>
      <c r="T5" s="478"/>
      <c r="U5" s="581"/>
      <c r="V5" s="581"/>
      <c r="W5" s="581"/>
      <c r="X5" s="581"/>
      <c r="Y5" s="581"/>
      <c r="Z5" s="581"/>
      <c r="AA5" s="449" t="s">
        <v>319</v>
      </c>
      <c r="AB5" s="464">
        <v>11</v>
      </c>
      <c r="AC5" s="464">
        <v>45</v>
      </c>
      <c r="AD5" s="464">
        <v>45</v>
      </c>
      <c r="AE5" s="464">
        <v>14</v>
      </c>
      <c r="AF5" s="464">
        <v>35</v>
      </c>
      <c r="AG5" s="464">
        <v>35</v>
      </c>
      <c r="AH5" s="455" t="s">
        <v>319</v>
      </c>
      <c r="AI5" s="581"/>
      <c r="AJ5" s="581"/>
      <c r="AK5" s="581"/>
      <c r="AL5" s="581"/>
      <c r="AM5" s="581"/>
      <c r="AN5" s="581"/>
      <c r="AO5" s="581"/>
    </row>
    <row r="6" spans="1:41" ht="11.25" hidden="1" customHeight="1">
      <c r="A6" s="64" t="s">
        <v>320</v>
      </c>
      <c r="AC6" s="20" t="s">
        <v>321</v>
      </c>
      <c r="AD6" s="20" t="s">
        <v>322</v>
      </c>
      <c r="AE6" s="20" t="s">
        <v>323</v>
      </c>
      <c r="AF6" s="33" t="s">
        <v>324</v>
      </c>
      <c r="AG6" s="20" t="s">
        <v>325</v>
      </c>
    </row>
    <row r="7" spans="1:41" s="64" customFormat="1" ht="11.25" hidden="1" customHeight="1">
      <c r="B7" s="325"/>
      <c r="E7" s="581"/>
      <c r="Q7" s="632"/>
      <c r="T7" s="314"/>
      <c r="AE7" s="117"/>
      <c r="AF7" s="117"/>
    </row>
    <row r="8" spans="1:41" s="64" customFormat="1" ht="11.25" hidden="1" customHeight="1">
      <c r="B8" s="325"/>
      <c r="E8" s="581"/>
      <c r="Q8" s="632"/>
      <c r="T8" s="314"/>
      <c r="AE8" s="117"/>
      <c r="AF8" s="117"/>
    </row>
    <row r="9" spans="1:41" s="64" customFormat="1" ht="11.25" hidden="1" customHeight="1">
      <c r="A9" s="64" t="s">
        <v>326</v>
      </c>
      <c r="B9" s="325"/>
      <c r="E9" s="581"/>
      <c r="Q9" s="632"/>
      <c r="T9" s="314"/>
      <c r="AE9" s="117"/>
      <c r="AF9" s="117" t="str" cm="1">
        <f t="array" ref="AF9">AF24</f>
        <v xml:space="preserve">Тип муниципального образования </v>
      </c>
      <c r="AG9" s="117" t="str" cm="1">
        <f t="array" ref="AG9">AG24</f>
        <v>Дополнительные сведения</v>
      </c>
    </row>
    <row r="10" spans="1:41" s="64" customFormat="1" ht="11.25" hidden="1" customHeight="1">
      <c r="A10" s="64" t="s">
        <v>327</v>
      </c>
      <c r="B10" s="325"/>
      <c r="E10" s="581"/>
      <c r="Q10" s="632"/>
      <c r="T10" s="314"/>
      <c r="AC10" s="64" t="s">
        <v>314</v>
      </c>
      <c r="AD10" s="64" t="s">
        <v>315</v>
      </c>
      <c r="AE10" s="117" t="s">
        <v>316</v>
      </c>
      <c r="AF10" s="117"/>
    </row>
    <row r="11" spans="1:41" s="64" customFormat="1" ht="11.25" hidden="1" customHeight="1">
      <c r="B11" s="325"/>
      <c r="E11" s="581"/>
      <c r="Q11" s="636"/>
      <c r="T11" s="314"/>
      <c r="AE11" s="117"/>
    </row>
    <row r="12" spans="1:41" s="64" customFormat="1" ht="11.25" hidden="1" customHeight="1">
      <c r="B12" s="325"/>
      <c r="E12" s="581"/>
      <c r="Q12" s="636"/>
      <c r="T12" s="314"/>
    </row>
    <row r="13" spans="1:41" s="64" customFormat="1" ht="11.25" hidden="1" customHeight="1">
      <c r="B13" s="325"/>
      <c r="E13" s="581"/>
      <c r="Q13" s="636"/>
      <c r="T13" s="314"/>
    </row>
    <row r="14" spans="1:41" s="64" customFormat="1" ht="11.25" hidden="1" customHeight="1">
      <c r="B14" s="325"/>
      <c r="E14" s="581"/>
      <c r="Q14" s="636"/>
      <c r="T14" s="314"/>
    </row>
    <row r="15" spans="1:41" s="64" customFormat="1" ht="11.25" hidden="1" customHeight="1">
      <c r="B15" s="325"/>
      <c r="E15" s="581"/>
      <c r="Q15" s="636"/>
      <c r="T15" s="314"/>
    </row>
    <row r="16" spans="1:41" s="64" customFormat="1" ht="11.25" hidden="1" customHeight="1">
      <c r="B16" s="325"/>
      <c r="E16" s="581"/>
      <c r="Q16" s="636"/>
      <c r="T16" s="314"/>
    </row>
    <row r="17" spans="5:41" ht="11.25" hidden="1" customHeight="1">
      <c r="Q17" s="636"/>
      <c r="AE17" s="20"/>
      <c r="AF17" s="20"/>
    </row>
    <row r="18" spans="5:41" ht="11.25" hidden="1" customHeight="1">
      <c r="Q18" s="636"/>
      <c r="AC18" s="20" t="s">
        <v>328</v>
      </c>
      <c r="AD18" s="20" t="s">
        <v>329</v>
      </c>
      <c r="AE18" s="20"/>
      <c r="AF18" s="20"/>
    </row>
    <row r="19" spans="5:41" ht="11.25" hidden="1" customHeight="1">
      <c r="Q19" s="636"/>
      <c r="AE19" s="20"/>
      <c r="AF19" s="20"/>
    </row>
    <row r="20" spans="5:41" ht="11.25" hidden="1" customHeight="1">
      <c r="Q20" s="636"/>
      <c r="AE20" s="20"/>
      <c r="AF20" s="20"/>
    </row>
    <row r="21" spans="5:41" ht="15" customHeight="1">
      <c r="E21" s="581" t="s">
        <v>330</v>
      </c>
      <c r="Q21" s="636"/>
      <c r="U21" s="314"/>
      <c r="V21" s="314"/>
      <c r="W21" s="314"/>
      <c r="X21" s="314"/>
      <c r="Y21" s="314"/>
      <c r="Z21" s="314"/>
      <c r="AA21" s="314"/>
      <c r="AB21" s="31"/>
      <c r="AC21" s="266" t="str" cm="1">
        <f t="array" ref="AC21">tpl_title</f>
        <v>Кемеровская область / 2026 / МУП "Водоканал" (ИНН:4202043124, КПП:420201001) / ДПР: 2026-2028</v>
      </c>
      <c r="AD21" s="31"/>
      <c r="AE21" s="31"/>
      <c r="AF21" s="31"/>
    </row>
    <row r="22" spans="5:41" ht="30" customHeight="1">
      <c r="E22" s="581" t="s">
        <v>331</v>
      </c>
      <c r="Q22" s="636"/>
      <c r="S22" s="314"/>
      <c r="U22" s="314"/>
      <c r="V22" s="314"/>
      <c r="W22" s="314"/>
      <c r="X22" s="314"/>
      <c r="Y22" s="314"/>
      <c r="Z22" s="314"/>
      <c r="AA22" s="314"/>
      <c r="AB22" s="996" t="s">
        <v>34</v>
      </c>
      <c r="AC22" s="997"/>
      <c r="AD22" s="997"/>
      <c r="AE22" s="997"/>
      <c r="AF22" s="997"/>
      <c r="AG22" s="997"/>
    </row>
    <row r="23" spans="5:41" ht="11.25" customHeight="1">
      <c r="E23" s="460" t="s">
        <v>332</v>
      </c>
      <c r="Q23" s="636"/>
      <c r="U23" s="637"/>
      <c r="V23" s="637"/>
      <c r="W23" s="637"/>
      <c r="X23" s="637"/>
      <c r="Y23" s="637"/>
      <c r="Z23" s="637"/>
      <c r="AA23" s="637"/>
      <c r="AB23" s="32"/>
      <c r="AC23" s="32"/>
      <c r="AD23" s="32"/>
      <c r="AG23" s="33"/>
    </row>
    <row r="24" spans="5:41" ht="28.5" customHeight="1">
      <c r="E24" s="581" t="s">
        <v>333</v>
      </c>
      <c r="U24" s="637"/>
      <c r="V24" s="637"/>
      <c r="W24" s="637"/>
      <c r="X24" s="637"/>
      <c r="Y24" s="637"/>
      <c r="Z24" s="637"/>
      <c r="AA24" s="637"/>
      <c r="AB24" s="34" t="s">
        <v>21</v>
      </c>
      <c r="AC24" s="35" t="s">
        <v>328</v>
      </c>
      <c r="AD24" s="35" t="s">
        <v>329</v>
      </c>
      <c r="AE24" s="35" t="s">
        <v>334</v>
      </c>
      <c r="AF24" s="272" t="s">
        <v>335</v>
      </c>
      <c r="AG24" s="36" t="s">
        <v>274</v>
      </c>
    </row>
    <row r="25" spans="5:41" ht="11.25" hidden="1" customHeight="1">
      <c r="E25" s="581">
        <v>0</v>
      </c>
      <c r="U25" s="637"/>
      <c r="V25" s="637"/>
      <c r="W25" s="637"/>
      <c r="X25" s="637"/>
      <c r="Y25" s="637"/>
      <c r="Z25" s="637"/>
      <c r="AA25" s="637"/>
      <c r="AB25" s="520"/>
      <c r="AC25" s="520"/>
      <c r="AD25" s="520"/>
      <c r="AE25" s="520"/>
      <c r="AF25" s="520"/>
      <c r="AG25" s="520"/>
    </row>
    <row r="26" spans="5:41" ht="15" hidden="1" customHeight="1">
      <c r="E26" s="581" t="s">
        <v>330</v>
      </c>
      <c r="F26" s="59" cm="1">
        <f t="array" ref="F26">Y26</f>
        <v>0</v>
      </c>
      <c r="U26" s="353" t="b">
        <f>Y26&gt;0</f>
        <v>0</v>
      </c>
      <c r="V26" s="354"/>
      <c r="W26" s="208" t="s">
        <v>266</v>
      </c>
      <c r="X26" s="354"/>
      <c r="Y26" s="998">
        <v>0</v>
      </c>
      <c r="Z26" s="999"/>
      <c r="AA26" s="638"/>
      <c r="AB26" s="94" t="str" cm="1">
        <f t="array" ref="AB26">INDEX('Общие сведения'!$AG$179:$AG$208,MATCH($Y26,'Общие сведения'!$Z$179:$Z$208,0))</f>
        <v xml:space="preserve">Тариф 0 () - </v>
      </c>
      <c r="AC26" s="88"/>
      <c r="AD26" s="88"/>
      <c r="AE26" s="88"/>
      <c r="AF26" s="88"/>
      <c r="AG26" s="88"/>
    </row>
    <row r="27" spans="5:41" ht="15" hidden="1" customHeight="1">
      <c r="E27" s="581" t="s">
        <v>330</v>
      </c>
      <c r="F27" s="59" cm="1">
        <f t="array" aca="1" ref="F27" ca="1">OFFSET(E27,-1,1)</f>
        <v>0</v>
      </c>
      <c r="G27" s="64" cm="1">
        <f t="array" ref="G27">AB27</f>
        <v>0</v>
      </c>
      <c r="T27" s="639"/>
      <c r="U27" s="353" t="b">
        <f ca="1">AND(F27&gt;0,AB27&gt;0)</f>
        <v>0</v>
      </c>
      <c r="V27" s="45"/>
      <c r="X27" s="515" t="s">
        <v>171</v>
      </c>
      <c r="Y27" s="998"/>
      <c r="Z27" s="999"/>
      <c r="AA27" s="480" t="s">
        <v>172</v>
      </c>
      <c r="AB27" s="471">
        <v>0</v>
      </c>
      <c r="AC27" s="539"/>
      <c r="AD27" s="93"/>
      <c r="AE27" s="93"/>
      <c r="AF27" s="813"/>
      <c r="AG27" s="814"/>
      <c r="AI27" s="64" t="s">
        <v>336</v>
      </c>
      <c r="AJ27" s="64" t="s">
        <v>337</v>
      </c>
      <c r="AK27" s="64" cm="1">
        <f t="array" ref="AK27">AC27</f>
        <v>0</v>
      </c>
      <c r="AL27" s="64" cm="1">
        <f t="array" ref="AL27">AD27</f>
        <v>0</v>
      </c>
      <c r="AM27" s="64" cm="1">
        <f t="array" ref="AM27">AE27</f>
        <v>0</v>
      </c>
      <c r="AO27" s="64" t="b">
        <v>1</v>
      </c>
    </row>
    <row r="28" spans="5:41" ht="15" hidden="1" customHeight="1">
      <c r="E28" s="581" t="s">
        <v>330</v>
      </c>
      <c r="F28" s="59" cm="1">
        <f t="array" aca="1" ref="F28" ca="1">OFFSET(E28,-1,1)</f>
        <v>0</v>
      </c>
      <c r="G28" s="64" t="s">
        <v>338</v>
      </c>
      <c r="P28" s="515"/>
      <c r="U28" s="353" t="b" cm="1">
        <f t="array" ref="U28">U26</f>
        <v>0</v>
      </c>
      <c r="X28" s="515" t="s">
        <v>339</v>
      </c>
      <c r="Y28" s="998"/>
      <c r="Z28" s="999"/>
      <c r="AB28" s="89"/>
      <c r="AC28" s="171" t="s">
        <v>340</v>
      </c>
      <c r="AD28" s="90"/>
      <c r="AE28" s="90"/>
      <c r="AF28" s="90"/>
      <c r="AG28" s="91"/>
      <c r="AN28" s="64" t="s">
        <v>337</v>
      </c>
    </row>
    <row r="29" spans="5:41" ht="27.2" customHeight="1">
      <c r="E29" s="581" t="s">
        <v>330</v>
      </c>
      <c r="F29" s="59" t="str" cm="1">
        <f t="array" ref="F29">Y29</f>
        <v>1</v>
      </c>
      <c r="U29" s="353" t="b">
        <f>Y29&gt;0</f>
        <v>1</v>
      </c>
      <c r="V29" s="354"/>
      <c r="W29" s="208" t="str" cm="1">
        <f t="array" ref="W29">'Общие сведения'!$AG$194</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29" s="354"/>
      <c r="Y29" s="998" t="s">
        <v>277</v>
      </c>
      <c r="Z29" s="999"/>
      <c r="AA29" s="638"/>
      <c r="AB29" s="94" t="str" cm="1">
        <f t="array" ref="AB29">'Общие сведения'!$AG$194</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29" s="88"/>
      <c r="AD29" s="88"/>
      <c r="AE29" s="88"/>
      <c r="AF29" s="88"/>
      <c r="AG29" s="88"/>
    </row>
    <row r="30" spans="5:41" ht="15" hidden="1" customHeight="1">
      <c r="E30" s="581" t="s">
        <v>330</v>
      </c>
      <c r="F30" s="59" t="str" cm="1">
        <f t="array" aca="1" ref="F30" ca="1">OFFSET(E30,-1,1)</f>
        <v>1</v>
      </c>
      <c r="G30" s="64" cm="1">
        <f t="array" ref="G30">AB30</f>
        <v>0</v>
      </c>
      <c r="T30" s="639"/>
      <c r="U30" s="353" t="b">
        <f ca="1">AND(F30&gt;0,AB30&gt;0)</f>
        <v>0</v>
      </c>
      <c r="V30" s="45"/>
      <c r="X30" s="515" t="s">
        <v>171</v>
      </c>
      <c r="Y30" s="998"/>
      <c r="Z30" s="999"/>
      <c r="AA30" s="480" t="s">
        <v>172</v>
      </c>
      <c r="AB30" s="471">
        <v>0</v>
      </c>
      <c r="AC30" s="539"/>
      <c r="AD30" s="93"/>
      <c r="AE30" s="93"/>
      <c r="AF30" s="813"/>
      <c r="AG30" s="814"/>
      <c r="AI30" s="64" t="s">
        <v>336</v>
      </c>
      <c r="AJ30" s="64" t="s">
        <v>337</v>
      </c>
      <c r="AK30" s="64" cm="1">
        <f t="array" ref="AK30">AC30</f>
        <v>0</v>
      </c>
      <c r="AL30" s="64" cm="1">
        <f t="array" ref="AL30">AD30</f>
        <v>0</v>
      </c>
      <c r="AM30" s="64" cm="1">
        <f t="array" ref="AM30">AE30</f>
        <v>0</v>
      </c>
      <c r="AO30" s="64" t="b">
        <v>1</v>
      </c>
    </row>
    <row r="31" spans="5:41" ht="86.25" customHeight="1">
      <c r="E31" s="581" t="s">
        <v>330</v>
      </c>
      <c r="F31" s="59" t="str" cm="1">
        <f t="array" aca="1" ref="F31" ca="1">OFFSET(E31,-1,1)</f>
        <v>1</v>
      </c>
      <c r="G31" s="64" t="str" cm="1">
        <f t="array" ref="G31">AB31</f>
        <v>1</v>
      </c>
      <c r="T31" s="639"/>
      <c r="U31" s="353" t="b">
        <f ca="1">AND(F31&gt;0,AB31&gt;0)</f>
        <v>1</v>
      </c>
      <c r="V31" s="45"/>
      <c r="X31" s="515"/>
      <c r="Y31" s="998"/>
      <c r="Z31" s="999"/>
      <c r="AA31" s="480" t="s">
        <v>172</v>
      </c>
      <c r="AB31" s="471" t="s">
        <v>277</v>
      </c>
      <c r="AC31" s="539" t="s">
        <v>341</v>
      </c>
      <c r="AD31" s="93" t="s">
        <v>341</v>
      </c>
      <c r="AE31" s="93" t="s">
        <v>342</v>
      </c>
      <c r="AF31" s="622" t="s">
        <v>343</v>
      </c>
      <c r="AG31" s="109" t="s">
        <v>344</v>
      </c>
      <c r="AI31" s="64" t="s">
        <v>336</v>
      </c>
      <c r="AJ31" s="64" t="s">
        <v>337</v>
      </c>
      <c r="AK31" s="64" t="str" cm="1">
        <f t="array" ref="AK31">AC31</f>
        <v>город Белово</v>
      </c>
      <c r="AL31" s="64" t="str" cm="1">
        <f t="array" ref="AL31">AD31</f>
        <v>город Белово</v>
      </c>
      <c r="AM31" s="64" t="str" cm="1">
        <f t="array" ref="AM31">AE31</f>
        <v>32707000</v>
      </c>
      <c r="AO31" s="64" t="b">
        <v>1</v>
      </c>
    </row>
    <row r="32" spans="5:41" ht="15" customHeight="1">
      <c r="E32" s="581" t="s">
        <v>330</v>
      </c>
      <c r="F32" s="59" t="str" cm="1">
        <f t="array" aca="1" ref="F32" ca="1">OFFSET(E32,-1,1)</f>
        <v>1</v>
      </c>
      <c r="G32" s="64" t="s">
        <v>338</v>
      </c>
      <c r="P32" s="515"/>
      <c r="U32" s="353" t="b" cm="1">
        <f t="array" ref="U32">U29</f>
        <v>1</v>
      </c>
      <c r="X32" s="515" t="s">
        <v>339</v>
      </c>
      <c r="Y32" s="998"/>
      <c r="Z32" s="999"/>
      <c r="AB32" s="89"/>
      <c r="AC32" s="171" t="s">
        <v>340</v>
      </c>
      <c r="AD32" s="90"/>
      <c r="AE32" s="90"/>
      <c r="AF32" s="90"/>
      <c r="AG32" s="91"/>
      <c r="AN32" s="64" t="s">
        <v>337</v>
      </c>
    </row>
    <row r="33" spans="1:44" ht="14.25" customHeight="1">
      <c r="A33" s="314"/>
      <c r="B33" s="477"/>
      <c r="C33" s="314"/>
      <c r="D33" s="314"/>
      <c r="E33" s="478" t="s">
        <v>332</v>
      </c>
      <c r="F33" s="314"/>
      <c r="G33" s="314"/>
      <c r="H33" s="314"/>
      <c r="I33" s="314"/>
      <c r="J33" s="314"/>
      <c r="K33" s="314"/>
      <c r="L33" s="314"/>
      <c r="M33" s="314"/>
      <c r="N33" s="314"/>
      <c r="O33" s="314"/>
      <c r="P33" s="314"/>
      <c r="Q33" s="314"/>
      <c r="R33" s="314"/>
      <c r="S33" s="314"/>
      <c r="U33" s="314"/>
      <c r="V33" s="22" t="s">
        <v>175</v>
      </c>
      <c r="W33" s="515" t="s">
        <v>345</v>
      </c>
      <c r="X33" s="314"/>
      <c r="Y33" s="314"/>
      <c r="Z33" s="314"/>
      <c r="AA33" s="314"/>
      <c r="AB33"/>
      <c r="AC33" s="18"/>
      <c r="AD33" s="18"/>
      <c r="AE33" s="18"/>
      <c r="AF33" s="18"/>
      <c r="AG33"/>
      <c r="AH33"/>
      <c r="AI33" s="314"/>
      <c r="AJ33" s="314"/>
      <c r="AK33" s="314"/>
      <c r="AL33" s="314"/>
      <c r="AM33" s="314"/>
      <c r="AN33" s="314"/>
      <c r="AO33" s="314"/>
      <c r="AP33"/>
      <c r="AQ33" s="19"/>
      <c r="AR33"/>
    </row>
    <row r="34" spans="1:44" ht="11.25" hidden="1" customHeight="1">
      <c r="A34" s="314"/>
      <c r="B34" s="477"/>
      <c r="C34" s="314"/>
      <c r="D34" s="314"/>
      <c r="E34" s="478"/>
      <c r="F34" s="640"/>
      <c r="G34" s="314"/>
      <c r="H34" s="314"/>
      <c r="I34" s="314"/>
      <c r="J34" s="314"/>
      <c r="K34" s="314"/>
      <c r="L34" s="314"/>
      <c r="M34" s="314"/>
      <c r="N34" s="314"/>
      <c r="O34" s="314"/>
      <c r="P34" s="314"/>
      <c r="Q34" s="314"/>
      <c r="R34" s="314"/>
      <c r="S34" s="314"/>
      <c r="U34" s="314"/>
      <c r="V34" s="314"/>
      <c r="W34" s="314"/>
      <c r="X34" s="314"/>
      <c r="Y34" s="314"/>
      <c r="Z34" s="314"/>
      <c r="AA34" s="314"/>
      <c r="AB34"/>
      <c r="AC34" s="18"/>
      <c r="AD34" s="18"/>
      <c r="AE34" s="18"/>
      <c r="AF34" s="18"/>
      <c r="AG34" s="18"/>
      <c r="AH34"/>
      <c r="AI34" s="314"/>
      <c r="AJ34" s="314"/>
      <c r="AK34" s="314"/>
      <c r="AL34" s="314"/>
      <c r="AM34" s="314"/>
      <c r="AN34" s="314"/>
      <c r="AO34" s="314"/>
      <c r="AP34"/>
      <c r="AQ34"/>
      <c r="AR34" s="19"/>
    </row>
  </sheetData>
  <sheetProtection formatColumns="0" formatRows="0" insertRows="0" deleteColumns="0" deleteRows="0" sort="0" autoFilter="0"/>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0000000}">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1000000}">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2000000}">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3000000}">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4000000}">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5000000}">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6000000}">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7000000}">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8000000}">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C428-14E8-73D8-3FEA-F2FC0071BE48}">
  <sheetPr>
    <tabColor theme="3" tint="0.59999389629810485"/>
    <outlinePr summaryBelow="0" summaryRight="0"/>
    <pageSetUpPr fitToPage="1"/>
  </sheetPr>
  <dimension ref="A1:BE66"/>
  <sheetViews>
    <sheetView showGridLines="0" zoomScale="110" workbookViewId="0">
      <pane xSplit="31" ySplit="25" topLeftCell="AF26" activePane="bottomRight" state="frozen"/>
      <selection pane="topRight" activeCell="AF1" sqref="AF1"/>
      <selection pane="bottomLeft" activeCell="A26" sqref="A26"/>
      <selection pane="bottomRight" activeCell="AC61" sqref="AC61:AJ61"/>
    </sheetView>
  </sheetViews>
  <sheetFormatPr defaultColWidth="8.7109375" defaultRowHeight="11.25" customHeight="1"/>
  <cols>
    <col min="1" max="1" width="3.5703125" style="20" hidden="1" customWidth="1"/>
    <col min="2" max="2" width="8.5703125" style="325" hidden="1" customWidth="1"/>
    <col min="3" max="4" width="3.5703125" style="20" hidden="1" customWidth="1"/>
    <col min="5" max="5" width="3.5703125" style="461"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38.7109375" style="20" customWidth="1"/>
    <col min="31" max="31" width="12.140625" style="20" customWidth="1"/>
    <col min="32" max="32" width="17.85546875" style="20" customWidth="1"/>
    <col min="33" max="33" width="17.5703125" style="33" customWidth="1"/>
    <col min="34" max="34" width="15.5703125" style="20" customWidth="1"/>
    <col min="35" max="35" width="16.42578125" style="20" customWidth="1"/>
    <col min="36" max="36" width="77.85546875" style="33" customWidth="1"/>
    <col min="37" max="37" width="3.7109375" style="20" customWidth="1"/>
    <col min="38" max="38" width="8.7109375" style="20" hidden="1"/>
    <col min="39" max="42" width="8.7109375" style="658" hidden="1"/>
    <col min="43" max="44" width="8.7109375" style="455" hidden="1"/>
    <col min="45" max="57" width="8.7109375" style="20" hidden="1"/>
  </cols>
  <sheetData>
    <row r="1" spans="1:44" s="64" customFormat="1" ht="11.25" hidden="1" customHeight="1">
      <c r="B1" s="325"/>
      <c r="E1" s="208"/>
      <c r="F1" s="64" t="s">
        <v>309</v>
      </c>
      <c r="H1" s="64" t="s">
        <v>320</v>
      </c>
      <c r="J1" s="64" t="s">
        <v>346</v>
      </c>
      <c r="P1" s="64" t="s">
        <v>347</v>
      </c>
      <c r="T1" s="314"/>
      <c r="U1" s="353" t="s">
        <v>311</v>
      </c>
      <c r="V1" s="351" t="s">
        <v>92</v>
      </c>
      <c r="W1" s="351" t="s">
        <v>97</v>
      </c>
      <c r="X1" s="351" t="s">
        <v>93</v>
      </c>
      <c r="Y1" s="351" t="s">
        <v>94</v>
      </c>
      <c r="Z1" s="351" t="s">
        <v>95</v>
      </c>
      <c r="AA1" s="351" t="s">
        <v>99</v>
      </c>
      <c r="AB1" s="353" t="s">
        <v>96</v>
      </c>
      <c r="AC1" s="353"/>
      <c r="AD1" s="353" t="s">
        <v>98</v>
      </c>
      <c r="AG1" s="117"/>
      <c r="AJ1" s="117"/>
      <c r="AM1" s="651" t="s">
        <v>312</v>
      </c>
      <c r="AN1" s="651" t="s">
        <v>313</v>
      </c>
      <c r="AO1" s="651" t="s">
        <v>314</v>
      </c>
      <c r="AP1" s="651" t="s">
        <v>348</v>
      </c>
      <c r="AQ1" s="581" t="s">
        <v>317</v>
      </c>
      <c r="AR1" s="581" t="s">
        <v>318</v>
      </c>
    </row>
    <row r="2" spans="1:44" s="325" customFormat="1" ht="11.25" hidden="1" customHeight="1">
      <c r="B2" s="633" t="s">
        <v>18</v>
      </c>
      <c r="T2" s="477"/>
      <c r="U2" s="477"/>
      <c r="V2" s="477"/>
      <c r="W2" s="477"/>
      <c r="X2" s="477"/>
      <c r="Y2" s="477"/>
      <c r="Z2" s="477"/>
      <c r="AA2" s="477"/>
      <c r="AF2" s="633" t="b">
        <f>method_reg&lt;&gt;"Метод сравнения аналогов"</f>
        <v>1</v>
      </c>
      <c r="AG2" s="633" t="b">
        <f>method_reg&lt;&gt;"Метод сравнения аналогов"</f>
        <v>1</v>
      </c>
      <c r="AM2" s="650"/>
      <c r="AN2" s="650"/>
      <c r="AO2" s="650"/>
      <c r="AP2" s="650"/>
      <c r="AQ2" s="657"/>
      <c r="AR2" s="657"/>
    </row>
    <row r="3" spans="1:44" s="64" customFormat="1" ht="11.25" hidden="1" customHeight="1">
      <c r="B3" s="325"/>
      <c r="E3" s="208"/>
      <c r="T3" s="314"/>
      <c r="U3" s="314"/>
      <c r="V3" s="314"/>
      <c r="W3" s="314"/>
      <c r="X3" s="314"/>
      <c r="Y3" s="314"/>
      <c r="Z3" s="314"/>
      <c r="AA3" s="314"/>
      <c r="AG3" s="117"/>
      <c r="AJ3" s="117"/>
      <c r="AM3" s="651"/>
      <c r="AN3" s="651"/>
      <c r="AO3" s="651"/>
      <c r="AP3" s="651"/>
      <c r="AQ3" s="581"/>
      <c r="AR3" s="581"/>
    </row>
    <row r="4" spans="1:44" s="64" customFormat="1" ht="11.25" hidden="1" customHeight="1">
      <c r="B4" s="325"/>
      <c r="E4" s="208"/>
      <c r="T4" s="314"/>
      <c r="U4" s="314"/>
      <c r="V4" s="314"/>
      <c r="W4" s="314"/>
      <c r="X4" s="314"/>
      <c r="Y4" s="314"/>
      <c r="Z4" s="314"/>
      <c r="AA4" s="314"/>
      <c r="AG4" s="117"/>
      <c r="AJ4" s="117"/>
      <c r="AM4" s="651"/>
      <c r="AN4" s="651"/>
      <c r="AO4" s="651"/>
      <c r="AP4" s="651"/>
      <c r="AQ4" s="581"/>
      <c r="AR4" s="581"/>
    </row>
    <row r="5" spans="1:44" s="583" customFormat="1" ht="11.25" hidden="1" customHeight="1">
      <c r="A5" s="208"/>
      <c r="B5" s="325"/>
      <c r="C5" s="208"/>
      <c r="D5" s="208"/>
      <c r="E5" s="583" t="s">
        <v>19</v>
      </c>
      <c r="T5" s="647"/>
      <c r="U5" s="647"/>
      <c r="V5" s="647"/>
      <c r="W5" s="647"/>
      <c r="X5" s="647"/>
      <c r="Y5" s="647"/>
      <c r="Z5" s="647"/>
      <c r="AA5" s="647"/>
      <c r="AB5" s="449">
        <v>3</v>
      </c>
      <c r="AC5" s="449">
        <v>11</v>
      </c>
      <c r="AD5" s="449">
        <v>70</v>
      </c>
      <c r="AE5" s="449">
        <v>15</v>
      </c>
      <c r="AF5" s="449">
        <v>20</v>
      </c>
      <c r="AG5" s="449">
        <v>20</v>
      </c>
      <c r="AH5" s="449">
        <v>20</v>
      </c>
      <c r="AI5" s="449">
        <v>20</v>
      </c>
      <c r="AJ5" s="449">
        <v>20</v>
      </c>
      <c r="AK5" s="583" t="s">
        <v>319</v>
      </c>
      <c r="AM5" s="652"/>
      <c r="AN5" s="652"/>
      <c r="AO5" s="652"/>
      <c r="AP5" s="652"/>
    </row>
    <row r="6" spans="1:44" s="64" customFormat="1" ht="11.25" hidden="1" customHeight="1">
      <c r="A6" s="64" t="s">
        <v>349</v>
      </c>
      <c r="B6" s="325"/>
      <c r="E6" s="583"/>
      <c r="T6" s="314"/>
      <c r="U6" s="314"/>
      <c r="V6" s="314"/>
      <c r="W6" s="314"/>
      <c r="X6" s="314"/>
      <c r="Y6" s="314"/>
      <c r="Z6" s="314"/>
      <c r="AA6" s="314"/>
      <c r="AF6" s="64">
        <f>god-2</f>
        <v>2024</v>
      </c>
      <c r="AG6" s="64">
        <f>god-1</f>
        <v>2025</v>
      </c>
      <c r="AH6" s="64" cm="1">
        <f t="array" ref="AH6">god</f>
        <v>2026</v>
      </c>
      <c r="AI6" s="64" cm="1">
        <f t="array" ref="AI6">god</f>
        <v>2026</v>
      </c>
      <c r="AJ6" s="64" cm="1">
        <f t="array" ref="AJ6">god</f>
        <v>2026</v>
      </c>
      <c r="AM6" s="651"/>
      <c r="AN6" s="651"/>
      <c r="AO6" s="651"/>
      <c r="AP6" s="651"/>
      <c r="AQ6" s="581"/>
      <c r="AR6" s="581"/>
    </row>
    <row r="7" spans="1:44" s="64" customFormat="1" ht="11.25" hidden="1" customHeight="1">
      <c r="A7" s="64" t="s">
        <v>350</v>
      </c>
      <c r="B7" s="325"/>
      <c r="E7" s="583"/>
      <c r="T7" s="314"/>
      <c r="U7" s="314"/>
      <c r="V7" s="314"/>
      <c r="W7" s="314"/>
      <c r="X7" s="314"/>
      <c r="Y7" s="314"/>
      <c r="Z7" s="314"/>
      <c r="AA7" s="314"/>
      <c r="AF7" s="266" t="str" cm="1">
        <f t="array" ref="AF7">AF25</f>
        <v>Принято органом регулирования</v>
      </c>
      <c r="AG7" s="266" t="s">
        <v>351</v>
      </c>
      <c r="AH7" s="266" t="s">
        <v>352</v>
      </c>
      <c r="AI7" s="266" t="s">
        <v>351</v>
      </c>
      <c r="AJ7" s="266" t="s">
        <v>353</v>
      </c>
      <c r="AM7" s="651"/>
      <c r="AN7" s="651"/>
      <c r="AO7" s="651"/>
      <c r="AP7" s="651"/>
      <c r="AQ7" s="581"/>
      <c r="AR7" s="581"/>
    </row>
    <row r="8" spans="1:44" s="64" customFormat="1" ht="11.25" hidden="1" customHeight="1">
      <c r="B8" s="325"/>
      <c r="E8" s="583"/>
      <c r="T8" s="314"/>
      <c r="U8" s="314"/>
      <c r="V8" s="314"/>
      <c r="W8" s="314"/>
      <c r="X8" s="314"/>
      <c r="Y8" s="314"/>
      <c r="Z8" s="314"/>
      <c r="AA8" s="314"/>
      <c r="AG8" s="117"/>
      <c r="AJ8" s="117"/>
      <c r="AM8" s="651"/>
      <c r="AN8" s="651"/>
      <c r="AO8" s="651"/>
      <c r="AP8" s="651"/>
      <c r="AQ8" s="581"/>
      <c r="AR8" s="581"/>
    </row>
    <row r="9" spans="1:44" s="651" customFormat="1" ht="11.25" hidden="1" customHeight="1">
      <c r="A9" s="651" t="s">
        <v>354</v>
      </c>
      <c r="B9" s="650"/>
      <c r="E9" s="652"/>
      <c r="T9" s="653"/>
      <c r="U9" s="653"/>
      <c r="V9" s="653"/>
      <c r="W9" s="653"/>
      <c r="X9" s="653"/>
      <c r="Y9" s="653"/>
      <c r="Z9" s="653"/>
      <c r="AA9" s="653"/>
      <c r="AF9" s="651" cm="1">
        <f t="array" ref="AF9">AF6</f>
        <v>2024</v>
      </c>
      <c r="AG9" s="651" cm="1">
        <f t="array" ref="AG9">AG6</f>
        <v>2025</v>
      </c>
      <c r="AH9" s="651" cm="1">
        <f t="array" ref="AH9">AH6</f>
        <v>2026</v>
      </c>
      <c r="AI9" s="651" cm="1">
        <f t="array" ref="AI9">AI6</f>
        <v>2026</v>
      </c>
      <c r="AQ9" s="581"/>
      <c r="AR9" s="581"/>
    </row>
    <row r="10" spans="1:44" s="651" customFormat="1" ht="11.25" hidden="1" customHeight="1">
      <c r="A10" s="651" t="s">
        <v>355</v>
      </c>
      <c r="B10" s="650"/>
      <c r="E10" s="652"/>
      <c r="T10" s="653"/>
      <c r="U10" s="653"/>
      <c r="V10" s="653"/>
      <c r="W10" s="653"/>
      <c r="X10" s="653"/>
      <c r="Y10" s="653"/>
      <c r="Z10" s="653"/>
      <c r="AA10" s="653"/>
      <c r="AF10" s="651" t="str" cm="1">
        <f t="array" ref="AF10">AF25</f>
        <v>Принято органом регулирования</v>
      </c>
      <c r="AG10" s="651" t="str" cm="1">
        <f t="array" ref="AG10">AG25</f>
        <v>Принято органом регулирования</v>
      </c>
      <c r="AH10" s="651" t="str" cm="1">
        <f t="array" ref="AH10">AH25</f>
        <v>Предложение организации</v>
      </c>
      <c r="AI10" s="651" t="str" cm="1">
        <f t="array" ref="AI10">AI25</f>
        <v>Принято органом регулирования</v>
      </c>
      <c r="AQ10" s="581"/>
      <c r="AR10" s="581"/>
    </row>
    <row r="11" spans="1:44" s="651" customFormat="1" ht="11.25" hidden="1" customHeight="1">
      <c r="A11" s="651" t="s">
        <v>356</v>
      </c>
      <c r="B11" s="650"/>
      <c r="E11" s="652"/>
      <c r="T11" s="653"/>
      <c r="U11" s="653"/>
      <c r="V11" s="653"/>
      <c r="W11" s="653"/>
      <c r="X11" s="653"/>
      <c r="Y11" s="653"/>
      <c r="Z11" s="653"/>
      <c r="AA11" s="653"/>
      <c r="AG11" s="649"/>
      <c r="AJ11" s="649" t="str" cm="1">
        <f t="array" ref="AJ11">AJ24</f>
        <v>Комментарии</v>
      </c>
      <c r="AQ11" s="581"/>
      <c r="AR11" s="581"/>
    </row>
    <row r="12" spans="1:44" s="651" customFormat="1" ht="11.25" hidden="1" customHeight="1">
      <c r="A12" s="651" t="s">
        <v>327</v>
      </c>
      <c r="B12" s="650"/>
      <c r="E12" s="652"/>
      <c r="T12" s="653"/>
      <c r="U12" s="653"/>
      <c r="V12" s="653"/>
      <c r="W12" s="653"/>
      <c r="X12" s="653"/>
      <c r="Y12" s="653"/>
      <c r="Z12" s="653"/>
      <c r="AA12" s="653"/>
      <c r="AB12" s="653"/>
      <c r="AD12" s="651" t="s">
        <v>314</v>
      </c>
      <c r="AE12" s="651" t="s">
        <v>348</v>
      </c>
      <c r="AG12" s="649"/>
      <c r="AJ12" s="649"/>
      <c r="AQ12" s="581"/>
      <c r="AR12" s="581"/>
    </row>
    <row r="13" spans="1:44" s="64" customFormat="1" ht="11.25" hidden="1" customHeight="1">
      <c r="B13" s="325"/>
      <c r="E13" s="583"/>
      <c r="T13" s="314"/>
      <c r="U13" s="314"/>
      <c r="V13" s="314"/>
      <c r="W13" s="314"/>
      <c r="X13" s="314"/>
      <c r="Y13" s="314"/>
      <c r="Z13" s="314"/>
      <c r="AA13" s="314"/>
      <c r="AB13" s="314"/>
      <c r="AC13" s="314"/>
      <c r="AD13" s="648"/>
      <c r="AE13" s="648"/>
      <c r="AF13" s="648"/>
      <c r="AG13" s="648"/>
      <c r="AJ13" s="648"/>
      <c r="AM13" s="651"/>
      <c r="AN13" s="651"/>
      <c r="AO13" s="651"/>
      <c r="AP13" s="651"/>
      <c r="AQ13" s="581"/>
      <c r="AR13" s="581"/>
    </row>
    <row r="14" spans="1:44" s="64" customFormat="1" ht="11.25" hidden="1" customHeight="1">
      <c r="B14" s="325"/>
      <c r="E14" s="583"/>
      <c r="T14" s="314"/>
      <c r="U14" s="314"/>
      <c r="V14" s="314"/>
      <c r="W14" s="314"/>
      <c r="X14" s="314"/>
      <c r="Y14" s="314"/>
      <c r="Z14" s="314"/>
      <c r="AA14" s="314"/>
      <c r="AB14" s="314"/>
      <c r="AC14" s="314"/>
      <c r="AD14" s="648"/>
      <c r="AE14" s="648"/>
      <c r="AF14" s="648"/>
      <c r="AG14" s="648"/>
      <c r="AJ14" s="648"/>
      <c r="AM14" s="651"/>
      <c r="AN14" s="651"/>
      <c r="AO14" s="651"/>
      <c r="AP14" s="651"/>
      <c r="AQ14" s="581"/>
      <c r="AR14" s="581"/>
    </row>
    <row r="15" spans="1:44" s="64" customFormat="1" ht="11.25" hidden="1" customHeight="1">
      <c r="B15" s="325"/>
      <c r="E15" s="583"/>
      <c r="T15" s="314"/>
      <c r="U15" s="314"/>
      <c r="V15" s="314"/>
      <c r="W15" s="314"/>
      <c r="X15" s="314"/>
      <c r="Y15" s="314"/>
      <c r="Z15" s="314"/>
      <c r="AA15" s="314"/>
      <c r="AB15" s="314"/>
      <c r="AC15" s="314"/>
      <c r="AD15" s="648"/>
      <c r="AE15" s="648"/>
      <c r="AF15" s="648"/>
      <c r="AG15" s="648"/>
      <c r="AJ15" s="648"/>
      <c r="AM15" s="651"/>
      <c r="AN15" s="651"/>
      <c r="AO15" s="651"/>
      <c r="AP15" s="651"/>
      <c r="AQ15" s="581"/>
      <c r="AR15" s="581"/>
    </row>
    <row r="16" spans="1:44" s="64" customFormat="1" ht="11.25" hidden="1" customHeight="1">
      <c r="B16" s="325"/>
      <c r="E16" s="583"/>
      <c r="T16" s="314"/>
      <c r="U16" s="314"/>
      <c r="V16" s="314"/>
      <c r="W16" s="314"/>
      <c r="X16" s="314"/>
      <c r="Y16" s="314"/>
      <c r="Z16" s="314"/>
      <c r="AA16" s="314"/>
      <c r="AB16" s="314"/>
      <c r="AC16" s="314"/>
      <c r="AD16" s="648"/>
      <c r="AE16" s="648"/>
      <c r="AF16" s="648"/>
      <c r="AG16" s="648"/>
      <c r="AJ16" s="648"/>
      <c r="AM16" s="651"/>
      <c r="AN16" s="651"/>
      <c r="AO16" s="651"/>
      <c r="AP16" s="651"/>
      <c r="AQ16" s="581"/>
      <c r="AR16" s="581"/>
    </row>
    <row r="17" spans="1:57" s="64" customFormat="1" ht="11.25" hidden="1" customHeight="1">
      <c r="B17" s="325"/>
      <c r="E17" s="583"/>
      <c r="T17" s="314"/>
      <c r="U17" s="314"/>
      <c r="V17" s="314"/>
      <c r="W17" s="314"/>
      <c r="X17" s="314"/>
      <c r="Y17" s="314"/>
      <c r="Z17" s="314"/>
      <c r="AA17" s="314"/>
      <c r="AB17" s="314"/>
      <c r="AC17" s="314"/>
      <c r="AD17" s="648"/>
      <c r="AE17" s="648"/>
      <c r="AF17" s="648"/>
      <c r="AG17" s="648"/>
      <c r="AJ17" s="648"/>
      <c r="AM17" s="651"/>
      <c r="AN17" s="651"/>
      <c r="AO17" s="651"/>
      <c r="AP17" s="651"/>
      <c r="AQ17" s="581"/>
      <c r="AR17" s="581"/>
    </row>
    <row r="18" spans="1:57" s="64" customFormat="1" ht="11.25" hidden="1" customHeight="1">
      <c r="A18" s="64" t="s">
        <v>357</v>
      </c>
      <c r="B18" s="325"/>
      <c r="E18" s="583"/>
      <c r="T18" s="314"/>
      <c r="U18" s="314"/>
      <c r="V18" s="314"/>
      <c r="W18" s="314"/>
      <c r="X18" s="314"/>
      <c r="Y18" s="314"/>
      <c r="Z18" s="314"/>
      <c r="AA18" s="314"/>
      <c r="AB18" s="314"/>
      <c r="AC18" s="314"/>
      <c r="AD18" s="117" t="s">
        <v>192</v>
      </c>
      <c r="AE18" s="648"/>
      <c r="AF18" s="648"/>
      <c r="AG18" s="648"/>
      <c r="AJ18" s="648"/>
      <c r="AM18" s="651"/>
      <c r="AN18" s="651"/>
      <c r="AO18" s="651"/>
      <c r="AP18" s="651"/>
      <c r="AQ18" s="581"/>
      <c r="AR18" s="581"/>
    </row>
    <row r="19" spans="1:57" s="64" customFormat="1" ht="11.25" hidden="1" customHeight="1">
      <c r="B19" s="325"/>
      <c r="E19" s="583"/>
      <c r="T19" s="314"/>
      <c r="U19" s="314"/>
      <c r="V19" s="314"/>
      <c r="W19" s="314"/>
      <c r="X19" s="314"/>
      <c r="Y19" s="314"/>
      <c r="Z19" s="314"/>
      <c r="AA19" s="314"/>
      <c r="AB19" s="314"/>
      <c r="AC19" s="314"/>
      <c r="AD19" s="648"/>
      <c r="AE19" s="648"/>
      <c r="AF19" s="648"/>
      <c r="AG19" s="648"/>
      <c r="AJ19" s="648"/>
      <c r="AM19" s="651"/>
      <c r="AN19" s="651"/>
      <c r="AO19" s="651"/>
      <c r="AP19" s="651"/>
      <c r="AQ19" s="581"/>
      <c r="AR19" s="581"/>
    </row>
    <row r="20" spans="1:57" s="64" customFormat="1" ht="11.25" hidden="1" customHeight="1">
      <c r="B20" s="325"/>
      <c r="E20" s="583"/>
      <c r="T20" s="314"/>
      <c r="U20" s="314"/>
      <c r="V20" s="314"/>
      <c r="W20" s="314"/>
      <c r="X20" s="314"/>
      <c r="Y20" s="314"/>
      <c r="Z20" s="314"/>
      <c r="AA20" s="314"/>
      <c r="AB20" s="314"/>
      <c r="AC20" s="314"/>
      <c r="AD20" s="648"/>
      <c r="AE20" s="648"/>
      <c r="AF20" s="648"/>
      <c r="AG20" s="648"/>
      <c r="AJ20" s="648"/>
      <c r="AM20" s="651"/>
      <c r="AN20" s="651"/>
      <c r="AO20" s="651"/>
      <c r="AP20" s="651"/>
      <c r="AQ20" s="581"/>
      <c r="AR20" s="581"/>
    </row>
    <row r="21" spans="1:57" s="64" customFormat="1" ht="14.65" customHeight="1">
      <c r="B21" s="325"/>
      <c r="E21" s="583">
        <v>15</v>
      </c>
      <c r="T21" s="314"/>
      <c r="U21" s="314"/>
      <c r="V21" s="314"/>
      <c r="W21" s="314"/>
      <c r="X21" s="314"/>
      <c r="Y21" s="314"/>
      <c r="Z21" s="314"/>
      <c r="AA21" s="314"/>
      <c r="AB21" s="59"/>
      <c r="AD21" s="266" t="str" cm="1">
        <f t="array" ref="AD21">tpl_title</f>
        <v>Кемеровская область / 2026 / МУП "Водоканал" (ИНН:4202043124, КПП:420201001) / ДПР: 2026-2028</v>
      </c>
      <c r="AM21" s="651"/>
      <c r="AN21" s="651"/>
      <c r="AO21" s="651"/>
      <c r="AP21" s="651"/>
      <c r="AQ21" s="581"/>
      <c r="AR21" s="581"/>
    </row>
    <row r="22" spans="1:57" ht="20.45" customHeight="1">
      <c r="E22" s="461">
        <v>21</v>
      </c>
      <c r="S22"/>
      <c r="AB22"/>
      <c r="AC22" s="996" t="s">
        <v>36</v>
      </c>
      <c r="AD22" s="997"/>
      <c r="AE22" s="997"/>
      <c r="AF22" s="997"/>
      <c r="AG22" s="997"/>
      <c r="AH22" s="997"/>
      <c r="AI22" s="997"/>
      <c r="AJ22" s="997"/>
    </row>
    <row r="23" spans="1:57" ht="8.85" customHeight="1">
      <c r="E23" s="461">
        <v>9</v>
      </c>
      <c r="AB23" s="32"/>
      <c r="AC23" s="32"/>
      <c r="AD23" s="32"/>
      <c r="AE23" s="32"/>
      <c r="AF23" s="32"/>
      <c r="AG23" s="1003"/>
      <c r="AH23" s="1003"/>
      <c r="AI23" s="14"/>
      <c r="AJ23" s="14"/>
    </row>
    <row r="24" spans="1:57" ht="20.45" customHeight="1">
      <c r="E24" s="461">
        <v>21</v>
      </c>
      <c r="AB24" s="32"/>
      <c r="AC24" s="1004" t="s">
        <v>21</v>
      </c>
      <c r="AD24" s="1004" t="s">
        <v>358</v>
      </c>
      <c r="AE24" s="1004" t="s">
        <v>359</v>
      </c>
      <c r="AF24" s="259" t="str">
        <f>god-2&amp;" год"</f>
        <v>2024 год</v>
      </c>
      <c r="AG24" s="11" t="str">
        <f>god-1&amp;" год"</f>
        <v>2025 год</v>
      </c>
      <c r="AH24" s="724" t="str">
        <f>god&amp;" год"</f>
        <v>2026 год</v>
      </c>
      <c r="AI24" s="11" t="str">
        <f>god&amp;" год"</f>
        <v>2026 год</v>
      </c>
      <c r="AJ24" s="1005" t="s">
        <v>360</v>
      </c>
    </row>
    <row r="25" spans="1:57" s="38" customFormat="1" ht="35.1" customHeight="1">
      <c r="B25" s="43"/>
      <c r="E25" s="456">
        <v>36</v>
      </c>
      <c r="F25" s="38" t="s">
        <v>361</v>
      </c>
      <c r="AC25" s="1004"/>
      <c r="AD25" s="1004"/>
      <c r="AE25" s="1004"/>
      <c r="AF25" s="11" t="s">
        <v>351</v>
      </c>
      <c r="AG25" s="11" t="s">
        <v>351</v>
      </c>
      <c r="AH25" s="724" t="s">
        <v>352</v>
      </c>
      <c r="AI25" s="11" t="s">
        <v>351</v>
      </c>
      <c r="AJ25" s="1006"/>
      <c r="AM25" s="654"/>
      <c r="AN25" s="654"/>
      <c r="AO25" s="654"/>
      <c r="AP25" s="654"/>
      <c r="AQ25" s="446"/>
      <c r="AR25" s="446"/>
    </row>
    <row r="26" spans="1:57" ht="11.25" customHeight="1">
      <c r="A26"/>
      <c r="B26" s="477"/>
      <c r="C26"/>
      <c r="D26"/>
      <c r="E26" s="454" t="s">
        <v>362</v>
      </c>
      <c r="F26" s="86"/>
      <c r="G26" s="86"/>
      <c r="H26"/>
      <c r="I26"/>
      <c r="J26"/>
      <c r="K26"/>
      <c r="L26"/>
      <c r="M26"/>
      <c r="N26"/>
      <c r="O26"/>
      <c r="P26"/>
      <c r="Q26"/>
      <c r="R26"/>
      <c r="S26"/>
      <c r="T26" t="s">
        <v>363</v>
      </c>
      <c r="AB26"/>
      <c r="AC26"/>
      <c r="AD26" s="18"/>
      <c r="AE26" s="18"/>
      <c r="AF26" s="18"/>
      <c r="AG26" s="18"/>
      <c r="AH26"/>
      <c r="AI26"/>
      <c r="AJ26"/>
      <c r="AK26"/>
      <c r="AL26"/>
      <c r="AM26" s="659"/>
      <c r="AN26" s="659"/>
      <c r="AO26" s="659"/>
      <c r="AP26" s="659"/>
      <c r="AQ26" s="452"/>
      <c r="AR26" s="661"/>
      <c r="AS26"/>
      <c r="AT26"/>
      <c r="AU26"/>
      <c r="AV26"/>
      <c r="AW26"/>
      <c r="AX26"/>
      <c r="AY26"/>
      <c r="AZ26"/>
      <c r="BA26"/>
      <c r="BB26"/>
      <c r="BC26"/>
      <c r="BD26"/>
      <c r="BE26"/>
    </row>
    <row r="27" spans="1:57" s="38" customFormat="1" ht="14.65" hidden="1" customHeight="1">
      <c r="B27" s="43"/>
      <c r="E27" s="456">
        <v>15</v>
      </c>
      <c r="F27" s="38" cm="1">
        <f t="array" ref="F27">Z27</f>
        <v>0</v>
      </c>
      <c r="T27" s="707" cm="1">
        <f t="array" ref="T27">INDEX('Общие сведения'!$AE$179:$AE$208,MATCH($Z27,'Общие сведения'!$Z$179:$Z$208,0))</f>
        <v>0</v>
      </c>
      <c r="V27" s="351" t="b">
        <f>Z27&gt;0</f>
        <v>0</v>
      </c>
      <c r="X27" s="38" t="s">
        <v>266</v>
      </c>
      <c r="Z27" s="1007">
        <v>0</v>
      </c>
      <c r="AA27" s="1008"/>
      <c r="AC27" s="94" t="str" cm="1">
        <f t="array" ref="AC27">INDEX('Общие сведения'!$AG$179:$AG$208,MATCH($Z27,'Общие сведения'!$Z$179:$Z$208,0))</f>
        <v xml:space="preserve">Тариф 0 () - </v>
      </c>
      <c r="AD27" s="94"/>
      <c r="AE27" s="88"/>
      <c r="AF27" s="88"/>
      <c r="AG27" s="88"/>
      <c r="AH27" s="88"/>
      <c r="AI27" s="88"/>
      <c r="AJ27" s="88"/>
      <c r="AM27" s="654"/>
      <c r="AN27" s="654"/>
      <c r="AO27" s="654"/>
      <c r="AP27" s="654"/>
      <c r="AQ27" s="446"/>
      <c r="AR27" s="446"/>
    </row>
    <row r="28" spans="1:57" s="38" customFormat="1" ht="14.65" hidden="1" customHeight="1">
      <c r="B28" s="633" t="b">
        <f>AND(T27="Водоснабжение",method_reg&lt;&gt;"Метод сравнения аналогов")</f>
        <v>0</v>
      </c>
      <c r="E28" s="456">
        <v>15</v>
      </c>
      <c r="F28" s="59" cm="1">
        <f t="array" aca="1" ref="F28" ca="1">OFFSET(E28,-1,1)</f>
        <v>0</v>
      </c>
      <c r="G28" s="363"/>
      <c r="H28" s="38" t="s">
        <v>321</v>
      </c>
      <c r="I28" s="38" t="s">
        <v>364</v>
      </c>
      <c r="J28" s="38" t="str">
        <f t="shared" ref="J28:J36" si="0">AD28&amp;"::"&amp;AE28</f>
        <v>Водонасосные станции (водозаборные узлы)::ед.</v>
      </c>
      <c r="K28" s="40"/>
      <c r="V28" s="351" t="b" cm="1">
        <f t="array" ref="V28">V27</f>
        <v>0</v>
      </c>
      <c r="Z28" s="1007"/>
      <c r="AA28" s="1008"/>
      <c r="AC28" s="98">
        <v>1</v>
      </c>
      <c r="AD28" s="96" t="s">
        <v>365</v>
      </c>
      <c r="AE28" s="39" t="s">
        <v>366</v>
      </c>
      <c r="AF28" s="815"/>
      <c r="AG28" s="815"/>
      <c r="AH28" s="815"/>
      <c r="AI28" s="815"/>
      <c r="AJ28" s="816"/>
      <c r="AM28" s="654" t="s">
        <v>367</v>
      </c>
      <c r="AN28" s="654"/>
      <c r="AO28" s="654"/>
      <c r="AP28" s="654"/>
      <c r="AQ28" s="446"/>
      <c r="AR28" s="446"/>
    </row>
    <row r="29" spans="1:57" s="38" customFormat="1" ht="14.65" hidden="1" customHeight="1">
      <c r="B29" s="633" t="b" cm="1">
        <f t="array" ref="B29">B28</f>
        <v>0</v>
      </c>
      <c r="E29" s="456">
        <v>15</v>
      </c>
      <c r="F29" s="59" cm="1">
        <f t="array" aca="1" ref="F29" ca="1">OFFSET(E29,-1,1)</f>
        <v>0</v>
      </c>
      <c r="G29" s="59"/>
      <c r="H29" s="38" t="s">
        <v>321</v>
      </c>
      <c r="I29" s="38" t="s">
        <v>364</v>
      </c>
      <c r="J29" s="38" t="str">
        <f t="shared" si="0"/>
        <v>Скважины::ед.</v>
      </c>
      <c r="V29" s="351" t="b" cm="1">
        <f t="array" ref="V29">V28</f>
        <v>0</v>
      </c>
      <c r="Z29" s="1007"/>
      <c r="AA29" s="1008"/>
      <c r="AC29" s="98">
        <v>2</v>
      </c>
      <c r="AD29" s="96" t="s">
        <v>368</v>
      </c>
      <c r="AE29" s="39" t="s">
        <v>366</v>
      </c>
      <c r="AF29" s="815"/>
      <c r="AG29" s="815"/>
      <c r="AH29" s="815"/>
      <c r="AI29" s="815"/>
      <c r="AJ29" s="816"/>
      <c r="AM29" s="654" t="s">
        <v>369</v>
      </c>
      <c r="AN29" s="654"/>
      <c r="AO29" s="654"/>
      <c r="AP29" s="654"/>
      <c r="AQ29" s="446"/>
      <c r="AR29" s="446"/>
    </row>
    <row r="30" spans="1:57" s="38" customFormat="1" ht="14.65" hidden="1" customHeight="1">
      <c r="B30" s="633" t="b">
        <f>T27="Водоснабжение"</f>
        <v>0</v>
      </c>
      <c r="E30" s="456">
        <v>15</v>
      </c>
      <c r="F30" s="59" cm="1">
        <f t="array" aca="1" ref="F30" ca="1">OFFSET(E30,-1,1)</f>
        <v>0</v>
      </c>
      <c r="G30" s="59" t="s">
        <v>49</v>
      </c>
      <c r="H30" s="38" t="s">
        <v>321</v>
      </c>
      <c r="I30" s="38" t="s">
        <v>364</v>
      </c>
      <c r="J30" s="38" t="str">
        <f t="shared" si="0"/>
        <v>Подкачивающие насосные станции::ед.</v>
      </c>
      <c r="L30" s="38" t="s">
        <v>49</v>
      </c>
      <c r="V30" s="351" t="b" cm="1">
        <f t="array" ref="V30">V29</f>
        <v>0</v>
      </c>
      <c r="Z30" s="1007"/>
      <c r="AA30" s="1008"/>
      <c r="AC30" s="98">
        <f>IF(B29,3,1)</f>
        <v>1</v>
      </c>
      <c r="AD30" s="96" t="s">
        <v>370</v>
      </c>
      <c r="AE30" s="39" t="s">
        <v>366</v>
      </c>
      <c r="AF30" s="815"/>
      <c r="AG30" s="815"/>
      <c r="AH30" s="815"/>
      <c r="AI30" s="815"/>
      <c r="AJ30" s="816"/>
      <c r="AM30" s="654" t="s">
        <v>371</v>
      </c>
      <c r="AN30" s="654"/>
      <c r="AO30" s="654"/>
      <c r="AP30" s="654"/>
      <c r="AQ30" s="446"/>
      <c r="AR30" s="446"/>
    </row>
    <row r="31" spans="1:57" s="38" customFormat="1" ht="14.65" hidden="1" customHeight="1">
      <c r="B31" s="633" t="b" cm="1">
        <f t="array" ref="B31">B29</f>
        <v>0</v>
      </c>
      <c r="E31" s="456">
        <v>15</v>
      </c>
      <c r="F31" s="59" cm="1">
        <f t="array" aca="1" ref="F31" ca="1">OFFSET(E31,-1,1)</f>
        <v>0</v>
      </c>
      <c r="G31" s="59"/>
      <c r="H31" s="38" t="s">
        <v>321</v>
      </c>
      <c r="I31" s="38" t="s">
        <v>364</v>
      </c>
      <c r="J31" s="38" t="str">
        <f t="shared" si="0"/>
        <v>Водонапорные башни::ед.</v>
      </c>
      <c r="V31" s="351" t="b" cm="1">
        <f t="array" ref="V31">V30</f>
        <v>0</v>
      </c>
      <c r="Z31" s="1007"/>
      <c r="AA31" s="1008"/>
      <c r="AC31" s="98">
        <v>4</v>
      </c>
      <c r="AD31" s="96" t="s">
        <v>372</v>
      </c>
      <c r="AE31" s="39" t="s">
        <v>366</v>
      </c>
      <c r="AF31" s="815"/>
      <c r="AG31" s="815"/>
      <c r="AH31" s="815"/>
      <c r="AI31" s="815"/>
      <c r="AJ31" s="816"/>
      <c r="AM31" s="654" t="s">
        <v>373</v>
      </c>
      <c r="AN31" s="654"/>
      <c r="AO31" s="654"/>
      <c r="AP31" s="654"/>
      <c r="AQ31" s="446"/>
      <c r="AR31" s="446"/>
    </row>
    <row r="32" spans="1:57" s="38" customFormat="1" ht="14.65" hidden="1" customHeight="1">
      <c r="B32" s="633" t="b">
        <f>T27="Водоснабжение"</f>
        <v>0</v>
      </c>
      <c r="E32" s="456">
        <v>15</v>
      </c>
      <c r="F32" s="59" cm="1">
        <f t="array" aca="1" ref="F32" ca="1">OFFSET(E32,-1,1)</f>
        <v>0</v>
      </c>
      <c r="G32" s="59"/>
      <c r="H32" s="38" t="s">
        <v>321</v>
      </c>
      <c r="I32" s="38" t="s">
        <v>364</v>
      </c>
      <c r="J32" s="38" t="str">
        <f t="shared" si="0"/>
        <v>Водопроводные сети::км</v>
      </c>
      <c r="P32" s="38" t="s">
        <v>374</v>
      </c>
      <c r="Q32" s="38" t="s">
        <v>375</v>
      </c>
      <c r="V32" s="351" t="b" cm="1">
        <f t="array" ref="V32">V31</f>
        <v>0</v>
      </c>
      <c r="Z32" s="1007"/>
      <c r="AA32" s="1008"/>
      <c r="AC32" s="98">
        <f>IF(B29,5,2)</f>
        <v>2</v>
      </c>
      <c r="AD32" s="96" t="s">
        <v>376</v>
      </c>
      <c r="AE32" s="39" t="s">
        <v>377</v>
      </c>
      <c r="AF32" s="817"/>
      <c r="AG32" s="817"/>
      <c r="AH32" s="57"/>
      <c r="AI32" s="57"/>
      <c r="AJ32" s="816"/>
      <c r="AM32" s="654" t="s">
        <v>378</v>
      </c>
      <c r="AN32" s="654"/>
      <c r="AO32" s="654"/>
      <c r="AP32" s="654"/>
      <c r="AQ32" s="446"/>
      <c r="AR32" s="446"/>
    </row>
    <row r="33" spans="1:57" s="38" customFormat="1" ht="14.65" hidden="1" customHeight="1">
      <c r="B33" s="633" t="b">
        <f>AND(T27="Водоотведение",method_reg&lt;&gt;"Метод сравнения аналогов")</f>
        <v>0</v>
      </c>
      <c r="E33" s="456">
        <v>15</v>
      </c>
      <c r="F33" s="59" cm="1">
        <f t="array" aca="1" ref="F33" ca="1">OFFSET(E33,-1,1)</f>
        <v>0</v>
      </c>
      <c r="G33" s="363"/>
      <c r="H33" s="38" t="s">
        <v>321</v>
      </c>
      <c r="I33" s="38" t="s">
        <v>364</v>
      </c>
      <c r="J33" s="38" t="str">
        <f t="shared" si="0"/>
        <v>Биологические очистные сооружения::ед.</v>
      </c>
      <c r="K33" s="40"/>
      <c r="V33" s="351" t="b" cm="1">
        <f t="array" ref="V33">V32</f>
        <v>0</v>
      </c>
      <c r="Z33" s="1007"/>
      <c r="AA33" s="1008"/>
      <c r="AC33" s="98">
        <v>1</v>
      </c>
      <c r="AD33" s="96" t="s">
        <v>379</v>
      </c>
      <c r="AE33" s="39" t="s">
        <v>366</v>
      </c>
      <c r="AF33" s="815"/>
      <c r="AG33" s="815"/>
      <c r="AH33" s="815"/>
      <c r="AI33" s="815"/>
      <c r="AJ33" s="816"/>
      <c r="AM33" s="654" t="s">
        <v>380</v>
      </c>
      <c r="AN33" s="654"/>
      <c r="AO33" s="654"/>
      <c r="AP33" s="654"/>
      <c r="AQ33" s="446"/>
      <c r="AR33" s="446"/>
    </row>
    <row r="34" spans="1:57" s="38" customFormat="1" ht="14.65" hidden="1" customHeight="1">
      <c r="B34" s="633" t="b">
        <f>T27="Водоотведение"</f>
        <v>0</v>
      </c>
      <c r="E34" s="456">
        <v>15</v>
      </c>
      <c r="F34" s="59" cm="1">
        <f t="array" aca="1" ref="F34" ca="1">OFFSET(E34,-1,1)</f>
        <v>0</v>
      </c>
      <c r="G34" s="59" t="s">
        <v>49</v>
      </c>
      <c r="H34" s="38" t="s">
        <v>321</v>
      </c>
      <c r="I34" s="38" t="s">
        <v>364</v>
      </c>
      <c r="J34" s="38" t="str">
        <f t="shared" si="0"/>
        <v>Канализационные насосные станции::ед.</v>
      </c>
      <c r="V34" s="351" t="b" cm="1">
        <f t="array" ref="V34">V33</f>
        <v>0</v>
      </c>
      <c r="Z34" s="1007"/>
      <c r="AA34" s="1008"/>
      <c r="AC34" s="98">
        <f>IF(B33,2,1)</f>
        <v>1</v>
      </c>
      <c r="AD34" s="96" t="s">
        <v>381</v>
      </c>
      <c r="AE34" s="39" t="s">
        <v>366</v>
      </c>
      <c r="AF34" s="815"/>
      <c r="AG34" s="815"/>
      <c r="AH34" s="815"/>
      <c r="AI34" s="815"/>
      <c r="AJ34" s="816"/>
      <c r="AM34" s="654" t="s">
        <v>382</v>
      </c>
      <c r="AN34" s="654"/>
      <c r="AO34" s="654"/>
      <c r="AP34" s="654"/>
      <c r="AQ34" s="446"/>
      <c r="AR34" s="446"/>
    </row>
    <row r="35" spans="1:57" s="38" customFormat="1" ht="14.65" hidden="1" customHeight="1">
      <c r="B35" s="633" t="b" cm="1">
        <f t="array" ref="B35">B34</f>
        <v>0</v>
      </c>
      <c r="E35" s="456">
        <v>15</v>
      </c>
      <c r="F35" s="59" cm="1">
        <f t="array" aca="1" ref="F35" ca="1">OFFSET(E35,-1,1)</f>
        <v>0</v>
      </c>
      <c r="G35" s="59"/>
      <c r="H35" s="38" t="s">
        <v>321</v>
      </c>
      <c r="I35" s="38" t="s">
        <v>364</v>
      </c>
      <c r="J35" s="38" t="str">
        <f t="shared" si="0"/>
        <v>Канализационные сети::км</v>
      </c>
      <c r="L35" s="38" t="s">
        <v>49</v>
      </c>
      <c r="P35" s="38" t="s">
        <v>374</v>
      </c>
      <c r="Q35" s="38" t="s">
        <v>375</v>
      </c>
      <c r="V35" s="351" t="b" cm="1">
        <f t="array" ref="V35">V34</f>
        <v>0</v>
      </c>
      <c r="Z35" s="1007"/>
      <c r="AA35" s="1008"/>
      <c r="AC35" s="98">
        <f>AC34+1</f>
        <v>2</v>
      </c>
      <c r="AD35" s="96" t="s">
        <v>383</v>
      </c>
      <c r="AE35" s="39" t="s">
        <v>377</v>
      </c>
      <c r="AF35" s="817"/>
      <c r="AG35" s="817"/>
      <c r="AH35" s="57"/>
      <c r="AI35" s="57"/>
      <c r="AJ35" s="816"/>
      <c r="AM35" s="654" t="s">
        <v>384</v>
      </c>
      <c r="AN35" s="654"/>
      <c r="AO35" s="654"/>
      <c r="AP35" s="654"/>
      <c r="AQ35" s="446"/>
      <c r="AR35" s="446"/>
    </row>
    <row r="36" spans="1:57" s="40" customFormat="1" ht="14.65" hidden="1" customHeight="1">
      <c r="B36" s="43"/>
      <c r="E36" s="462">
        <v>15</v>
      </c>
      <c r="F36" s="59" cm="1">
        <f t="array" aca="1" ref="F36" ca="1">OFFSET(E36,-1,1)</f>
        <v>0</v>
      </c>
      <c r="G36" s="59"/>
      <c r="H36" s="40" t="s">
        <v>321</v>
      </c>
      <c r="I36" s="40" t="s">
        <v>364</v>
      </c>
      <c r="J36" s="40" t="str">
        <f t="shared" si="0"/>
        <v>::</v>
      </c>
      <c r="U36" s="38">
        <v>0</v>
      </c>
      <c r="V36" s="351" t="b">
        <f ca="1">AND(F36&gt;0,U36&gt;0)</f>
        <v>0</v>
      </c>
      <c r="Y36" s="515" t="s">
        <v>171</v>
      </c>
      <c r="Z36" s="1007"/>
      <c r="AA36" s="1008"/>
      <c r="AB36" s="319" t="s">
        <v>172</v>
      </c>
      <c r="AC36" s="98">
        <f ca="1">IF(OFFSET(C36,-8-U36,-1),5,IF(OFFSET(C36,-3-U36,-1),3,2))+U36</f>
        <v>2</v>
      </c>
      <c r="AD36" s="818"/>
      <c r="AE36" s="819"/>
      <c r="AF36" s="817"/>
      <c r="AG36" s="817"/>
      <c r="AH36" s="817"/>
      <c r="AI36" s="817"/>
      <c r="AJ36" s="816"/>
      <c r="AM36" s="660" t="s">
        <v>385</v>
      </c>
      <c r="AN36" s="660" t="s">
        <v>386</v>
      </c>
      <c r="AO36" s="662" cm="1">
        <f t="array" ref="AO36">AD36</f>
        <v>0</v>
      </c>
      <c r="AP36" s="662" cm="1">
        <f t="array" ref="AP36">AE36</f>
        <v>0</v>
      </c>
      <c r="AQ36" s="500"/>
      <c r="AR36" s="500" t="b">
        <v>1</v>
      </c>
    </row>
    <row r="37" spans="1:57" s="38" customFormat="1" ht="14.65" hidden="1" customHeight="1">
      <c r="B37" s="43"/>
      <c r="E37" s="456">
        <v>15</v>
      </c>
      <c r="F37" s="59" cm="1">
        <f t="array" aca="1" ref="F37" ca="1">OFFSET(E37,-1,1)</f>
        <v>0</v>
      </c>
      <c r="G37" s="59"/>
      <c r="J37" s="37" t="s">
        <v>387</v>
      </c>
      <c r="V37" s="351" t="b" cm="1">
        <f t="array" ref="V37">V35</f>
        <v>0</v>
      </c>
      <c r="Y37" s="515" t="s">
        <v>388</v>
      </c>
      <c r="Z37" s="1007"/>
      <c r="AA37" s="1008"/>
      <c r="AC37" s="89"/>
      <c r="AD37" s="215" t="s">
        <v>175</v>
      </c>
      <c r="AE37" s="90"/>
      <c r="AF37" s="90"/>
      <c r="AG37" s="90"/>
      <c r="AH37" s="90"/>
      <c r="AI37" s="90"/>
      <c r="AJ37" s="101"/>
      <c r="AM37" s="654"/>
      <c r="AN37" s="654"/>
      <c r="AO37" s="654"/>
      <c r="AP37" s="654"/>
      <c r="AQ37" s="446" t="s">
        <v>386</v>
      </c>
      <c r="AR37" s="446"/>
    </row>
    <row r="38" spans="1:57" s="38" customFormat="1" ht="14.65" hidden="1" customHeight="1">
      <c r="B38" s="43"/>
      <c r="E38" s="456">
        <v>15</v>
      </c>
      <c r="F38" s="59" cm="1">
        <f t="array" aca="1" ref="F38" ca="1">OFFSET(E38,-1,1)</f>
        <v>0</v>
      </c>
      <c r="G38" s="59"/>
      <c r="H38" s="38" t="s">
        <v>322</v>
      </c>
      <c r="I38" s="38" t="s">
        <v>364</v>
      </c>
      <c r="J38" s="269" t="str" cm="1">
        <f t="array" ref="J38">AD38</f>
        <v>Краткое описание технологического процесса</v>
      </c>
      <c r="V38" s="351" t="b" cm="1">
        <f t="array" ref="V38">V37</f>
        <v>0</v>
      </c>
      <c r="Z38" s="1007"/>
      <c r="AA38" s="1008"/>
      <c r="AC38" s="98"/>
      <c r="AD38" s="96" t="s">
        <v>389</v>
      </c>
      <c r="AE38" s="39"/>
      <c r="AF38" s="1009"/>
      <c r="AG38" s="1010"/>
      <c r="AH38" s="1010"/>
      <c r="AI38" s="1010"/>
      <c r="AJ38" s="1011"/>
      <c r="AM38" s="654" t="s">
        <v>390</v>
      </c>
      <c r="AN38" s="654"/>
      <c r="AO38" s="654"/>
      <c r="AP38" s="654"/>
      <c r="AQ38" s="446"/>
      <c r="AR38" s="446"/>
    </row>
    <row r="39" spans="1:57" s="394" customFormat="1" ht="30" customHeight="1">
      <c r="A39" s="38"/>
      <c r="B39" s="43"/>
      <c r="C39" s="38"/>
      <c r="D39" s="38"/>
      <c r="E39" s="456">
        <v>15</v>
      </c>
      <c r="F39" s="38" t="str" cm="1">
        <f t="array" ref="F39">Z39</f>
        <v>1</v>
      </c>
      <c r="G39" s="38"/>
      <c r="H39" s="38"/>
      <c r="I39" s="38"/>
      <c r="J39" s="38"/>
      <c r="K39" s="38"/>
      <c r="L39" s="38"/>
      <c r="M39" s="38"/>
      <c r="N39" s="38"/>
      <c r="O39" s="38"/>
      <c r="P39" s="38"/>
      <c r="Q39" s="38"/>
      <c r="R39" s="38"/>
      <c r="S39" s="38"/>
      <c r="T39" s="707" t="str" cm="1">
        <f t="array" ref="T39">INDEX('Общие сведения'!$AE$179:$AE$208,MATCH($Z39,'Общие сведения'!$Z$179:$Z$208,0))</f>
        <v>Водоснабжение</v>
      </c>
      <c r="U39" s="38"/>
      <c r="V39" s="351" t="b">
        <f>Z39&gt;0</f>
        <v>1</v>
      </c>
      <c r="W39" s="38"/>
      <c r="X39" s="38" t="str" cm="1">
        <f t="array" ref="X39">'Список территорий'!$AB$29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Y39" s="38"/>
      <c r="Z39" s="1007" t="s">
        <v>277</v>
      </c>
      <c r="AA39" s="1008"/>
      <c r="AB39" s="38"/>
      <c r="AC39" s="94" t="str" cm="1">
        <f t="array" ref="AC39">'Список территорий'!$AB$29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D39" s="94"/>
      <c r="AE39" s="88"/>
      <c r="AF39" s="88"/>
      <c r="AG39" s="88"/>
      <c r="AH39" s="88"/>
      <c r="AI39" s="88"/>
      <c r="AJ39" s="88"/>
      <c r="AK39" s="38"/>
      <c r="AL39" s="38"/>
      <c r="AM39" s="654"/>
      <c r="AN39" s="654"/>
      <c r="AO39" s="654"/>
      <c r="AP39" s="654"/>
      <c r="AQ39" s="446"/>
      <c r="AR39" s="446"/>
      <c r="AS39" s="38"/>
      <c r="AT39" s="38"/>
      <c r="AU39" s="38"/>
      <c r="AV39" s="38"/>
      <c r="AW39" s="38"/>
      <c r="AX39" s="38"/>
      <c r="AY39" s="38"/>
      <c r="AZ39" s="38"/>
      <c r="BA39" s="38"/>
      <c r="BB39" s="38"/>
      <c r="BC39" s="38"/>
      <c r="BD39" s="38"/>
      <c r="BE39" s="38"/>
    </row>
    <row r="40" spans="1:57" s="394" customFormat="1" ht="28.7" customHeight="1">
      <c r="A40" s="38"/>
      <c r="B40" s="633" t="b">
        <f>AND(T39="Водоснабжение",method_reg&lt;&gt;"Метод сравнения аналогов")</f>
        <v>1</v>
      </c>
      <c r="C40" s="38"/>
      <c r="D40" s="38"/>
      <c r="E40" s="456">
        <v>15</v>
      </c>
      <c r="F40" s="59" t="str" cm="1">
        <f t="array" aca="1" ref="F40" ca="1">OFFSET(E40,-1,1)</f>
        <v>1</v>
      </c>
      <c r="G40" s="363"/>
      <c r="H40" s="38" t="s">
        <v>321</v>
      </c>
      <c r="I40" s="38" t="s">
        <v>364</v>
      </c>
      <c r="J40" s="38" t="str">
        <f t="shared" ref="J40:J48" si="1">AD40&amp;"::"&amp;AE40</f>
        <v>Водонасосные станции (водозаборные узлы)::ед.</v>
      </c>
      <c r="K40" s="40"/>
      <c r="L40" s="38"/>
      <c r="M40" s="38"/>
      <c r="N40" s="38"/>
      <c r="O40" s="38"/>
      <c r="P40" s="38"/>
      <c r="Q40" s="38"/>
      <c r="R40" s="38"/>
      <c r="S40" s="38"/>
      <c r="T40" s="38"/>
      <c r="U40" s="38"/>
      <c r="V40" s="351" t="b" cm="1">
        <f t="array" ref="V40">V39</f>
        <v>1</v>
      </c>
      <c r="W40" s="38"/>
      <c r="X40" s="38"/>
      <c r="Y40" s="38"/>
      <c r="Z40" s="1007"/>
      <c r="AA40" s="1008"/>
      <c r="AB40" s="38"/>
      <c r="AC40" s="98">
        <v>1</v>
      </c>
      <c r="AD40" s="96" t="s">
        <v>365</v>
      </c>
      <c r="AE40" s="39" t="s">
        <v>366</v>
      </c>
      <c r="AF40" s="102"/>
      <c r="AG40" s="102"/>
      <c r="AH40" s="102"/>
      <c r="AI40" s="102"/>
      <c r="AJ40" s="103"/>
      <c r="AK40" s="38"/>
      <c r="AL40" s="38"/>
      <c r="AM40" s="654" t="s">
        <v>367</v>
      </c>
      <c r="AN40" s="654"/>
      <c r="AO40" s="654"/>
      <c r="AP40" s="654"/>
      <c r="AQ40" s="446"/>
      <c r="AR40" s="446"/>
      <c r="AS40" s="38"/>
      <c r="AT40" s="38"/>
      <c r="AU40" s="38"/>
      <c r="AV40" s="38"/>
      <c r="AW40" s="38"/>
      <c r="AX40" s="38"/>
      <c r="AY40" s="38"/>
      <c r="AZ40" s="38"/>
      <c r="BA40" s="38"/>
      <c r="BB40" s="38"/>
      <c r="BC40" s="38"/>
      <c r="BD40" s="38"/>
      <c r="BE40" s="38"/>
    </row>
    <row r="41" spans="1:57" s="394" customFormat="1" ht="34.9" customHeight="1">
      <c r="A41" s="38"/>
      <c r="B41" s="633" t="b" cm="1">
        <f t="array" ref="B41">B40</f>
        <v>1</v>
      </c>
      <c r="C41" s="38"/>
      <c r="D41" s="38"/>
      <c r="E41" s="456">
        <v>15</v>
      </c>
      <c r="F41" s="59" t="str" cm="1">
        <f t="array" aca="1" ref="F41" ca="1">OFFSET(E41,-1,1)</f>
        <v>1</v>
      </c>
      <c r="G41" s="59"/>
      <c r="H41" s="38" t="s">
        <v>321</v>
      </c>
      <c r="I41" s="38" t="s">
        <v>364</v>
      </c>
      <c r="J41" s="38" t="str">
        <f t="shared" si="1"/>
        <v>Скважины::ед.</v>
      </c>
      <c r="K41" s="38"/>
      <c r="L41" s="38"/>
      <c r="M41" s="38"/>
      <c r="N41" s="38"/>
      <c r="O41" s="38"/>
      <c r="P41" s="38"/>
      <c r="Q41" s="38"/>
      <c r="R41" s="38"/>
      <c r="S41" s="38"/>
      <c r="T41" s="38"/>
      <c r="U41" s="38"/>
      <c r="V41" s="351" t="b" cm="1">
        <f t="array" ref="V41">V40</f>
        <v>1</v>
      </c>
      <c r="W41" s="38"/>
      <c r="X41" s="38"/>
      <c r="Y41" s="38"/>
      <c r="Z41" s="1007"/>
      <c r="AA41" s="1008"/>
      <c r="AB41" s="38"/>
      <c r="AC41" s="98">
        <v>2</v>
      </c>
      <c r="AD41" s="96" t="s">
        <v>368</v>
      </c>
      <c r="AE41" s="39" t="s">
        <v>366</v>
      </c>
      <c r="AF41" s="102">
        <v>43</v>
      </c>
      <c r="AG41" s="102">
        <v>43</v>
      </c>
      <c r="AH41" s="102"/>
      <c r="AI41" s="102">
        <v>43</v>
      </c>
      <c r="AJ41" s="103" t="s">
        <v>391</v>
      </c>
      <c r="AK41" s="38"/>
      <c r="AL41" s="38"/>
      <c r="AM41" s="654" t="s">
        <v>369</v>
      </c>
      <c r="AN41" s="654"/>
      <c r="AO41" s="654"/>
      <c r="AP41" s="654"/>
      <c r="AQ41" s="446"/>
      <c r="AR41" s="446"/>
      <c r="AS41" s="38"/>
      <c r="AT41" s="38"/>
      <c r="AU41" s="38"/>
      <c r="AV41" s="38"/>
      <c r="AW41" s="38"/>
      <c r="AX41" s="38"/>
      <c r="AY41" s="38"/>
      <c r="AZ41" s="38"/>
      <c r="BA41" s="38"/>
      <c r="BB41" s="38"/>
      <c r="BC41" s="38"/>
      <c r="BD41" s="38"/>
      <c r="BE41" s="38"/>
    </row>
    <row r="42" spans="1:57" s="394" customFormat="1" ht="60.75" customHeight="1">
      <c r="A42" s="38"/>
      <c r="B42" s="633" t="b">
        <f>T39="Водоснабжение"</f>
        <v>1</v>
      </c>
      <c r="C42" s="38"/>
      <c r="D42" s="38"/>
      <c r="E42" s="456">
        <v>15</v>
      </c>
      <c r="F42" s="59" t="str" cm="1">
        <f t="array" aca="1" ref="F42" ca="1">OFFSET(E42,-1,1)</f>
        <v>1</v>
      </c>
      <c r="G42" s="59" t="s">
        <v>49</v>
      </c>
      <c r="H42" s="38" t="s">
        <v>321</v>
      </c>
      <c r="I42" s="38" t="s">
        <v>364</v>
      </c>
      <c r="J42" s="38" t="str">
        <f t="shared" si="1"/>
        <v>Подкачивающие насосные станции::ед.</v>
      </c>
      <c r="K42" s="38"/>
      <c r="L42" s="38" t="s">
        <v>49</v>
      </c>
      <c r="M42" s="38"/>
      <c r="N42" s="38"/>
      <c r="O42" s="38"/>
      <c r="P42" s="38"/>
      <c r="Q42" s="38"/>
      <c r="R42" s="38"/>
      <c r="S42" s="38"/>
      <c r="T42" s="38"/>
      <c r="U42" s="38"/>
      <c r="V42" s="351" t="b" cm="1">
        <f t="array" ref="V42">V41</f>
        <v>1</v>
      </c>
      <c r="W42" s="38"/>
      <c r="X42" s="38"/>
      <c r="Y42" s="38"/>
      <c r="Z42" s="1007"/>
      <c r="AA42" s="1008"/>
      <c r="AB42" s="38"/>
      <c r="AC42" s="98">
        <f>IF(B41,3,1)</f>
        <v>3</v>
      </c>
      <c r="AD42" s="96" t="s">
        <v>370</v>
      </c>
      <c r="AE42" s="39" t="s">
        <v>366</v>
      </c>
      <c r="AF42" s="102">
        <v>4</v>
      </c>
      <c r="AG42" s="102">
        <v>4</v>
      </c>
      <c r="AH42" s="102">
        <v>9</v>
      </c>
      <c r="AI42" s="102">
        <v>9</v>
      </c>
      <c r="AJ42" s="103" t="s">
        <v>392</v>
      </c>
      <c r="AK42" s="38"/>
      <c r="AL42" s="38"/>
      <c r="AM42" s="654" t="s">
        <v>371</v>
      </c>
      <c r="AN42" s="654"/>
      <c r="AO42" s="654"/>
      <c r="AP42" s="654"/>
      <c r="AQ42" s="446"/>
      <c r="AR42" s="446"/>
      <c r="AS42" s="38"/>
      <c r="AT42" s="38"/>
      <c r="AU42" s="38"/>
      <c r="AV42" s="38"/>
      <c r="AW42" s="38"/>
      <c r="AX42" s="38"/>
      <c r="AY42" s="38"/>
      <c r="AZ42" s="38"/>
      <c r="BA42" s="38"/>
      <c r="BB42" s="38"/>
      <c r="BC42" s="38"/>
      <c r="BD42" s="38"/>
      <c r="BE42" s="38"/>
    </row>
    <row r="43" spans="1:57" s="394" customFormat="1" ht="18.2" customHeight="1">
      <c r="A43" s="38"/>
      <c r="B43" s="633" t="b" cm="1">
        <f t="array" ref="B43">B41</f>
        <v>1</v>
      </c>
      <c r="C43" s="38"/>
      <c r="D43" s="38"/>
      <c r="E43" s="456">
        <v>15</v>
      </c>
      <c r="F43" s="59" t="str" cm="1">
        <f t="array" aca="1" ref="F43" ca="1">OFFSET(E43,-1,1)</f>
        <v>1</v>
      </c>
      <c r="G43" s="59"/>
      <c r="H43" s="38" t="s">
        <v>321</v>
      </c>
      <c r="I43" s="38" t="s">
        <v>364</v>
      </c>
      <c r="J43" s="38" t="str">
        <f t="shared" si="1"/>
        <v>Водонапорные башни::ед.</v>
      </c>
      <c r="K43" s="38"/>
      <c r="L43" s="38"/>
      <c r="M43" s="38"/>
      <c r="N43" s="38"/>
      <c r="O43" s="38"/>
      <c r="P43" s="38"/>
      <c r="Q43" s="38"/>
      <c r="R43" s="38"/>
      <c r="S43" s="38"/>
      <c r="T43" s="38"/>
      <c r="U43" s="38"/>
      <c r="V43" s="351" t="b" cm="1">
        <f t="array" ref="V43">V42</f>
        <v>1</v>
      </c>
      <c r="W43" s="38"/>
      <c r="X43" s="38"/>
      <c r="Y43" s="38"/>
      <c r="Z43" s="1007"/>
      <c r="AA43" s="1008"/>
      <c r="AB43" s="38"/>
      <c r="AC43" s="98">
        <v>4</v>
      </c>
      <c r="AD43" s="96" t="s">
        <v>372</v>
      </c>
      <c r="AE43" s="39" t="s">
        <v>366</v>
      </c>
      <c r="AF43" s="102"/>
      <c r="AG43" s="102"/>
      <c r="AH43" s="102"/>
      <c r="AI43" s="102"/>
      <c r="AJ43" s="103"/>
      <c r="AK43" s="38"/>
      <c r="AL43" s="38"/>
      <c r="AM43" s="654" t="s">
        <v>373</v>
      </c>
      <c r="AN43" s="654"/>
      <c r="AO43" s="654"/>
      <c r="AP43" s="654"/>
      <c r="AQ43" s="446"/>
      <c r="AR43" s="446"/>
      <c r="AS43" s="38"/>
      <c r="AT43" s="38"/>
      <c r="AU43" s="38"/>
      <c r="AV43" s="38"/>
      <c r="AW43" s="38"/>
      <c r="AX43" s="38"/>
      <c r="AY43" s="38"/>
      <c r="AZ43" s="38"/>
      <c r="BA43" s="38"/>
      <c r="BB43" s="38"/>
      <c r="BC43" s="38"/>
      <c r="BD43" s="38"/>
      <c r="BE43" s="38"/>
    </row>
    <row r="44" spans="1:57" s="394" customFormat="1" ht="60" customHeight="1">
      <c r="A44" s="38"/>
      <c r="B44" s="633" t="b">
        <f>T39="Водоснабжение"</f>
        <v>1</v>
      </c>
      <c r="C44" s="38"/>
      <c r="D44" s="38"/>
      <c r="E44" s="456">
        <v>15</v>
      </c>
      <c r="F44" s="59" t="str" cm="1">
        <f t="array" aca="1" ref="F44" ca="1">OFFSET(E44,-1,1)</f>
        <v>1</v>
      </c>
      <c r="G44" s="59"/>
      <c r="H44" s="38" t="s">
        <v>321</v>
      </c>
      <c r="I44" s="38" t="s">
        <v>364</v>
      </c>
      <c r="J44" s="38" t="str">
        <f t="shared" si="1"/>
        <v>Водопроводные сети::км</v>
      </c>
      <c r="K44" s="38"/>
      <c r="L44" s="38"/>
      <c r="M44" s="38"/>
      <c r="N44" s="38"/>
      <c r="O44" s="38"/>
      <c r="P44" s="38" t="s">
        <v>374</v>
      </c>
      <c r="Q44" s="38" t="s">
        <v>375</v>
      </c>
      <c r="R44" s="38"/>
      <c r="S44" s="38"/>
      <c r="T44" s="38"/>
      <c r="U44" s="38"/>
      <c r="V44" s="351" t="b" cm="1">
        <f t="array" ref="V44">V43</f>
        <v>1</v>
      </c>
      <c r="W44" s="38"/>
      <c r="X44" s="38"/>
      <c r="Y44" s="38"/>
      <c r="Z44" s="1007"/>
      <c r="AA44" s="1008"/>
      <c r="AB44" s="38"/>
      <c r="AC44" s="98">
        <f>IF(B41,5,2)</f>
        <v>5</v>
      </c>
      <c r="AD44" s="96" t="s">
        <v>376</v>
      </c>
      <c r="AE44" s="39" t="s">
        <v>377</v>
      </c>
      <c r="AF44" s="57">
        <v>504.88</v>
      </c>
      <c r="AG44" s="57">
        <v>504.68</v>
      </c>
      <c r="AH44" s="57">
        <v>513.49199999999996</v>
      </c>
      <c r="AI44" s="57">
        <f>513.8+8.6+0.17</f>
        <v>522.56999999999994</v>
      </c>
      <c r="AJ44" s="103" t="s">
        <v>393</v>
      </c>
      <c r="AK44" s="38"/>
      <c r="AL44" s="38"/>
      <c r="AM44" s="654" t="s">
        <v>378</v>
      </c>
      <c r="AN44" s="654"/>
      <c r="AO44" s="654"/>
      <c r="AP44" s="654"/>
      <c r="AQ44" s="446"/>
      <c r="AR44" s="446"/>
      <c r="AS44" s="38"/>
      <c r="AT44" s="38"/>
      <c r="AU44" s="38"/>
      <c r="AV44" s="38"/>
      <c r="AW44" s="38"/>
      <c r="AX44" s="38"/>
      <c r="AY44" s="38"/>
      <c r="AZ44" s="38"/>
      <c r="BA44" s="38"/>
      <c r="BB44" s="38"/>
      <c r="BC44" s="38"/>
      <c r="BD44" s="38"/>
      <c r="BE44" s="38"/>
    </row>
    <row r="45" spans="1:57" s="394" customFormat="1" ht="14.25" hidden="1" customHeight="1">
      <c r="A45" s="38"/>
      <c r="B45" s="633" t="b">
        <f>AND(T39="Водоотведение",method_reg&lt;&gt;"Метод сравнения аналогов")</f>
        <v>0</v>
      </c>
      <c r="C45" s="38"/>
      <c r="D45" s="38"/>
      <c r="E45" s="456">
        <v>15</v>
      </c>
      <c r="F45" s="59" t="str" cm="1">
        <f t="array" aca="1" ref="F45" ca="1">OFFSET(E45,-1,1)</f>
        <v>1</v>
      </c>
      <c r="G45" s="363"/>
      <c r="H45" s="38" t="s">
        <v>321</v>
      </c>
      <c r="I45" s="38" t="s">
        <v>364</v>
      </c>
      <c r="J45" s="38" t="str">
        <f t="shared" si="1"/>
        <v>Биологические очистные сооружения::ед.</v>
      </c>
      <c r="K45" s="40"/>
      <c r="L45" s="38"/>
      <c r="M45" s="38"/>
      <c r="N45" s="38"/>
      <c r="O45" s="38"/>
      <c r="P45" s="38"/>
      <c r="Q45" s="38"/>
      <c r="R45" s="38"/>
      <c r="S45" s="38"/>
      <c r="T45" s="38"/>
      <c r="U45" s="38"/>
      <c r="V45" s="351" t="b" cm="1">
        <f t="array" ref="V45">V44</f>
        <v>1</v>
      </c>
      <c r="W45" s="38"/>
      <c r="X45" s="38"/>
      <c r="Y45" s="38"/>
      <c r="Z45" s="1007"/>
      <c r="AA45" s="1008"/>
      <c r="AB45" s="38"/>
      <c r="AC45" s="98">
        <v>1</v>
      </c>
      <c r="AD45" s="96" t="s">
        <v>379</v>
      </c>
      <c r="AE45" s="39" t="s">
        <v>366</v>
      </c>
      <c r="AF45" s="815"/>
      <c r="AG45" s="815"/>
      <c r="AH45" s="815"/>
      <c r="AI45" s="815"/>
      <c r="AJ45" s="816"/>
      <c r="AK45" s="38"/>
      <c r="AL45" s="38"/>
      <c r="AM45" s="654" t="s">
        <v>380</v>
      </c>
      <c r="AN45" s="654"/>
      <c r="AO45" s="654"/>
      <c r="AP45" s="654"/>
      <c r="AQ45" s="446"/>
      <c r="AR45" s="446"/>
      <c r="AS45" s="38"/>
      <c r="AT45" s="38"/>
      <c r="AU45" s="38"/>
      <c r="AV45" s="38"/>
      <c r="AW45" s="38"/>
      <c r="AX45" s="38"/>
      <c r="AY45" s="38"/>
      <c r="AZ45" s="38"/>
      <c r="BA45" s="38"/>
      <c r="BB45" s="38"/>
      <c r="BC45" s="38"/>
      <c r="BD45" s="38"/>
      <c r="BE45" s="38"/>
    </row>
    <row r="46" spans="1:57" s="394" customFormat="1" ht="14.25" hidden="1" customHeight="1">
      <c r="A46" s="38"/>
      <c r="B46" s="633" t="b">
        <f>T39="Водоотведение"</f>
        <v>0</v>
      </c>
      <c r="C46" s="38"/>
      <c r="D46" s="38"/>
      <c r="E46" s="456">
        <v>15</v>
      </c>
      <c r="F46" s="59" t="str" cm="1">
        <f t="array" aca="1" ref="F46" ca="1">OFFSET(E46,-1,1)</f>
        <v>1</v>
      </c>
      <c r="G46" s="59" t="s">
        <v>49</v>
      </c>
      <c r="H46" s="38" t="s">
        <v>321</v>
      </c>
      <c r="I46" s="38" t="s">
        <v>364</v>
      </c>
      <c r="J46" s="38" t="str">
        <f t="shared" si="1"/>
        <v>Канализационные насосные станции::ед.</v>
      </c>
      <c r="K46" s="38"/>
      <c r="L46" s="38"/>
      <c r="M46" s="38"/>
      <c r="N46" s="38"/>
      <c r="O46" s="38"/>
      <c r="P46" s="38"/>
      <c r="Q46" s="38"/>
      <c r="R46" s="38"/>
      <c r="S46" s="38"/>
      <c r="T46" s="38"/>
      <c r="U46" s="38"/>
      <c r="V46" s="351" t="b" cm="1">
        <f t="array" ref="V46">V45</f>
        <v>1</v>
      </c>
      <c r="W46" s="38"/>
      <c r="X46" s="38"/>
      <c r="Y46" s="38"/>
      <c r="Z46" s="1007"/>
      <c r="AA46" s="1008"/>
      <c r="AB46" s="38"/>
      <c r="AC46" s="98">
        <f>IF(B45,2,1)</f>
        <v>1</v>
      </c>
      <c r="AD46" s="96" t="s">
        <v>381</v>
      </c>
      <c r="AE46" s="39" t="s">
        <v>366</v>
      </c>
      <c r="AF46" s="815"/>
      <c r="AG46" s="815"/>
      <c r="AH46" s="815"/>
      <c r="AI46" s="815"/>
      <c r="AJ46" s="816"/>
      <c r="AK46" s="38"/>
      <c r="AL46" s="38"/>
      <c r="AM46" s="654" t="s">
        <v>382</v>
      </c>
      <c r="AN46" s="654"/>
      <c r="AO46" s="654"/>
      <c r="AP46" s="654"/>
      <c r="AQ46" s="446"/>
      <c r="AR46" s="446"/>
      <c r="AS46" s="38"/>
      <c r="AT46" s="38"/>
      <c r="AU46" s="38"/>
      <c r="AV46" s="38"/>
      <c r="AW46" s="38"/>
      <c r="AX46" s="38"/>
      <c r="AY46" s="38"/>
      <c r="AZ46" s="38"/>
      <c r="BA46" s="38"/>
      <c r="BB46" s="38"/>
      <c r="BC46" s="38"/>
      <c r="BD46" s="38"/>
      <c r="BE46" s="38"/>
    </row>
    <row r="47" spans="1:57" s="394" customFormat="1" ht="14.25" hidden="1" customHeight="1">
      <c r="A47" s="38"/>
      <c r="B47" s="633" t="b" cm="1">
        <f t="array" ref="B47">B46</f>
        <v>0</v>
      </c>
      <c r="C47" s="38"/>
      <c r="D47" s="38"/>
      <c r="E47" s="456">
        <v>15</v>
      </c>
      <c r="F47" s="59" t="str" cm="1">
        <f t="array" aca="1" ref="F47" ca="1">OFFSET(E47,-1,1)</f>
        <v>1</v>
      </c>
      <c r="G47" s="59"/>
      <c r="H47" s="38" t="s">
        <v>321</v>
      </c>
      <c r="I47" s="38" t="s">
        <v>364</v>
      </c>
      <c r="J47" s="38" t="str">
        <f t="shared" si="1"/>
        <v>Канализационные сети::км</v>
      </c>
      <c r="K47" s="38"/>
      <c r="L47" s="38" t="s">
        <v>49</v>
      </c>
      <c r="M47" s="38"/>
      <c r="N47" s="38"/>
      <c r="O47" s="38"/>
      <c r="P47" s="38" t="s">
        <v>374</v>
      </c>
      <c r="Q47" s="38" t="s">
        <v>375</v>
      </c>
      <c r="R47" s="38"/>
      <c r="S47" s="38"/>
      <c r="T47" s="38"/>
      <c r="U47" s="38"/>
      <c r="V47" s="351" t="b" cm="1">
        <f t="array" ref="V47">V46</f>
        <v>1</v>
      </c>
      <c r="W47" s="38"/>
      <c r="X47" s="38"/>
      <c r="Y47" s="38"/>
      <c r="Z47" s="1007"/>
      <c r="AA47" s="1008"/>
      <c r="AB47" s="38"/>
      <c r="AC47" s="98">
        <f>AC46+1</f>
        <v>2</v>
      </c>
      <c r="AD47" s="96" t="s">
        <v>383</v>
      </c>
      <c r="AE47" s="39" t="s">
        <v>377</v>
      </c>
      <c r="AF47" s="817"/>
      <c r="AG47" s="817"/>
      <c r="AH47" s="57"/>
      <c r="AI47" s="57"/>
      <c r="AJ47" s="816"/>
      <c r="AK47" s="38"/>
      <c r="AL47" s="38"/>
      <c r="AM47" s="654" t="s">
        <v>384</v>
      </c>
      <c r="AN47" s="654"/>
      <c r="AO47" s="654"/>
      <c r="AP47" s="654"/>
      <c r="AQ47" s="446"/>
      <c r="AR47" s="446"/>
      <c r="AS47" s="38"/>
      <c r="AT47" s="38"/>
      <c r="AU47" s="38"/>
      <c r="AV47" s="38"/>
      <c r="AW47" s="38"/>
      <c r="AX47" s="38"/>
      <c r="AY47" s="38"/>
      <c r="AZ47" s="38"/>
      <c r="BA47" s="38"/>
      <c r="BB47" s="38"/>
      <c r="BC47" s="38"/>
      <c r="BD47" s="38"/>
      <c r="BE47" s="38"/>
    </row>
    <row r="48" spans="1:57" s="40" customFormat="1" ht="14.25" hidden="1" customHeight="1">
      <c r="B48" s="43"/>
      <c r="E48" s="462">
        <v>15</v>
      </c>
      <c r="F48" s="59" t="str" cm="1">
        <f t="array" aca="1" ref="F48" ca="1">OFFSET(E48,-1,1)</f>
        <v>1</v>
      </c>
      <c r="G48" s="59"/>
      <c r="H48" s="40" t="s">
        <v>321</v>
      </c>
      <c r="I48" s="40" t="s">
        <v>364</v>
      </c>
      <c r="J48" s="40" t="str">
        <f t="shared" si="1"/>
        <v>::</v>
      </c>
      <c r="U48" s="38">
        <v>0</v>
      </c>
      <c r="V48" s="351" t="b">
        <f ca="1">AND(F48&gt;0,U48&gt;0)</f>
        <v>0</v>
      </c>
      <c r="Y48" s="515" t="s">
        <v>171</v>
      </c>
      <c r="Z48" s="1007"/>
      <c r="AA48" s="1008"/>
      <c r="AB48" s="319" t="s">
        <v>172</v>
      </c>
      <c r="AC48" s="98">
        <f ca="1">IF(OFFSET(C48,-8-U48,-1),5,IF(OFFSET(C48,-3-U48,-1),3,2))+U48</f>
        <v>5</v>
      </c>
      <c r="AD48" s="818"/>
      <c r="AE48" s="819"/>
      <c r="AF48" s="817"/>
      <c r="AG48" s="817"/>
      <c r="AH48" s="817"/>
      <c r="AI48" s="817"/>
      <c r="AJ48" s="816"/>
      <c r="AM48" s="660" t="s">
        <v>385</v>
      </c>
      <c r="AN48" s="660" t="s">
        <v>386</v>
      </c>
      <c r="AO48" s="662" cm="1">
        <f t="array" ref="AO48">AD48</f>
        <v>0</v>
      </c>
      <c r="AP48" s="662" cm="1">
        <f t="array" ref="AP48">AE48</f>
        <v>0</v>
      </c>
      <c r="AQ48" s="500"/>
      <c r="AR48" s="500" t="b">
        <v>1</v>
      </c>
    </row>
    <row r="49" spans="1:57" s="394" customFormat="1" ht="14.25" customHeight="1">
      <c r="A49" s="38"/>
      <c r="B49" s="43"/>
      <c r="C49" s="38"/>
      <c r="D49" s="38"/>
      <c r="E49" s="456">
        <v>15</v>
      </c>
      <c r="F49" s="59" t="str" cm="1">
        <f t="array" aca="1" ref="F49" ca="1">OFFSET(E49,-1,1)</f>
        <v>1</v>
      </c>
      <c r="G49" s="59"/>
      <c r="H49" s="38"/>
      <c r="I49" s="38"/>
      <c r="J49" s="37" t="s">
        <v>387</v>
      </c>
      <c r="K49" s="38"/>
      <c r="L49" s="38"/>
      <c r="M49" s="38"/>
      <c r="N49" s="38"/>
      <c r="O49" s="38"/>
      <c r="P49" s="38"/>
      <c r="Q49" s="38"/>
      <c r="R49" s="38"/>
      <c r="S49" s="38"/>
      <c r="T49" s="38"/>
      <c r="U49" s="38"/>
      <c r="V49" s="351" t="b" cm="1">
        <f t="array" ref="V49">V47</f>
        <v>1</v>
      </c>
      <c r="W49" s="38"/>
      <c r="X49" s="38"/>
      <c r="Y49" s="515" t="s">
        <v>388</v>
      </c>
      <c r="Z49" s="1007"/>
      <c r="AA49" s="1008"/>
      <c r="AB49" s="38"/>
      <c r="AC49" s="89"/>
      <c r="AD49" s="215" t="s">
        <v>175</v>
      </c>
      <c r="AE49" s="90"/>
      <c r="AF49" s="90"/>
      <c r="AG49" s="90"/>
      <c r="AH49" s="90"/>
      <c r="AI49" s="90"/>
      <c r="AJ49" s="101"/>
      <c r="AK49" s="38"/>
      <c r="AL49" s="38"/>
      <c r="AM49" s="654"/>
      <c r="AN49" s="654"/>
      <c r="AO49" s="654"/>
      <c r="AP49" s="654"/>
      <c r="AQ49" s="446" t="s">
        <v>386</v>
      </c>
      <c r="AR49" s="446"/>
      <c r="AS49" s="38"/>
      <c r="AT49" s="38"/>
      <c r="AU49" s="38"/>
      <c r="AV49" s="38"/>
      <c r="AW49" s="38"/>
      <c r="AX49" s="38"/>
      <c r="AY49" s="38"/>
      <c r="AZ49" s="38"/>
      <c r="BA49" s="38"/>
      <c r="BB49" s="38"/>
      <c r="BC49" s="38"/>
      <c r="BD49" s="38"/>
      <c r="BE49" s="38"/>
    </row>
    <row r="50" spans="1:57" s="394" customFormat="1" ht="81.2" customHeight="1">
      <c r="A50" s="38"/>
      <c r="B50" s="43"/>
      <c r="C50" s="38"/>
      <c r="D50" s="38"/>
      <c r="E50" s="456">
        <v>15</v>
      </c>
      <c r="F50" s="59" t="str" cm="1">
        <f t="array" aca="1" ref="F50" ca="1">OFFSET(E50,-1,1)</f>
        <v>1</v>
      </c>
      <c r="G50" s="59"/>
      <c r="H50" s="38" t="s">
        <v>322</v>
      </c>
      <c r="I50" s="38" t="s">
        <v>364</v>
      </c>
      <c r="J50" s="269" t="str" cm="1">
        <f t="array" ref="J50">AD50</f>
        <v>Краткое описание технологического процесса</v>
      </c>
      <c r="K50" s="38"/>
      <c r="L50" s="38"/>
      <c r="M50" s="38"/>
      <c r="N50" s="38"/>
      <c r="O50" s="38"/>
      <c r="P50" s="38"/>
      <c r="Q50" s="38"/>
      <c r="R50" s="38"/>
      <c r="S50" s="38"/>
      <c r="T50" s="38"/>
      <c r="U50" s="38"/>
      <c r="V50" s="351" t="b" cm="1">
        <f t="array" ref="V50">V49</f>
        <v>1</v>
      </c>
      <c r="W50" s="38"/>
      <c r="X50" s="38"/>
      <c r="Y50" s="38"/>
      <c r="Z50" s="1007"/>
      <c r="AA50" s="1008"/>
      <c r="AB50" s="38"/>
      <c r="AC50" s="98"/>
      <c r="AD50" s="96" t="s">
        <v>389</v>
      </c>
      <c r="AE50" s="39"/>
      <c r="AF50" s="1018" t="s">
        <v>394</v>
      </c>
      <c r="AG50" s="1019"/>
      <c r="AH50" s="1019"/>
      <c r="AI50" s="1019"/>
      <c r="AJ50" s="1020"/>
      <c r="AK50" s="38"/>
      <c r="AL50" s="38"/>
      <c r="AM50" s="654" t="s">
        <v>390</v>
      </c>
      <c r="AN50" s="654"/>
      <c r="AO50" s="654"/>
      <c r="AP50" s="654"/>
      <c r="AQ50" s="446"/>
      <c r="AR50" s="446"/>
      <c r="AS50" s="38"/>
      <c r="AT50" s="38"/>
      <c r="AU50" s="38"/>
      <c r="AV50" s="38"/>
      <c r="AW50" s="38"/>
      <c r="AX50" s="38"/>
      <c r="AY50" s="38"/>
      <c r="AZ50" s="38"/>
      <c r="BA50" s="38"/>
      <c r="BB50" s="38"/>
      <c r="BC50" s="38"/>
      <c r="BD50" s="38"/>
      <c r="BE50" s="38"/>
    </row>
    <row r="51" spans="1:57" s="38" customFormat="1" ht="14.65" customHeight="1">
      <c r="B51" s="43"/>
      <c r="E51" s="456">
        <v>15</v>
      </c>
      <c r="F51" s="269"/>
      <c r="G51" s="269"/>
      <c r="J51" s="269"/>
      <c r="W51" s="38" t="s">
        <v>175</v>
      </c>
      <c r="X51" s="56" t="s">
        <v>395</v>
      </c>
      <c r="Z51" s="17"/>
      <c r="AC51" s="42"/>
      <c r="AD51" s="20"/>
      <c r="AE51" s="379"/>
      <c r="AF51" s="117"/>
      <c r="AG51" s="117"/>
      <c r="AH51" s="117"/>
      <c r="AI51" s="117"/>
      <c r="AJ51" s="117"/>
      <c r="AM51" s="654"/>
      <c r="AN51" s="654"/>
      <c r="AO51" s="654"/>
      <c r="AP51" s="654"/>
      <c r="AQ51" s="446"/>
      <c r="AR51" s="446"/>
    </row>
    <row r="52" spans="1:57" s="17" customFormat="1" ht="18.600000000000001" customHeight="1">
      <c r="B52" s="46"/>
      <c r="E52" s="459">
        <v>12</v>
      </c>
      <c r="Q52" s="314"/>
      <c r="R52" s="314"/>
      <c r="S52" s="314"/>
      <c r="T52" s="314"/>
      <c r="W52" s="59"/>
      <c r="AC52" s="1012" t="s">
        <v>396</v>
      </c>
      <c r="AD52" s="1013"/>
      <c r="AE52" s="1013"/>
      <c r="AF52" s="1013"/>
      <c r="AG52" s="1013"/>
      <c r="AH52" s="1013"/>
      <c r="AI52" s="1013"/>
      <c r="AJ52" s="1014"/>
      <c r="AK52" s="4"/>
      <c r="AL52" s="4"/>
      <c r="AM52" s="659"/>
      <c r="AN52" s="659"/>
      <c r="AO52" s="659"/>
      <c r="AP52" s="659"/>
      <c r="AQ52" s="452"/>
      <c r="AR52" s="452"/>
      <c r="AS52" s="4"/>
      <c r="AT52" s="4"/>
      <c r="AU52" s="4"/>
      <c r="AV52" s="4"/>
      <c r="AW52" s="4"/>
      <c r="AX52" s="4"/>
      <c r="AY52" s="4"/>
      <c r="AZ52" s="4"/>
      <c r="BA52" s="4"/>
      <c r="BB52" s="4"/>
      <c r="BC52" s="4"/>
      <c r="BD52" s="4"/>
    </row>
    <row r="53" spans="1:57" s="17" customFormat="1" ht="27.4" customHeight="1">
      <c r="B53" s="46"/>
      <c r="E53" s="459">
        <v>15</v>
      </c>
      <c r="Q53" s="314"/>
      <c r="R53" s="314"/>
      <c r="S53" s="314"/>
      <c r="T53" s="314"/>
      <c r="W53" s="59"/>
      <c r="AB53" s="479"/>
      <c r="AC53" s="1015" t="s">
        <v>397</v>
      </c>
      <c r="AD53" s="1016"/>
      <c r="AE53" s="1016"/>
      <c r="AF53" s="1016"/>
      <c r="AG53" s="1016"/>
      <c r="AH53" s="1016"/>
      <c r="AI53" s="1016"/>
      <c r="AJ53" s="1017"/>
      <c r="AK53" s="4"/>
      <c r="AL53" s="4"/>
      <c r="AM53" s="659"/>
      <c r="AN53" s="659"/>
      <c r="AO53" s="659"/>
      <c r="AP53" s="659"/>
      <c r="AQ53" s="452"/>
      <c r="AR53" s="452"/>
      <c r="AS53" s="4"/>
      <c r="AT53" s="4"/>
      <c r="AU53" s="4"/>
      <c r="AV53" s="4"/>
      <c r="AW53" s="4"/>
      <c r="AX53" s="4"/>
      <c r="AY53" s="4"/>
      <c r="AZ53" s="4"/>
      <c r="BA53" s="4"/>
      <c r="BB53" s="4"/>
      <c r="BC53" s="4"/>
      <c r="BD53" s="4"/>
    </row>
    <row r="54" spans="1:57" s="17" customFormat="1" ht="14.65" hidden="1" customHeight="1">
      <c r="B54" s="46"/>
      <c r="E54" s="459">
        <v>15</v>
      </c>
      <c r="Q54" s="314"/>
      <c r="R54" s="314"/>
      <c r="S54" s="314"/>
      <c r="T54" s="314"/>
      <c r="V54" s="351" t="b">
        <f t="shared" ref="V54:V63" si="2">ROW(Y54)&gt;ROW(X$54)</f>
        <v>0</v>
      </c>
      <c r="W54" s="59"/>
      <c r="Y54" s="515" t="s">
        <v>171</v>
      </c>
      <c r="AB54" s="480" t="s">
        <v>172</v>
      </c>
      <c r="AC54" s="1000"/>
      <c r="AD54" s="1001"/>
      <c r="AE54" s="1001"/>
      <c r="AF54" s="1001"/>
      <c r="AG54" s="1001"/>
      <c r="AH54" s="1001"/>
      <c r="AI54" s="1001"/>
      <c r="AJ54" s="1002"/>
      <c r="AK54" s="4"/>
      <c r="AL54" s="4"/>
      <c r="AM54" s="659"/>
      <c r="AN54" s="659"/>
      <c r="AO54" s="659"/>
      <c r="AP54" s="659"/>
      <c r="AQ54" s="452"/>
      <c r="AR54" s="452"/>
      <c r="AS54" s="4"/>
      <c r="AT54" s="4"/>
      <c r="AU54" s="4"/>
      <c r="AV54" s="4"/>
      <c r="AW54" s="4"/>
      <c r="AX54" s="4"/>
      <c r="AY54" s="4"/>
      <c r="AZ54" s="4"/>
      <c r="BA54" s="4"/>
      <c r="BB54" s="4"/>
      <c r="BC54" s="4"/>
      <c r="BD54" s="4"/>
    </row>
    <row r="55" spans="1:57" s="820" customFormat="1" ht="49.15" customHeight="1">
      <c r="A55" s="17"/>
      <c r="B55" s="46"/>
      <c r="C55" s="17"/>
      <c r="D55" s="17"/>
      <c r="E55" s="459">
        <v>15</v>
      </c>
      <c r="F55" s="17"/>
      <c r="G55" s="17"/>
      <c r="H55" s="17"/>
      <c r="I55" s="17"/>
      <c r="J55" s="17"/>
      <c r="K55" s="17"/>
      <c r="L55" s="17"/>
      <c r="M55" s="17"/>
      <c r="N55" s="17"/>
      <c r="O55" s="17"/>
      <c r="P55" s="17"/>
      <c r="Q55" s="314"/>
      <c r="R55" s="314"/>
      <c r="S55" s="314"/>
      <c r="T55" s="314"/>
      <c r="U55" s="17" t="s">
        <v>124</v>
      </c>
      <c r="V55" s="351" t="b">
        <f t="shared" si="2"/>
        <v>1</v>
      </c>
      <c r="W55" s="59"/>
      <c r="X55" s="17"/>
      <c r="Y55" s="515"/>
      <c r="Z55" s="17"/>
      <c r="AA55" s="17"/>
      <c r="AB55" s="480" t="s">
        <v>172</v>
      </c>
      <c r="AC55" s="1021" t="s">
        <v>398</v>
      </c>
      <c r="AD55" s="1022"/>
      <c r="AE55" s="1022"/>
      <c r="AF55" s="1022"/>
      <c r="AG55" s="1022"/>
      <c r="AH55" s="1022"/>
      <c r="AI55" s="1022"/>
      <c r="AJ55" s="1023"/>
      <c r="AK55" s="4"/>
      <c r="AL55" s="4"/>
      <c r="AM55" s="659"/>
      <c r="AN55" s="659"/>
      <c r="AO55" s="659"/>
      <c r="AP55" s="659"/>
      <c r="AQ55" s="452"/>
      <c r="AR55" s="452"/>
      <c r="AS55" s="4"/>
      <c r="AT55" s="4"/>
      <c r="AU55" s="4"/>
      <c r="AV55" s="4"/>
      <c r="AW55" s="4"/>
      <c r="AX55" s="4"/>
      <c r="AY55" s="4"/>
      <c r="AZ55" s="4"/>
      <c r="BA55" s="4"/>
      <c r="BB55" s="4"/>
      <c r="BC55" s="4"/>
      <c r="BD55" s="4"/>
      <c r="BE55" s="17"/>
    </row>
    <row r="56" spans="1:57" s="820" customFormat="1" ht="26.65" customHeight="1">
      <c r="A56" s="17"/>
      <c r="B56" s="46"/>
      <c r="C56" s="17"/>
      <c r="D56" s="17"/>
      <c r="E56" s="459">
        <v>15</v>
      </c>
      <c r="F56" s="17"/>
      <c r="G56" s="17"/>
      <c r="H56" s="17"/>
      <c r="I56" s="17"/>
      <c r="J56" s="17"/>
      <c r="K56" s="17"/>
      <c r="L56" s="17"/>
      <c r="M56" s="17"/>
      <c r="N56" s="17"/>
      <c r="O56" s="17"/>
      <c r="P56" s="17"/>
      <c r="Q56" s="314"/>
      <c r="R56" s="314"/>
      <c r="S56" s="314"/>
      <c r="T56" s="314"/>
      <c r="U56" s="17" t="s">
        <v>124</v>
      </c>
      <c r="V56" s="351" t="b">
        <f t="shared" si="2"/>
        <v>1</v>
      </c>
      <c r="W56" s="59"/>
      <c r="X56" s="17"/>
      <c r="Y56" s="515"/>
      <c r="Z56" s="17"/>
      <c r="AA56" s="17"/>
      <c r="AB56" s="480" t="s">
        <v>172</v>
      </c>
      <c r="AC56" s="1021" t="s">
        <v>399</v>
      </c>
      <c r="AD56" s="1022"/>
      <c r="AE56" s="1022"/>
      <c r="AF56" s="1022"/>
      <c r="AG56" s="1022"/>
      <c r="AH56" s="1022"/>
      <c r="AI56" s="1022"/>
      <c r="AJ56" s="1023"/>
      <c r="AK56" s="4"/>
      <c r="AL56" s="4"/>
      <c r="AM56" s="659"/>
      <c r="AN56" s="659"/>
      <c r="AO56" s="659"/>
      <c r="AP56" s="659"/>
      <c r="AQ56" s="452"/>
      <c r="AR56" s="452"/>
      <c r="AS56" s="4"/>
      <c r="AT56" s="4"/>
      <c r="AU56" s="4"/>
      <c r="AV56" s="4"/>
      <c r="AW56" s="4"/>
      <c r="AX56" s="4"/>
      <c r="AY56" s="4"/>
      <c r="AZ56" s="4"/>
      <c r="BA56" s="4"/>
      <c r="BB56" s="4"/>
      <c r="BC56" s="4"/>
      <c r="BD56" s="4"/>
      <c r="BE56" s="17"/>
    </row>
    <row r="57" spans="1:57" s="820" customFormat="1" ht="44.45" customHeight="1">
      <c r="A57" s="17"/>
      <c r="B57" s="46"/>
      <c r="C57" s="17"/>
      <c r="D57" s="17"/>
      <c r="E57" s="459">
        <v>15</v>
      </c>
      <c r="F57" s="17"/>
      <c r="G57" s="17"/>
      <c r="H57" s="17"/>
      <c r="I57" s="17"/>
      <c r="J57" s="17"/>
      <c r="K57" s="17"/>
      <c r="L57" s="17"/>
      <c r="M57" s="17"/>
      <c r="N57" s="17"/>
      <c r="O57" s="17"/>
      <c r="P57" s="17"/>
      <c r="Q57" s="314"/>
      <c r="R57" s="314"/>
      <c r="S57" s="314"/>
      <c r="T57" s="314"/>
      <c r="U57" s="17" t="s">
        <v>124</v>
      </c>
      <c r="V57" s="351" t="b">
        <f t="shared" si="2"/>
        <v>1</v>
      </c>
      <c r="W57" s="59"/>
      <c r="X57" s="17"/>
      <c r="Y57" s="515"/>
      <c r="Z57" s="17"/>
      <c r="AA57" s="17"/>
      <c r="AB57" s="480" t="s">
        <v>172</v>
      </c>
      <c r="AC57" s="1021" t="s">
        <v>400</v>
      </c>
      <c r="AD57" s="1022"/>
      <c r="AE57" s="1022"/>
      <c r="AF57" s="1022"/>
      <c r="AG57" s="1022"/>
      <c r="AH57" s="1022"/>
      <c r="AI57" s="1022"/>
      <c r="AJ57" s="1023"/>
      <c r="AK57" s="4"/>
      <c r="AL57" s="4"/>
      <c r="AM57" s="659"/>
      <c r="AN57" s="659"/>
      <c r="AO57" s="659"/>
      <c r="AP57" s="659"/>
      <c r="AQ57" s="452"/>
      <c r="AR57" s="452"/>
      <c r="AS57" s="4"/>
      <c r="AT57" s="4"/>
      <c r="AU57" s="4"/>
      <c r="AV57" s="4"/>
      <c r="AW57" s="4"/>
      <c r="AX57" s="4"/>
      <c r="AY57" s="4"/>
      <c r="AZ57" s="4"/>
      <c r="BA57" s="4"/>
      <c r="BB57" s="4"/>
      <c r="BC57" s="4"/>
      <c r="BD57" s="4"/>
      <c r="BE57" s="17"/>
    </row>
    <row r="58" spans="1:57" s="820" customFormat="1" ht="32.1" customHeight="1">
      <c r="A58" s="17"/>
      <c r="B58" s="46"/>
      <c r="C58" s="17"/>
      <c r="D58" s="17"/>
      <c r="E58" s="459">
        <v>15</v>
      </c>
      <c r="F58" s="17"/>
      <c r="G58" s="17"/>
      <c r="H58" s="17"/>
      <c r="I58" s="17"/>
      <c r="J58" s="17"/>
      <c r="K58" s="17"/>
      <c r="L58" s="17"/>
      <c r="M58" s="17"/>
      <c r="N58" s="17"/>
      <c r="O58" s="17"/>
      <c r="P58" s="17"/>
      <c r="Q58" s="314"/>
      <c r="R58" s="314"/>
      <c r="S58" s="314"/>
      <c r="T58" s="314"/>
      <c r="U58" s="17" t="s">
        <v>124</v>
      </c>
      <c r="V58" s="351" t="b">
        <f t="shared" si="2"/>
        <v>1</v>
      </c>
      <c r="W58" s="59"/>
      <c r="X58" s="17"/>
      <c r="Y58" s="515"/>
      <c r="Z58" s="17"/>
      <c r="AA58" s="17"/>
      <c r="AB58" s="480" t="s">
        <v>172</v>
      </c>
      <c r="AC58" s="1021" t="s">
        <v>401</v>
      </c>
      <c r="AD58" s="1022"/>
      <c r="AE58" s="1022"/>
      <c r="AF58" s="1022"/>
      <c r="AG58" s="1022"/>
      <c r="AH58" s="1022"/>
      <c r="AI58" s="1022"/>
      <c r="AJ58" s="1023"/>
      <c r="AK58" s="4"/>
      <c r="AL58" s="4"/>
      <c r="AM58" s="659"/>
      <c r="AN58" s="659"/>
      <c r="AO58" s="659"/>
      <c r="AP58" s="659"/>
      <c r="AQ58" s="452"/>
      <c r="AR58" s="452"/>
      <c r="AS58" s="4"/>
      <c r="AT58" s="4"/>
      <c r="AU58" s="4"/>
      <c r="AV58" s="4"/>
      <c r="AW58" s="4"/>
      <c r="AX58" s="4"/>
      <c r="AY58" s="4"/>
      <c r="AZ58" s="4"/>
      <c r="BA58" s="4"/>
      <c r="BB58" s="4"/>
      <c r="BC58" s="4"/>
      <c r="BD58" s="4"/>
      <c r="BE58" s="17"/>
    </row>
    <row r="59" spans="1:57" s="820" customFormat="1" ht="41.65" customHeight="1">
      <c r="A59" s="17"/>
      <c r="B59" s="46"/>
      <c r="C59" s="17"/>
      <c r="D59" s="17"/>
      <c r="E59" s="459">
        <v>15</v>
      </c>
      <c r="F59" s="17"/>
      <c r="G59" s="17"/>
      <c r="H59" s="17"/>
      <c r="I59" s="17"/>
      <c r="J59" s="17"/>
      <c r="K59" s="17"/>
      <c r="L59" s="17"/>
      <c r="M59" s="17"/>
      <c r="N59" s="17"/>
      <c r="O59" s="17"/>
      <c r="P59" s="17"/>
      <c r="Q59" s="314"/>
      <c r="R59" s="314"/>
      <c r="S59" s="314"/>
      <c r="T59" s="314"/>
      <c r="U59" s="17" t="s">
        <v>124</v>
      </c>
      <c r="V59" s="351" t="b">
        <f t="shared" si="2"/>
        <v>1</v>
      </c>
      <c r="W59" s="59"/>
      <c r="X59" s="17"/>
      <c r="Y59" s="515"/>
      <c r="Z59" s="17"/>
      <c r="AA59" s="17"/>
      <c r="AB59" s="480" t="s">
        <v>172</v>
      </c>
      <c r="AC59" s="1021" t="s">
        <v>402</v>
      </c>
      <c r="AD59" s="1022"/>
      <c r="AE59" s="1022"/>
      <c r="AF59" s="1022"/>
      <c r="AG59" s="1022"/>
      <c r="AH59" s="1022"/>
      <c r="AI59" s="1022"/>
      <c r="AJ59" s="1023"/>
      <c r="AK59" s="4"/>
      <c r="AL59" s="4"/>
      <c r="AM59" s="659"/>
      <c r="AN59" s="659"/>
      <c r="AO59" s="659"/>
      <c r="AP59" s="659"/>
      <c r="AQ59" s="452"/>
      <c r="AR59" s="452"/>
      <c r="AS59" s="4"/>
      <c r="AT59" s="4"/>
      <c r="AU59" s="4"/>
      <c r="AV59" s="4"/>
      <c r="AW59" s="4"/>
      <c r="AX59" s="4"/>
      <c r="AY59" s="4"/>
      <c r="AZ59" s="4"/>
      <c r="BA59" s="4"/>
      <c r="BB59" s="4"/>
      <c r="BC59" s="4"/>
      <c r="BD59" s="4"/>
      <c r="BE59" s="17"/>
    </row>
    <row r="60" spans="1:57" s="820" customFormat="1" ht="33.6" customHeight="1">
      <c r="A60" s="17"/>
      <c r="B60" s="46"/>
      <c r="C60" s="17"/>
      <c r="D60" s="17"/>
      <c r="E60" s="459">
        <v>15</v>
      </c>
      <c r="F60" s="17"/>
      <c r="G60" s="17"/>
      <c r="H60" s="17"/>
      <c r="I60" s="17"/>
      <c r="J60" s="17"/>
      <c r="K60" s="17"/>
      <c r="L60" s="17"/>
      <c r="M60" s="17"/>
      <c r="N60" s="17"/>
      <c r="O60" s="17"/>
      <c r="P60" s="17"/>
      <c r="Q60" s="314"/>
      <c r="R60" s="314"/>
      <c r="S60" s="314"/>
      <c r="T60" s="314"/>
      <c r="U60" s="17" t="s">
        <v>124</v>
      </c>
      <c r="V60" s="351" t="b">
        <f t="shared" si="2"/>
        <v>1</v>
      </c>
      <c r="W60" s="59"/>
      <c r="X60" s="17"/>
      <c r="Y60" s="515"/>
      <c r="Z60" s="17"/>
      <c r="AA60" s="17"/>
      <c r="AB60" s="480" t="s">
        <v>172</v>
      </c>
      <c r="AC60" s="1021" t="s">
        <v>403</v>
      </c>
      <c r="AD60" s="1022"/>
      <c r="AE60" s="1022"/>
      <c r="AF60" s="1022"/>
      <c r="AG60" s="1022"/>
      <c r="AH60" s="1022"/>
      <c r="AI60" s="1022"/>
      <c r="AJ60" s="1023"/>
      <c r="AK60" s="4"/>
      <c r="AL60" s="4"/>
      <c r="AM60" s="659"/>
      <c r="AN60" s="659"/>
      <c r="AO60" s="659"/>
      <c r="AP60" s="659"/>
      <c r="AQ60" s="452"/>
      <c r="AR60" s="452"/>
      <c r="AS60" s="4"/>
      <c r="AT60" s="4"/>
      <c r="AU60" s="4"/>
      <c r="AV60" s="4"/>
      <c r="AW60" s="4"/>
      <c r="AX60" s="4"/>
      <c r="AY60" s="4"/>
      <c r="AZ60" s="4"/>
      <c r="BA60" s="4"/>
      <c r="BB60" s="4"/>
      <c r="BC60" s="4"/>
      <c r="BD60" s="4"/>
      <c r="BE60" s="17"/>
    </row>
    <row r="61" spans="1:57" s="820" customFormat="1" ht="47.85" customHeight="1">
      <c r="A61" s="17"/>
      <c r="B61" s="46"/>
      <c r="C61" s="17"/>
      <c r="D61" s="17"/>
      <c r="E61" s="459">
        <v>15</v>
      </c>
      <c r="F61" s="17"/>
      <c r="G61" s="17"/>
      <c r="H61" s="17"/>
      <c r="I61" s="17"/>
      <c r="J61" s="17"/>
      <c r="K61" s="17"/>
      <c r="L61" s="17"/>
      <c r="M61" s="17"/>
      <c r="N61" s="17"/>
      <c r="O61" s="17"/>
      <c r="P61" s="17"/>
      <c r="Q61" s="314"/>
      <c r="R61" s="314"/>
      <c r="S61" s="314"/>
      <c r="T61" s="314"/>
      <c r="U61" s="17" t="s">
        <v>124</v>
      </c>
      <c r="V61" s="351" t="b">
        <f t="shared" si="2"/>
        <v>1</v>
      </c>
      <c r="W61" s="59"/>
      <c r="X61" s="17"/>
      <c r="Y61" s="515"/>
      <c r="Z61" s="17"/>
      <c r="AA61" s="17"/>
      <c r="AB61" s="480" t="s">
        <v>172</v>
      </c>
      <c r="AC61" s="1021" t="s">
        <v>404</v>
      </c>
      <c r="AD61" s="1022"/>
      <c r="AE61" s="1022"/>
      <c r="AF61" s="1022"/>
      <c r="AG61" s="1022"/>
      <c r="AH61" s="1022"/>
      <c r="AI61" s="1022"/>
      <c r="AJ61" s="1023"/>
      <c r="AK61" s="4"/>
      <c r="AL61" s="4"/>
      <c r="AM61" s="659"/>
      <c r="AN61" s="659"/>
      <c r="AO61" s="659"/>
      <c r="AP61" s="659"/>
      <c r="AQ61" s="452"/>
      <c r="AR61" s="452"/>
      <c r="AS61" s="4"/>
      <c r="AT61" s="4"/>
      <c r="AU61" s="4"/>
      <c r="AV61" s="4"/>
      <c r="AW61" s="4"/>
      <c r="AX61" s="4"/>
      <c r="AY61" s="4"/>
      <c r="AZ61" s="4"/>
      <c r="BA61" s="4"/>
      <c r="BB61" s="4"/>
      <c r="BC61" s="4"/>
      <c r="BD61" s="4"/>
      <c r="BE61" s="17"/>
    </row>
    <row r="62" spans="1:57" s="820" customFormat="1" ht="34.15" customHeight="1">
      <c r="A62" s="17"/>
      <c r="B62" s="46"/>
      <c r="C62" s="17"/>
      <c r="D62" s="17"/>
      <c r="E62" s="459">
        <v>15</v>
      </c>
      <c r="F62" s="17"/>
      <c r="G62" s="17"/>
      <c r="H62" s="17"/>
      <c r="I62" s="17"/>
      <c r="J62" s="17"/>
      <c r="K62" s="17"/>
      <c r="L62" s="17"/>
      <c r="M62" s="17"/>
      <c r="N62" s="17"/>
      <c r="O62" s="17"/>
      <c r="P62" s="17"/>
      <c r="Q62" s="314"/>
      <c r="R62" s="314"/>
      <c r="S62" s="314"/>
      <c r="T62" s="314"/>
      <c r="U62" s="17" t="s">
        <v>124</v>
      </c>
      <c r="V62" s="351" t="b">
        <f t="shared" si="2"/>
        <v>1</v>
      </c>
      <c r="W62" s="59"/>
      <c r="X62" s="17"/>
      <c r="Y62" s="515"/>
      <c r="Z62" s="17"/>
      <c r="AA62" s="17"/>
      <c r="AB62" s="480" t="s">
        <v>172</v>
      </c>
      <c r="AC62" s="1021" t="s">
        <v>405</v>
      </c>
      <c r="AD62" s="1022"/>
      <c r="AE62" s="1022"/>
      <c r="AF62" s="1022"/>
      <c r="AG62" s="1022"/>
      <c r="AH62" s="1022"/>
      <c r="AI62" s="1022"/>
      <c r="AJ62" s="1023"/>
      <c r="AK62" s="4"/>
      <c r="AL62" s="4"/>
      <c r="AM62" s="659"/>
      <c r="AN62" s="659"/>
      <c r="AO62" s="659"/>
      <c r="AP62" s="659"/>
      <c r="AQ62" s="452"/>
      <c r="AR62" s="452"/>
      <c r="AS62" s="4"/>
      <c r="AT62" s="4"/>
      <c r="AU62" s="4"/>
      <c r="AV62" s="4"/>
      <c r="AW62" s="4"/>
      <c r="AX62" s="4"/>
      <c r="AY62" s="4"/>
      <c r="AZ62" s="4"/>
      <c r="BA62" s="4"/>
      <c r="BB62" s="4"/>
      <c r="BC62" s="4"/>
      <c r="BD62" s="4"/>
      <c r="BE62" s="17"/>
    </row>
    <row r="63" spans="1:57" s="820" customFormat="1" ht="26.65" customHeight="1">
      <c r="A63" s="17"/>
      <c r="B63" s="46"/>
      <c r="C63" s="17"/>
      <c r="D63" s="17"/>
      <c r="E63" s="459">
        <v>15</v>
      </c>
      <c r="F63" s="17"/>
      <c r="G63" s="17"/>
      <c r="H63" s="17"/>
      <c r="I63" s="17"/>
      <c r="J63" s="17"/>
      <c r="K63" s="17"/>
      <c r="L63" s="17"/>
      <c r="M63" s="17"/>
      <c r="N63" s="17"/>
      <c r="O63" s="17"/>
      <c r="P63" s="17"/>
      <c r="Q63" s="314"/>
      <c r="R63" s="314"/>
      <c r="S63" s="314"/>
      <c r="T63" s="314"/>
      <c r="U63" s="17" t="s">
        <v>124</v>
      </c>
      <c r="V63" s="351" t="b">
        <f t="shared" si="2"/>
        <v>1</v>
      </c>
      <c r="W63" s="59"/>
      <c r="X63" s="17"/>
      <c r="Y63" s="515"/>
      <c r="Z63" s="17"/>
      <c r="AA63" s="17"/>
      <c r="AB63" s="480" t="s">
        <v>172</v>
      </c>
      <c r="AC63" s="1021" t="s">
        <v>406</v>
      </c>
      <c r="AD63" s="1022"/>
      <c r="AE63" s="1022"/>
      <c r="AF63" s="1022"/>
      <c r="AG63" s="1022"/>
      <c r="AH63" s="1022"/>
      <c r="AI63" s="1022"/>
      <c r="AJ63" s="1023"/>
      <c r="AK63" s="4"/>
      <c r="AL63" s="4"/>
      <c r="AM63" s="659"/>
      <c r="AN63" s="659"/>
      <c r="AO63" s="659"/>
      <c r="AP63" s="659"/>
      <c r="AQ63" s="452"/>
      <c r="AR63" s="452"/>
      <c r="AS63" s="4"/>
      <c r="AT63" s="4"/>
      <c r="AU63" s="4"/>
      <c r="AV63" s="4"/>
      <c r="AW63" s="4"/>
      <c r="AX63" s="4"/>
      <c r="AY63" s="4"/>
      <c r="AZ63" s="4"/>
      <c r="BA63" s="4"/>
      <c r="BB63" s="4"/>
      <c r="BC63" s="4"/>
      <c r="BD63" s="4"/>
      <c r="BE63" s="17"/>
    </row>
    <row r="64" spans="1:57" s="17" customFormat="1" ht="14.65" customHeight="1">
      <c r="B64" s="46"/>
      <c r="E64" s="459">
        <v>15</v>
      </c>
      <c r="Q64" s="314"/>
      <c r="R64" s="314"/>
      <c r="S64" s="314"/>
      <c r="T64" s="314"/>
      <c r="Y64" s="515" t="s">
        <v>407</v>
      </c>
      <c r="AC64" s="472"/>
      <c r="AD64" s="92" t="s">
        <v>408</v>
      </c>
      <c r="AE64" s="217"/>
      <c r="AF64" s="218"/>
      <c r="AG64" s="218"/>
      <c r="AH64" s="218"/>
      <c r="AI64" s="218"/>
      <c r="AJ64" s="482"/>
      <c r="AK64" s="4"/>
      <c r="AL64" s="4"/>
      <c r="AM64" s="659"/>
      <c r="AN64" s="659"/>
      <c r="AO64" s="659"/>
      <c r="AP64" s="659"/>
      <c r="AQ64" s="452"/>
      <c r="AR64" s="452"/>
      <c r="AS64" s="4"/>
      <c r="AT64" s="4"/>
      <c r="AU64" s="4"/>
      <c r="AV64" s="4"/>
      <c r="AW64" s="4"/>
      <c r="AX64" s="4"/>
      <c r="AY64" s="4"/>
      <c r="AZ64" s="4"/>
      <c r="BA64" s="4"/>
      <c r="BB64" s="4"/>
      <c r="BC64" s="4"/>
      <c r="BD64" s="4"/>
    </row>
    <row r="65" spans="2:44" customFormat="1" ht="11.25" customHeight="1">
      <c r="B65" s="477"/>
      <c r="E65" s="454"/>
      <c r="F65" s="4"/>
      <c r="G65" s="4"/>
      <c r="H65" s="4"/>
      <c r="I65" s="4"/>
      <c r="J65" s="4"/>
      <c r="AD65" s="18"/>
      <c r="AE65" s="18"/>
      <c r="AF65" s="18"/>
      <c r="AG65" s="18"/>
      <c r="AM65" s="659"/>
      <c r="AN65" s="659"/>
      <c r="AO65" s="659"/>
      <c r="AP65" s="659"/>
      <c r="AQ65" s="452"/>
      <c r="AR65" s="661"/>
    </row>
    <row r="66" spans="2:44" customFormat="1" ht="11.25" hidden="1" customHeight="1">
      <c r="B66" s="477"/>
      <c r="E66" s="454"/>
      <c r="F66" s="4"/>
      <c r="G66" s="4"/>
      <c r="H66" s="4"/>
      <c r="I66" s="4"/>
      <c r="J66" s="4"/>
      <c r="AD66" s="18"/>
      <c r="AE66" s="18"/>
      <c r="AF66" s="18"/>
      <c r="AG66" s="18"/>
      <c r="AM66" s="659"/>
      <c r="AN66" s="659"/>
      <c r="AO66" s="659"/>
      <c r="AP66" s="659"/>
      <c r="AQ66" s="452"/>
      <c r="AR66" s="661"/>
    </row>
  </sheetData>
  <sheetProtection formatColumns="0" formatRows="0" insertRows="0" deleteColumns="0" deleteRows="0" sort="0" autoFilter="0"/>
  <mergeCells count="24">
    <mergeCell ref="AC60:AJ60"/>
    <mergeCell ref="AC61:AJ61"/>
    <mergeCell ref="AC62:AJ62"/>
    <mergeCell ref="AC63:AJ63"/>
    <mergeCell ref="AC55:AJ55"/>
    <mergeCell ref="AC56:AJ56"/>
    <mergeCell ref="AC57:AJ57"/>
    <mergeCell ref="AC58:AJ58"/>
    <mergeCell ref="AC59:AJ59"/>
    <mergeCell ref="Z27:Z38"/>
    <mergeCell ref="AA27:AA38"/>
    <mergeCell ref="AF38:AJ38"/>
    <mergeCell ref="AC52:AJ52"/>
    <mergeCell ref="AC53:AJ53"/>
    <mergeCell ref="Z39:Z50"/>
    <mergeCell ref="AA39:AA50"/>
    <mergeCell ref="AF50:AJ50"/>
    <mergeCell ref="AC54:AJ54"/>
    <mergeCell ref="AC22:AJ22"/>
    <mergeCell ref="AG23:AH23"/>
    <mergeCell ref="AC24:AC25"/>
    <mergeCell ref="AD24:AD25"/>
    <mergeCell ref="AE24:AE25"/>
    <mergeCell ref="AJ24:AJ25"/>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xr:uid="{00000000-0002-0000-0600-000000000000}">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9208-7198-B5A4-E36C-9D898F5F6AB8}">
  <sheetPr>
    <tabColor theme="3" tint="0.59999389629810485"/>
    <outlinePr summaryBelow="0" summaryRight="0"/>
    <pageSetUpPr fitToPage="1"/>
  </sheetPr>
  <dimension ref="A1:AS73"/>
  <sheetViews>
    <sheetView showGridLines="0" zoomScale="110" workbookViewId="0">
      <pane xSplit="29" ySplit="24" topLeftCell="AD48" activePane="bottomRight" state="frozen"/>
      <selection pane="topRight" activeCell="AD1" sqref="AD1"/>
      <selection pane="bottomLeft" activeCell="A25" sqref="A25"/>
      <selection pane="bottomRight" activeCell="AC48" sqref="AC48"/>
    </sheetView>
  </sheetViews>
  <sheetFormatPr defaultColWidth="8.7109375" defaultRowHeight="11.25" customHeight="1"/>
  <cols>
    <col min="1" max="1" width="3.5703125" style="64" hidden="1" customWidth="1"/>
    <col min="2" max="2" width="8.5703125" style="325" hidden="1" customWidth="1"/>
    <col min="3" max="4" width="3.5703125" style="64" hidden="1" customWidth="1"/>
    <col min="5" max="5" width="3.5703125" style="583"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4" hidden="1" customWidth="1"/>
    <col min="20" max="20" width="6.140625" style="314" hidden="1" customWidth="1"/>
    <col min="21" max="21" width="10.140625" style="314" hidden="1" customWidth="1"/>
    <col min="22" max="22" width="5.85546875" style="314" hidden="1" customWidth="1"/>
    <col min="23" max="24" width="6.140625" style="314" hidden="1" customWidth="1"/>
    <col min="25" max="25" width="5.5703125" style="314" hidden="1" customWidth="1"/>
    <col min="26" max="26" width="5.28515625" style="314" hidden="1" customWidth="1"/>
    <col min="27" max="27" width="3" style="64" customWidth="1"/>
    <col min="28" max="28" width="11" style="20" customWidth="1"/>
    <col min="29" max="29" width="70" style="20" customWidth="1"/>
    <col min="30" max="30" width="18.85546875" style="20" customWidth="1"/>
    <col min="31" max="31" width="20" style="20" customWidth="1"/>
    <col min="32" max="32" width="20" style="33" customWidth="1"/>
    <col min="33" max="33" width="20" style="20" customWidth="1"/>
    <col min="34" max="34" width="44.28515625" style="20" customWidth="1"/>
    <col min="35" max="35" width="3" style="64" customWidth="1"/>
    <col min="36" max="36" width="8.7109375" style="64" hidden="1"/>
    <col min="37" max="43" width="8.7109375" style="651" hidden="1"/>
    <col min="44" max="44" width="8.7109375" style="581" hidden="1"/>
    <col min="45" max="45" width="8.7109375" style="455" hidden="1"/>
  </cols>
  <sheetData>
    <row r="1" spans="1:45" s="64" customFormat="1" ht="11.25" hidden="1" customHeight="1">
      <c r="B1" s="325"/>
      <c r="E1" s="208"/>
      <c r="F1" s="64" t="s">
        <v>309</v>
      </c>
      <c r="S1" s="314"/>
      <c r="T1" s="314"/>
      <c r="U1" s="351" t="s">
        <v>92</v>
      </c>
      <c r="V1" s="351" t="s">
        <v>97</v>
      </c>
      <c r="W1" s="351" t="s">
        <v>93</v>
      </c>
      <c r="X1" s="351" t="s">
        <v>94</v>
      </c>
      <c r="Y1" s="351" t="s">
        <v>95</v>
      </c>
      <c r="Z1" s="351" t="s">
        <v>99</v>
      </c>
      <c r="AA1" s="353" t="s">
        <v>96</v>
      </c>
      <c r="AB1" s="353" t="s">
        <v>311</v>
      </c>
      <c r="AC1" s="353" t="s">
        <v>98</v>
      </c>
      <c r="AF1" s="117"/>
      <c r="AK1" s="645" t="s">
        <v>312</v>
      </c>
      <c r="AL1" s="649" t="s">
        <v>313</v>
      </c>
      <c r="AM1" s="649" t="s">
        <v>314</v>
      </c>
      <c r="AN1" s="649" t="s">
        <v>409</v>
      </c>
      <c r="AO1" s="649" t="s">
        <v>410</v>
      </c>
      <c r="AP1" s="649" t="s">
        <v>411</v>
      </c>
      <c r="AQ1" s="649" t="s">
        <v>412</v>
      </c>
      <c r="AR1" s="177" t="s">
        <v>317</v>
      </c>
      <c r="AS1" s="177" t="s">
        <v>318</v>
      </c>
    </row>
    <row r="2" spans="1:45" s="325" customFormat="1" ht="11.25" hidden="1" customHeight="1">
      <c r="B2" s="633" t="s">
        <v>18</v>
      </c>
      <c r="S2" s="477"/>
      <c r="T2" s="477"/>
      <c r="U2" s="477"/>
      <c r="V2" s="477"/>
      <c r="W2" s="477"/>
      <c r="X2" s="477"/>
      <c r="Y2" s="477"/>
      <c r="Z2" s="477"/>
      <c r="AK2" s="650"/>
      <c r="AL2" s="650"/>
      <c r="AM2" s="650"/>
      <c r="AN2" s="650"/>
      <c r="AO2" s="650"/>
      <c r="AP2" s="650"/>
      <c r="AQ2" s="650"/>
      <c r="AR2" s="657"/>
      <c r="AS2" s="657"/>
    </row>
    <row r="3" spans="1:45" s="64" customFormat="1" ht="11.25" hidden="1" customHeight="1">
      <c r="B3" s="325"/>
      <c r="E3" s="208"/>
      <c r="S3" s="314"/>
      <c r="T3" s="314"/>
      <c r="U3" s="314"/>
      <c r="V3" s="314"/>
      <c r="W3" s="314"/>
      <c r="X3" s="314"/>
      <c r="Y3" s="314"/>
      <c r="Z3" s="314"/>
      <c r="AF3" s="117"/>
      <c r="AK3" s="651"/>
      <c r="AL3" s="651"/>
      <c r="AM3" s="651"/>
      <c r="AN3" s="651"/>
      <c r="AO3" s="651"/>
      <c r="AP3" s="651"/>
      <c r="AQ3" s="651"/>
      <c r="AR3" s="581"/>
      <c r="AS3" s="581"/>
    </row>
    <row r="4" spans="1:45" s="64" customFormat="1" ht="11.25" hidden="1" customHeight="1">
      <c r="B4" s="325"/>
      <c r="E4" s="208"/>
      <c r="S4" s="314"/>
      <c r="T4" s="314"/>
      <c r="U4" s="314"/>
      <c r="V4" s="314"/>
      <c r="W4" s="314"/>
      <c r="X4" s="314"/>
      <c r="Y4" s="314"/>
      <c r="Z4" s="314"/>
      <c r="AF4" s="117"/>
      <c r="AK4" s="651"/>
      <c r="AL4" s="651"/>
      <c r="AM4" s="651"/>
      <c r="AN4" s="651"/>
      <c r="AO4" s="651"/>
      <c r="AP4" s="651"/>
      <c r="AQ4" s="651"/>
      <c r="AR4" s="581"/>
      <c r="AS4" s="581"/>
    </row>
    <row r="5" spans="1:45" s="583" customFormat="1" ht="11.25" hidden="1" customHeight="1">
      <c r="A5" s="208"/>
      <c r="B5" s="325"/>
      <c r="C5" s="208"/>
      <c r="D5" s="208"/>
      <c r="E5" s="583" t="s">
        <v>19</v>
      </c>
      <c r="S5" s="647"/>
      <c r="T5" s="647"/>
      <c r="U5" s="647"/>
      <c r="V5" s="647"/>
      <c r="W5" s="647"/>
      <c r="X5" s="647"/>
      <c r="Y5" s="647"/>
      <c r="Z5" s="647"/>
      <c r="AA5" s="449">
        <v>3</v>
      </c>
      <c r="AB5" s="449">
        <v>11</v>
      </c>
      <c r="AC5" s="449">
        <v>70</v>
      </c>
      <c r="AD5" s="449">
        <v>15</v>
      </c>
      <c r="AE5" s="449">
        <v>20</v>
      </c>
      <c r="AF5" s="449">
        <v>20</v>
      </c>
      <c r="AG5" s="449">
        <v>20</v>
      </c>
      <c r="AH5" s="449">
        <v>20</v>
      </c>
      <c r="AI5" s="583">
        <v>3</v>
      </c>
      <c r="AK5" s="652"/>
      <c r="AL5" s="652"/>
      <c r="AM5" s="652"/>
      <c r="AN5" s="652"/>
      <c r="AO5" s="652"/>
      <c r="AP5" s="652"/>
      <c r="AQ5" s="652"/>
    </row>
    <row r="6" spans="1:45" s="64" customFormat="1" ht="11.25" hidden="1" customHeight="1">
      <c r="B6" s="325"/>
      <c r="E6" s="583"/>
      <c r="S6" s="314"/>
      <c r="T6" s="314"/>
      <c r="U6" s="314"/>
      <c r="V6" s="314"/>
      <c r="W6" s="314"/>
      <c r="X6" s="314"/>
      <c r="Y6" s="314"/>
      <c r="Z6" s="314"/>
      <c r="AK6" s="651"/>
      <c r="AL6" s="651"/>
      <c r="AM6" s="651"/>
      <c r="AN6" s="651"/>
      <c r="AO6" s="651"/>
      <c r="AP6" s="651"/>
      <c r="AQ6" s="651"/>
      <c r="AR6" s="581"/>
      <c r="AS6" s="581"/>
    </row>
    <row r="7" spans="1:45" s="64" customFormat="1" ht="11.25" hidden="1" customHeight="1">
      <c r="B7" s="325"/>
      <c r="E7" s="583"/>
      <c r="S7" s="314"/>
      <c r="T7" s="314"/>
      <c r="U7" s="314"/>
      <c r="V7" s="314"/>
      <c r="W7" s="314"/>
      <c r="X7" s="314"/>
      <c r="Y7" s="314"/>
      <c r="Z7" s="314"/>
      <c r="AE7" s="266"/>
      <c r="AF7" s="266"/>
      <c r="AG7" s="266"/>
      <c r="AH7" s="266"/>
      <c r="AK7" s="651"/>
      <c r="AL7" s="651"/>
      <c r="AM7" s="651"/>
      <c r="AN7" s="651"/>
      <c r="AO7" s="651"/>
      <c r="AP7" s="651"/>
      <c r="AQ7" s="651"/>
      <c r="AR7" s="581"/>
      <c r="AS7" s="581"/>
    </row>
    <row r="8" spans="1:45" s="64" customFormat="1" ht="11.25" hidden="1" customHeight="1">
      <c r="B8" s="325"/>
      <c r="E8" s="583"/>
      <c r="S8" s="314"/>
      <c r="T8" s="314"/>
      <c r="U8" s="314"/>
      <c r="V8" s="314"/>
      <c r="W8" s="314"/>
      <c r="X8" s="314"/>
      <c r="Y8" s="314"/>
      <c r="Z8" s="314"/>
      <c r="AF8" s="117"/>
      <c r="AK8" s="651"/>
      <c r="AL8" s="651"/>
      <c r="AM8" s="651"/>
      <c r="AN8" s="651"/>
      <c r="AO8" s="651"/>
      <c r="AP8" s="651"/>
      <c r="AQ8" s="651"/>
      <c r="AR8" s="581"/>
      <c r="AS8" s="581"/>
    </row>
    <row r="9" spans="1:45" s="651" customFormat="1" ht="11.25" hidden="1" customHeight="1">
      <c r="A9" s="645" t="s">
        <v>413</v>
      </c>
      <c r="B9" s="650"/>
      <c r="E9" s="652"/>
      <c r="S9" s="653"/>
      <c r="T9" s="653"/>
      <c r="U9" s="653"/>
      <c r="V9" s="653"/>
      <c r="W9" s="653"/>
      <c r="X9" s="653"/>
      <c r="Y9" s="653"/>
      <c r="Z9" s="653"/>
      <c r="AF9" s="649"/>
      <c r="AH9" s="651" t="str" cm="1">
        <f t="array" ref="AH9">AH24</f>
        <v>Срок действия</v>
      </c>
      <c r="AR9" s="581"/>
      <c r="AS9" s="581"/>
    </row>
    <row r="10" spans="1:45" s="651" customFormat="1" ht="11.25" hidden="1" customHeight="1">
      <c r="A10" s="645" t="s">
        <v>327</v>
      </c>
      <c r="B10" s="650"/>
      <c r="E10" s="652"/>
      <c r="S10" s="653"/>
      <c r="T10" s="653"/>
      <c r="U10" s="653"/>
      <c r="V10" s="653"/>
      <c r="W10" s="653"/>
      <c r="X10" s="653"/>
      <c r="Y10" s="653"/>
      <c r="Z10" s="653"/>
      <c r="AC10" s="646" t="s">
        <v>314</v>
      </c>
      <c r="AD10" s="646" t="s">
        <v>409</v>
      </c>
      <c r="AE10" s="646" t="s">
        <v>410</v>
      </c>
      <c r="AF10" s="646" t="s">
        <v>411</v>
      </c>
      <c r="AG10" s="646" t="s">
        <v>412</v>
      </c>
      <c r="AR10" s="581"/>
      <c r="AS10" s="581"/>
    </row>
    <row r="11" spans="1:45" s="64" customFormat="1" ht="11.25" hidden="1" customHeight="1">
      <c r="B11" s="325"/>
      <c r="E11" s="583"/>
      <c r="S11" s="314"/>
      <c r="T11" s="314"/>
      <c r="U11" s="314"/>
      <c r="V11" s="314"/>
      <c r="W11" s="314"/>
      <c r="X11" s="314"/>
      <c r="Y11" s="314"/>
      <c r="Z11" s="314"/>
      <c r="AF11" s="117"/>
      <c r="AK11" s="651"/>
      <c r="AL11" s="651"/>
      <c r="AM11" s="651"/>
      <c r="AN11" s="651"/>
      <c r="AO11" s="651"/>
      <c r="AP11" s="651"/>
      <c r="AQ11" s="651"/>
      <c r="AR11" s="581"/>
      <c r="AS11" s="581"/>
    </row>
    <row r="12" spans="1:45" s="64" customFormat="1" ht="11.25" hidden="1" customHeight="1">
      <c r="B12" s="325"/>
      <c r="E12" s="583"/>
      <c r="S12" s="314"/>
      <c r="T12" s="314"/>
      <c r="U12" s="314"/>
      <c r="V12" s="314"/>
      <c r="W12" s="314"/>
      <c r="X12" s="314"/>
      <c r="Y12" s="314"/>
      <c r="Z12" s="314"/>
      <c r="AA12" s="314"/>
      <c r="AB12" s="314"/>
      <c r="AC12" s="648"/>
      <c r="AD12" s="648"/>
      <c r="AF12" s="117"/>
      <c r="AK12" s="651"/>
      <c r="AL12" s="651"/>
      <c r="AM12" s="651"/>
      <c r="AN12" s="651"/>
      <c r="AO12" s="651"/>
      <c r="AP12" s="651"/>
      <c r="AQ12" s="651"/>
      <c r="AR12" s="581"/>
      <c r="AS12" s="581"/>
    </row>
    <row r="13" spans="1:45" s="64" customFormat="1" ht="11.25" hidden="1" customHeight="1">
      <c r="B13" s="325"/>
      <c r="E13" s="583"/>
      <c r="S13" s="314"/>
      <c r="T13" s="314"/>
      <c r="U13" s="314"/>
      <c r="V13" s="314"/>
      <c r="W13" s="314"/>
      <c r="X13" s="314"/>
      <c r="Y13" s="314"/>
      <c r="Z13" s="314"/>
      <c r="AA13" s="314"/>
      <c r="AB13" s="314"/>
      <c r="AC13" s="648"/>
      <c r="AD13" s="648"/>
      <c r="AE13" s="648"/>
      <c r="AF13" s="648"/>
      <c r="AK13" s="651"/>
      <c r="AL13" s="651"/>
      <c r="AM13" s="651"/>
      <c r="AN13" s="651"/>
      <c r="AO13" s="651"/>
      <c r="AP13" s="651"/>
      <c r="AQ13" s="651"/>
      <c r="AR13" s="581"/>
      <c r="AS13" s="581"/>
    </row>
    <row r="14" spans="1:45" s="64" customFormat="1" ht="11.25" hidden="1" customHeight="1">
      <c r="B14" s="325"/>
      <c r="E14" s="583"/>
      <c r="S14" s="314"/>
      <c r="T14" s="314"/>
      <c r="U14" s="314"/>
      <c r="V14" s="314"/>
      <c r="W14" s="314"/>
      <c r="X14" s="314"/>
      <c r="Y14" s="314"/>
      <c r="Z14" s="314"/>
      <c r="AA14" s="314"/>
      <c r="AB14" s="314"/>
      <c r="AC14" s="648"/>
      <c r="AD14" s="648"/>
      <c r="AE14" s="648"/>
      <c r="AF14" s="648"/>
      <c r="AK14" s="651"/>
      <c r="AL14" s="651"/>
      <c r="AM14" s="651"/>
      <c r="AN14" s="651"/>
      <c r="AO14" s="651"/>
      <c r="AP14" s="651"/>
      <c r="AQ14" s="651"/>
      <c r="AR14" s="581"/>
      <c r="AS14" s="581"/>
    </row>
    <row r="15" spans="1:45" s="64" customFormat="1" ht="11.25" hidden="1" customHeight="1">
      <c r="B15" s="325"/>
      <c r="E15" s="583"/>
      <c r="S15" s="314"/>
      <c r="T15" s="314"/>
      <c r="U15" s="314"/>
      <c r="V15" s="314"/>
      <c r="W15" s="314"/>
      <c r="X15" s="314"/>
      <c r="Y15" s="314"/>
      <c r="Z15" s="314"/>
      <c r="AA15" s="314"/>
      <c r="AB15" s="314"/>
      <c r="AC15" s="648"/>
      <c r="AD15" s="648"/>
      <c r="AE15" s="648"/>
      <c r="AF15" s="648"/>
      <c r="AK15" s="651"/>
      <c r="AL15" s="651"/>
      <c r="AM15" s="651"/>
      <c r="AN15" s="651"/>
      <c r="AO15" s="651"/>
      <c r="AP15" s="651"/>
      <c r="AQ15" s="651"/>
      <c r="AR15" s="581"/>
      <c r="AS15" s="581"/>
    </row>
    <row r="16" spans="1:45" s="64" customFormat="1" ht="11.25" hidden="1" customHeight="1">
      <c r="B16" s="325"/>
      <c r="E16" s="583"/>
      <c r="S16" s="314"/>
      <c r="T16" s="314"/>
      <c r="U16" s="314"/>
      <c r="V16" s="314"/>
      <c r="W16" s="314"/>
      <c r="X16" s="314"/>
      <c r="Y16" s="314"/>
      <c r="Z16" s="314"/>
      <c r="AA16" s="314"/>
      <c r="AB16" s="314"/>
      <c r="AC16" s="648"/>
      <c r="AD16" s="648"/>
      <c r="AE16" s="648"/>
      <c r="AF16" s="648"/>
      <c r="AK16" s="651"/>
      <c r="AL16" s="651"/>
      <c r="AM16" s="651"/>
      <c r="AN16" s="651"/>
      <c r="AO16" s="651"/>
      <c r="AP16" s="651"/>
      <c r="AQ16" s="651"/>
      <c r="AR16" s="581"/>
      <c r="AS16" s="581"/>
    </row>
    <row r="17" spans="1:45" s="64" customFormat="1" ht="11.25" hidden="1" customHeight="1">
      <c r="B17" s="325"/>
      <c r="E17" s="583"/>
      <c r="S17" s="314"/>
      <c r="T17" s="314"/>
      <c r="U17" s="314"/>
      <c r="V17" s="314"/>
      <c r="W17" s="314"/>
      <c r="X17" s="314"/>
      <c r="Y17" s="314"/>
      <c r="Z17" s="314"/>
      <c r="AA17" s="314"/>
      <c r="AB17" s="314"/>
      <c r="AC17" s="648"/>
      <c r="AD17" s="648"/>
      <c r="AE17" s="648"/>
      <c r="AF17" s="648"/>
      <c r="AK17" s="651"/>
      <c r="AL17" s="651"/>
      <c r="AM17" s="651"/>
      <c r="AN17" s="651"/>
      <c r="AO17" s="651"/>
      <c r="AP17" s="651"/>
      <c r="AQ17" s="651"/>
      <c r="AR17" s="581"/>
      <c r="AS17" s="581"/>
    </row>
    <row r="18" spans="1:45" s="64" customFormat="1" ht="11.25" hidden="1" customHeight="1">
      <c r="B18" s="325"/>
      <c r="E18" s="583"/>
      <c r="S18" s="314"/>
      <c r="T18" s="314"/>
      <c r="U18" s="314"/>
      <c r="V18" s="314"/>
      <c r="W18" s="314"/>
      <c r="X18" s="314"/>
      <c r="Y18" s="314"/>
      <c r="Z18" s="314"/>
      <c r="AA18" s="314"/>
      <c r="AB18" s="314"/>
      <c r="AC18" s="117"/>
      <c r="AD18" s="648"/>
      <c r="AE18" s="648"/>
      <c r="AF18" s="648"/>
      <c r="AK18" s="651"/>
      <c r="AL18" s="651"/>
      <c r="AM18" s="651"/>
      <c r="AN18" s="651"/>
      <c r="AO18" s="651"/>
      <c r="AP18" s="651"/>
      <c r="AQ18" s="651"/>
      <c r="AR18" s="581"/>
      <c r="AS18" s="581"/>
    </row>
    <row r="19" spans="1:45" s="64" customFormat="1" ht="11.25" hidden="1" customHeight="1">
      <c r="B19" s="325"/>
      <c r="E19" s="583"/>
      <c r="S19" s="314"/>
      <c r="T19" s="314"/>
      <c r="U19" s="314"/>
      <c r="V19" s="314"/>
      <c r="W19" s="314"/>
      <c r="X19" s="314"/>
      <c r="Y19" s="314"/>
      <c r="Z19" s="314"/>
      <c r="AA19" s="314"/>
      <c r="AB19" s="314"/>
      <c r="AC19" s="648"/>
      <c r="AD19" s="648"/>
      <c r="AE19" s="648"/>
      <c r="AF19" s="648"/>
      <c r="AK19" s="651"/>
      <c r="AL19" s="651"/>
      <c r="AM19" s="651"/>
      <c r="AN19" s="651"/>
      <c r="AO19" s="651"/>
      <c r="AP19" s="651"/>
      <c r="AQ19" s="651"/>
      <c r="AR19" s="581"/>
      <c r="AS19" s="581"/>
    </row>
    <row r="20" spans="1:45" s="64" customFormat="1" ht="11.25" hidden="1" customHeight="1">
      <c r="B20" s="325"/>
      <c r="E20" s="583"/>
      <c r="S20" s="314"/>
      <c r="T20" s="314"/>
      <c r="U20" s="314"/>
      <c r="V20" s="314"/>
      <c r="W20" s="314"/>
      <c r="X20" s="314"/>
      <c r="Y20" s="314"/>
      <c r="Z20" s="314"/>
      <c r="AA20" s="314"/>
      <c r="AB20" s="314"/>
      <c r="AC20" s="648"/>
      <c r="AD20" s="648"/>
      <c r="AE20" s="648"/>
      <c r="AF20" s="648"/>
      <c r="AK20" s="651"/>
      <c r="AL20" s="651"/>
      <c r="AM20" s="651"/>
      <c r="AN20" s="651"/>
      <c r="AO20" s="651"/>
      <c r="AP20" s="651"/>
      <c r="AQ20" s="651"/>
      <c r="AR20" s="581"/>
      <c r="AS20" s="581"/>
    </row>
    <row r="21" spans="1:45" s="64" customFormat="1" ht="14.65" customHeight="1">
      <c r="B21" s="325"/>
      <c r="E21" s="583">
        <v>15</v>
      </c>
      <c r="S21" s="314"/>
      <c r="T21" s="314"/>
      <c r="U21" s="314"/>
      <c r="V21" s="314"/>
      <c r="W21" s="314"/>
      <c r="X21" s="314"/>
      <c r="Y21" s="314"/>
      <c r="Z21" s="314"/>
      <c r="AA21" s="59"/>
      <c r="AC21" s="266" t="str" cm="1">
        <f t="array" ref="AC21">tpl_title</f>
        <v>Кемеровская область / 2026 / МУП "Водоканал" (ИНН:4202043124, КПП:420201001) / ДПР: 2026-2028</v>
      </c>
      <c r="AK21" s="651"/>
      <c r="AL21" s="651"/>
      <c r="AM21" s="651"/>
      <c r="AN21" s="651"/>
      <c r="AO21" s="651"/>
      <c r="AP21" s="651"/>
      <c r="AQ21" s="651"/>
      <c r="AR21" s="581"/>
      <c r="AS21" s="581"/>
    </row>
    <row r="22" spans="1:45" ht="20.45" customHeight="1">
      <c r="E22" s="461">
        <v>21</v>
      </c>
      <c r="R22" s="314"/>
      <c r="AA22" s="314"/>
      <c r="AB22" s="996" t="s">
        <v>414</v>
      </c>
      <c r="AC22" s="997"/>
      <c r="AD22" s="997"/>
      <c r="AE22" s="997"/>
      <c r="AF22" s="997"/>
      <c r="AG22" s="997"/>
      <c r="AH22" s="997"/>
    </row>
    <row r="23" spans="1:45" ht="8.85" customHeight="1">
      <c r="E23" s="461">
        <v>9</v>
      </c>
      <c r="AA23" s="637"/>
      <c r="AB23" s="32"/>
      <c r="AC23" s="32"/>
      <c r="AD23" s="32"/>
      <c r="AE23" s="32"/>
      <c r="AF23" s="1003"/>
      <c r="AG23" s="1003"/>
      <c r="AH23" s="14"/>
    </row>
    <row r="24" spans="1:45" s="38" customFormat="1" ht="25.35" customHeight="1">
      <c r="B24" s="43"/>
      <c r="E24" s="461">
        <v>21</v>
      </c>
      <c r="AB24" s="100" t="s">
        <v>21</v>
      </c>
      <c r="AC24" s="99" t="s">
        <v>415</v>
      </c>
      <c r="AD24" s="99" t="s">
        <v>416</v>
      </c>
      <c r="AE24" s="99" t="s">
        <v>417</v>
      </c>
      <c r="AF24" s="99" t="s">
        <v>418</v>
      </c>
      <c r="AG24" s="99" t="s">
        <v>419</v>
      </c>
      <c r="AH24" s="99" t="s">
        <v>420</v>
      </c>
      <c r="AK24" s="654"/>
      <c r="AL24" s="654"/>
      <c r="AM24" s="654"/>
      <c r="AN24" s="654"/>
      <c r="AO24" s="654"/>
      <c r="AP24" s="654"/>
      <c r="AQ24" s="654"/>
      <c r="AR24" s="446"/>
      <c r="AS24" s="446"/>
    </row>
    <row r="25" spans="1:45" ht="11.25" hidden="1" customHeight="1">
      <c r="A25" s="314"/>
      <c r="B25" s="477"/>
      <c r="C25" s="314"/>
      <c r="D25" s="314"/>
      <c r="E25" s="456">
        <v>0</v>
      </c>
      <c r="F25" s="476"/>
      <c r="G25" s="314"/>
      <c r="H25" s="314"/>
      <c r="I25" s="314"/>
      <c r="J25" s="314"/>
      <c r="K25" s="314"/>
      <c r="L25" s="314"/>
      <c r="M25" s="314"/>
      <c r="N25" s="314"/>
      <c r="O25" s="314"/>
      <c r="P25" s="314"/>
      <c r="Q25" s="314"/>
      <c r="R25" s="314"/>
      <c r="AA25" s="314"/>
      <c r="AB25" s="631"/>
      <c r="AC25" s="18"/>
      <c r="AD25" s="18"/>
      <c r="AE25" s="18"/>
      <c r="AF25" s="18"/>
      <c r="AG25"/>
      <c r="AH25"/>
      <c r="AI25" s="314"/>
      <c r="AJ25" s="314"/>
      <c r="AK25" s="653"/>
      <c r="AL25" s="653"/>
      <c r="AM25" s="653"/>
      <c r="AN25" s="653"/>
      <c r="AO25" s="653"/>
      <c r="AP25" s="655"/>
      <c r="AQ25" s="653"/>
      <c r="AR25" s="478"/>
      <c r="AS25" s="452"/>
    </row>
    <row r="26" spans="1:45" s="38" customFormat="1" ht="15" hidden="1" customHeight="1">
      <c r="B26" s="43"/>
      <c r="E26" s="454" t="s">
        <v>330</v>
      </c>
      <c r="F26" s="38" cm="1">
        <f t="array" ref="F26">Y26</f>
        <v>0</v>
      </c>
      <c r="U26" s="351" t="b">
        <f>Y26&gt;0</f>
        <v>0</v>
      </c>
      <c r="W26" s="38" t="s">
        <v>266</v>
      </c>
      <c r="Y26" s="1024">
        <v>0</v>
      </c>
      <c r="Z26" s="1008"/>
      <c r="AB26" s="94" t="str" cm="1">
        <f t="array" ref="AB26">INDEX('Общие сведения'!$AG$179:$AG$208,MATCH($Y26,'Общие сведения'!$Z$179:$Z$208,0))</f>
        <v xml:space="preserve">Тариф 0 () - </v>
      </c>
      <c r="AC26" s="94"/>
      <c r="AD26" s="88"/>
      <c r="AE26" s="88"/>
      <c r="AF26" s="88"/>
      <c r="AG26" s="88"/>
      <c r="AH26" s="88"/>
      <c r="AK26" s="654"/>
      <c r="AL26" s="654"/>
      <c r="AM26" s="654"/>
      <c r="AN26" s="654"/>
      <c r="AO26" s="654"/>
      <c r="AP26" s="654"/>
      <c r="AQ26" s="654"/>
      <c r="AR26" s="446"/>
      <c r="AS26" s="446"/>
    </row>
    <row r="27" spans="1:45" s="38" customFormat="1" ht="15" hidden="1" customHeight="1">
      <c r="B27" s="43"/>
      <c r="E27" s="456">
        <v>0</v>
      </c>
      <c r="F27" s="38" cm="1">
        <f t="array" aca="1" ref="F27" ca="1">OFFSET(G27,-1,-1)</f>
        <v>0</v>
      </c>
      <c r="U27" s="351" t="b">
        <v>0</v>
      </c>
      <c r="Y27" s="1024"/>
      <c r="Z27" s="1008"/>
      <c r="AB27" s="94"/>
      <c r="AC27" s="94"/>
      <c r="AD27" s="88"/>
      <c r="AE27" s="88"/>
      <c r="AF27" s="88"/>
      <c r="AG27" s="88"/>
      <c r="AH27" s="88"/>
      <c r="AK27" s="654"/>
      <c r="AL27" s="654"/>
      <c r="AM27" s="654"/>
      <c r="AN27" s="654"/>
      <c r="AO27" s="654"/>
      <c r="AP27" s="654"/>
      <c r="AQ27" s="654"/>
      <c r="AR27" s="446"/>
      <c r="AS27" s="446"/>
    </row>
    <row r="28" spans="1:45" s="22" customFormat="1" ht="14.65" hidden="1" customHeight="1">
      <c r="B28" s="43"/>
      <c r="E28" s="456">
        <v>15</v>
      </c>
      <c r="F28" s="22" cm="1">
        <f t="array" aca="1" ref="F28" ca="1">OFFSET(G28,-1,-1)</f>
        <v>0</v>
      </c>
      <c r="I28" s="22" t="s">
        <v>421</v>
      </c>
      <c r="K28" s="22" t="s">
        <v>422</v>
      </c>
      <c r="U28" s="351" t="b">
        <f ca="1">AND(F28&gt;0,AB28&gt;0)</f>
        <v>0</v>
      </c>
      <c r="X28" s="515" t="s">
        <v>171</v>
      </c>
      <c r="Y28" s="1024"/>
      <c r="Z28" s="1008"/>
      <c r="AA28" s="480" t="s">
        <v>172</v>
      </c>
      <c r="AB28" s="7">
        <v>0</v>
      </c>
      <c r="AC28" s="185" t="str">
        <f>I28&amp;" :: "&amp;K28</f>
        <v>Наименование объекта :: адрес</v>
      </c>
      <c r="AD28" s="185"/>
      <c r="AE28" s="185"/>
      <c r="AF28" s="304"/>
      <c r="AG28" s="304"/>
      <c r="AH28" s="816"/>
      <c r="AK28" s="656" t="s">
        <v>423</v>
      </c>
      <c r="AL28" s="656" t="s">
        <v>424</v>
      </c>
      <c r="AM28" s="656" t="str" cm="1">
        <f t="array" ref="AM28">AC28</f>
        <v>Наименование объекта :: адрес</v>
      </c>
      <c r="AN28" s="656" cm="1">
        <f t="array" ref="AN28">AD28</f>
        <v>0</v>
      </c>
      <c r="AO28" s="656" cm="1">
        <f t="array" ref="AO28">AE28</f>
        <v>0</v>
      </c>
      <c r="AP28" s="656" cm="1">
        <f t="array" ref="AP28">AF28</f>
        <v>0</v>
      </c>
      <c r="AQ28" s="656" cm="1">
        <f t="array" ref="AQ28">AG28</f>
        <v>0</v>
      </c>
      <c r="AR28" s="447"/>
      <c r="AS28" s="447" t="b">
        <v>1</v>
      </c>
    </row>
    <row r="29" spans="1:45" s="38" customFormat="1" ht="10.7" hidden="1" customHeight="1">
      <c r="B29" s="43"/>
      <c r="E29" s="456">
        <v>11</v>
      </c>
      <c r="F29" s="38" cm="1">
        <f t="array" aca="1" ref="F29" ca="1">OFFSET(G29,-1,-1)</f>
        <v>0</v>
      </c>
      <c r="U29" s="351" t="b">
        <f ca="1">F29&gt;0</f>
        <v>0</v>
      </c>
      <c r="X29" s="515" t="s">
        <v>425</v>
      </c>
      <c r="Y29" s="1024"/>
      <c r="Z29" s="1008"/>
      <c r="AB29" s="89"/>
      <c r="AC29" s="92" t="s">
        <v>426</v>
      </c>
      <c r="AD29" s="90"/>
      <c r="AE29" s="90"/>
      <c r="AF29" s="90"/>
      <c r="AG29" s="90"/>
      <c r="AH29" s="101"/>
      <c r="AK29" s="654"/>
      <c r="AL29" s="654"/>
      <c r="AM29" s="654"/>
      <c r="AN29" s="654"/>
      <c r="AO29" s="654"/>
      <c r="AP29" s="654"/>
      <c r="AQ29" s="654"/>
      <c r="AR29" s="446" t="s">
        <v>424</v>
      </c>
      <c r="AS29" s="446"/>
    </row>
    <row r="30" spans="1:45" s="394" customFormat="1" ht="27.95" customHeight="1">
      <c r="A30" s="38"/>
      <c r="B30" s="43"/>
      <c r="C30" s="38"/>
      <c r="D30" s="38"/>
      <c r="E30" s="454" t="s">
        <v>330</v>
      </c>
      <c r="F30" s="38" t="str" cm="1">
        <f t="array" ref="F30">Y30</f>
        <v>1</v>
      </c>
      <c r="G30" s="38"/>
      <c r="H30" s="38"/>
      <c r="I30" s="38"/>
      <c r="J30" s="38"/>
      <c r="K30" s="38"/>
      <c r="L30" s="38"/>
      <c r="M30" s="38"/>
      <c r="N30" s="38"/>
      <c r="O30" s="38"/>
      <c r="P30" s="38"/>
      <c r="Q30" s="38"/>
      <c r="R30" s="38"/>
      <c r="S30" s="38"/>
      <c r="T30" s="38"/>
      <c r="U30" s="351" t="b">
        <f>Y30&gt;0</f>
        <v>1</v>
      </c>
      <c r="V30" s="38"/>
      <c r="W30" s="38" t="str" cm="1">
        <f t="array" ref="W30">'Перечень объектов'!$AC$39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30" s="38"/>
      <c r="Y30" s="1024" t="s">
        <v>277</v>
      </c>
      <c r="Z30" s="1008"/>
      <c r="AA30" s="38"/>
      <c r="AB30" s="94" t="str" cm="1">
        <f t="array" ref="AB30">'Перечень объектов'!$AC$39</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30" s="94"/>
      <c r="AD30" s="88"/>
      <c r="AE30" s="88"/>
      <c r="AF30" s="88"/>
      <c r="AG30" s="88"/>
      <c r="AH30" s="88"/>
      <c r="AI30" s="38"/>
      <c r="AJ30" s="38"/>
      <c r="AK30" s="654"/>
      <c r="AL30" s="654"/>
      <c r="AM30" s="654"/>
      <c r="AN30" s="654"/>
      <c r="AO30" s="654"/>
      <c r="AP30" s="654"/>
      <c r="AQ30" s="654"/>
      <c r="AR30" s="446"/>
      <c r="AS30" s="446"/>
    </row>
    <row r="31" spans="1:45" s="394" customFormat="1" ht="15" hidden="1" customHeight="1">
      <c r="A31" s="38"/>
      <c r="B31" s="43"/>
      <c r="C31" s="38"/>
      <c r="D31" s="38"/>
      <c r="E31" s="456">
        <v>0</v>
      </c>
      <c r="F31" s="38" t="str" cm="1">
        <f t="array" aca="1" ref="F31" ca="1">OFFSET(G31,-1,-1)</f>
        <v>1</v>
      </c>
      <c r="G31" s="38"/>
      <c r="H31" s="38"/>
      <c r="I31" s="38"/>
      <c r="J31" s="38"/>
      <c r="K31" s="38"/>
      <c r="L31" s="38"/>
      <c r="M31" s="38"/>
      <c r="N31" s="38"/>
      <c r="O31" s="38"/>
      <c r="P31" s="38"/>
      <c r="Q31" s="38"/>
      <c r="R31" s="38"/>
      <c r="S31" s="38"/>
      <c r="T31" s="38"/>
      <c r="U31" s="351" t="b">
        <v>0</v>
      </c>
      <c r="V31" s="38"/>
      <c r="W31" s="38"/>
      <c r="X31" s="38"/>
      <c r="Y31" s="1024"/>
      <c r="Z31" s="1008"/>
      <c r="AA31" s="38"/>
      <c r="AB31" s="94"/>
      <c r="AC31" s="94"/>
      <c r="AD31" s="88"/>
      <c r="AE31" s="88"/>
      <c r="AF31" s="88"/>
      <c r="AG31" s="88"/>
      <c r="AH31" s="88"/>
      <c r="AI31" s="38"/>
      <c r="AJ31" s="38"/>
      <c r="AK31" s="654"/>
      <c r="AL31" s="654"/>
      <c r="AM31" s="654"/>
      <c r="AN31" s="654"/>
      <c r="AO31" s="654"/>
      <c r="AP31" s="654"/>
      <c r="AQ31" s="654"/>
      <c r="AR31" s="446"/>
      <c r="AS31" s="446"/>
    </row>
    <row r="32" spans="1:45" s="22" customFormat="1" ht="14.25" hidden="1" customHeight="1">
      <c r="B32" s="43"/>
      <c r="E32" s="456">
        <v>15</v>
      </c>
      <c r="F32" s="22" t="str" cm="1">
        <f t="array" aca="1" ref="F32" ca="1">OFFSET(G32,-1,-1)</f>
        <v>1</v>
      </c>
      <c r="I32" s="22" t="s">
        <v>421</v>
      </c>
      <c r="K32" s="22" t="s">
        <v>422</v>
      </c>
      <c r="U32" s="351" t="b">
        <f t="shared" ref="U32:U58" ca="1" si="0">AND(F32&gt;0,AB32&gt;0)</f>
        <v>0</v>
      </c>
      <c r="X32" s="515" t="s">
        <v>171</v>
      </c>
      <c r="Y32" s="1024"/>
      <c r="Z32" s="1008"/>
      <c r="AA32" s="480" t="s">
        <v>172</v>
      </c>
      <c r="AB32" s="7">
        <v>0</v>
      </c>
      <c r="AC32" s="185" t="str">
        <f t="shared" ref="AC32:AC58" si="1">I32&amp;" :: "&amp;K32</f>
        <v>Наименование объекта :: адрес</v>
      </c>
      <c r="AD32" s="185"/>
      <c r="AE32" s="185"/>
      <c r="AF32" s="304"/>
      <c r="AG32" s="304"/>
      <c r="AH32" s="816"/>
      <c r="AK32" s="656" t="s">
        <v>423</v>
      </c>
      <c r="AL32" s="656" t="s">
        <v>424</v>
      </c>
      <c r="AM32" s="656" t="str" cm="1">
        <f t="array" ref="AM32">AC32</f>
        <v>Наименование объекта :: адрес</v>
      </c>
      <c r="AN32" s="656" cm="1">
        <f t="array" ref="AN32">AD32</f>
        <v>0</v>
      </c>
      <c r="AO32" s="656" cm="1">
        <f t="array" ref="AO32">AE32</f>
        <v>0</v>
      </c>
      <c r="AP32" s="656" cm="1">
        <f t="array" ref="AP32">AF32</f>
        <v>0</v>
      </c>
      <c r="AQ32" s="656" cm="1">
        <f t="array" ref="AQ32">AG32</f>
        <v>0</v>
      </c>
      <c r="AR32" s="447"/>
      <c r="AS32" s="447" t="b">
        <v>1</v>
      </c>
    </row>
    <row r="33" spans="2:45" s="22" customFormat="1" ht="24.75" customHeight="1">
      <c r="B33" s="43"/>
      <c r="E33" s="456">
        <v>15</v>
      </c>
      <c r="F33" s="22" t="str" cm="1">
        <f t="array" aca="1" ref="F33" ca="1">OFFSET(G33,-1,-1)</f>
        <v>1</v>
      </c>
      <c r="I33" s="22" t="s">
        <v>427</v>
      </c>
      <c r="K33" s="22" t="s">
        <v>428</v>
      </c>
      <c r="U33" s="351" t="b">
        <f t="shared" ca="1" si="0"/>
        <v>1</v>
      </c>
      <c r="X33" s="515"/>
      <c r="Y33" s="1024"/>
      <c r="Z33" s="1008"/>
      <c r="AA33" s="480" t="s">
        <v>172</v>
      </c>
      <c r="AB33" s="7" t="s">
        <v>277</v>
      </c>
      <c r="AC33" s="185" t="str">
        <f t="shared" si="1"/>
        <v>Водопроводная сеть 4 микрорайон :: г Белово, 0, 0</v>
      </c>
      <c r="AD33" s="185" t="s">
        <v>429</v>
      </c>
      <c r="AE33" s="185" t="s">
        <v>430</v>
      </c>
      <c r="AF33" s="304" t="s">
        <v>431</v>
      </c>
      <c r="AG33" s="304" t="s">
        <v>432</v>
      </c>
      <c r="AH33" s="103" t="s">
        <v>433</v>
      </c>
      <c r="AK33" s="656" t="s">
        <v>423</v>
      </c>
      <c r="AL33" s="656" t="s">
        <v>424</v>
      </c>
      <c r="AM33" s="656" t="str" cm="1">
        <f t="array" ref="AM33">AC33</f>
        <v>Водопроводная сеть 4 микрорайон :: г Белово, 0, 0</v>
      </c>
      <c r="AN33" s="656" t="str" cm="1">
        <f t="array" ref="AN33">AD33</f>
        <v>хозяйственное ведение</v>
      </c>
      <c r="AO33" s="656" t="str" cm="1">
        <f t="array" ref="AO33">AE33</f>
        <v>договор</v>
      </c>
      <c r="AP33" s="656" t="str" cm="1">
        <f t="array" ref="AP33">AF33</f>
        <v>02/18</v>
      </c>
      <c r="AQ33" s="656" t="str" cm="1">
        <f t="array" ref="AQ33">AG33</f>
        <v>09.08.2018</v>
      </c>
      <c r="AR33" s="447"/>
      <c r="AS33" s="447" t="b">
        <v>1</v>
      </c>
    </row>
    <row r="34" spans="2:45" s="22" customFormat="1" ht="24.75" customHeight="1">
      <c r="B34" s="43"/>
      <c r="E34" s="456">
        <v>15</v>
      </c>
      <c r="F34" s="22" t="str" cm="1">
        <f t="array" aca="1" ref="F34" ca="1">OFFSET(G34,-1,-1)</f>
        <v>1</v>
      </c>
      <c r="I34" s="22" t="s">
        <v>434</v>
      </c>
      <c r="K34" s="22" t="s">
        <v>428</v>
      </c>
      <c r="U34" s="351" t="b">
        <f t="shared" ca="1" si="0"/>
        <v>1</v>
      </c>
      <c r="X34" s="515"/>
      <c r="Y34" s="1024"/>
      <c r="Z34" s="1008"/>
      <c r="AA34" s="480" t="s">
        <v>172</v>
      </c>
      <c r="AB34" s="7" t="s">
        <v>435</v>
      </c>
      <c r="AC34" s="185" t="str">
        <f t="shared" si="1"/>
        <v>Сооружения 7 гидроузла :: г Белово, 0, 0</v>
      </c>
      <c r="AD34" s="185" t="s">
        <v>429</v>
      </c>
      <c r="AE34" s="185" t="s">
        <v>430</v>
      </c>
      <c r="AF34" s="304" t="s">
        <v>431</v>
      </c>
      <c r="AG34" s="304" t="s">
        <v>432</v>
      </c>
      <c r="AH34" s="103" t="s">
        <v>433</v>
      </c>
      <c r="AK34" s="656" t="s">
        <v>423</v>
      </c>
      <c r="AL34" s="656" t="s">
        <v>424</v>
      </c>
      <c r="AM34" s="656" t="str" cm="1">
        <f t="array" ref="AM34">AC34</f>
        <v>Сооружения 7 гидроузла :: г Белово, 0, 0</v>
      </c>
      <c r="AN34" s="656" t="str" cm="1">
        <f t="array" ref="AN34">AD34</f>
        <v>хозяйственное ведение</v>
      </c>
      <c r="AO34" s="656" t="str" cm="1">
        <f t="array" ref="AO34">AE34</f>
        <v>договор</v>
      </c>
      <c r="AP34" s="656" t="str" cm="1">
        <f t="array" ref="AP34">AF34</f>
        <v>02/18</v>
      </c>
      <c r="AQ34" s="656" t="str" cm="1">
        <f t="array" ref="AQ34">AG34</f>
        <v>09.08.2018</v>
      </c>
      <c r="AR34" s="447"/>
      <c r="AS34" s="447" t="b">
        <v>1</v>
      </c>
    </row>
    <row r="35" spans="2:45" s="22" customFormat="1" ht="24.75" customHeight="1">
      <c r="B35" s="43"/>
      <c r="E35" s="456">
        <v>15</v>
      </c>
      <c r="F35" s="22" t="str" cm="1">
        <f t="array" aca="1" ref="F35" ca="1">OFFSET(G35,-1,-1)</f>
        <v>1</v>
      </c>
      <c r="I35" s="22" t="s">
        <v>436</v>
      </c>
      <c r="K35" s="22" t="s">
        <v>428</v>
      </c>
      <c r="U35" s="351" t="b">
        <f t="shared" ca="1" si="0"/>
        <v>1</v>
      </c>
      <c r="X35" s="515"/>
      <c r="Y35" s="1024"/>
      <c r="Z35" s="1008"/>
      <c r="AA35" s="480" t="s">
        <v>172</v>
      </c>
      <c r="AB35" s="7" t="s">
        <v>319</v>
      </c>
      <c r="AC35" s="185" t="str">
        <f t="shared" si="1"/>
        <v>Водопроводная сеть мкн 8 Марта :: г Белово, 0, 0</v>
      </c>
      <c r="AD35" s="185" t="s">
        <v>429</v>
      </c>
      <c r="AE35" s="185" t="s">
        <v>430</v>
      </c>
      <c r="AF35" s="304" t="s">
        <v>431</v>
      </c>
      <c r="AG35" s="304" t="s">
        <v>432</v>
      </c>
      <c r="AH35" s="103" t="s">
        <v>433</v>
      </c>
      <c r="AK35" s="656" t="s">
        <v>423</v>
      </c>
      <c r="AL35" s="656" t="s">
        <v>424</v>
      </c>
      <c r="AM35" s="656" t="str" cm="1">
        <f t="array" ref="AM35">AC35</f>
        <v>Водопроводная сеть мкн 8 Марта :: г Белово, 0, 0</v>
      </c>
      <c r="AN35" s="656" t="str" cm="1">
        <f t="array" ref="AN35">AD35</f>
        <v>хозяйственное ведение</v>
      </c>
      <c r="AO35" s="656" t="str" cm="1">
        <f t="array" ref="AO35">AE35</f>
        <v>договор</v>
      </c>
      <c r="AP35" s="656" t="str" cm="1">
        <f t="array" ref="AP35">AF35</f>
        <v>02/18</v>
      </c>
      <c r="AQ35" s="656" t="str" cm="1">
        <f t="array" ref="AQ35">AG35</f>
        <v>09.08.2018</v>
      </c>
      <c r="AR35" s="447"/>
      <c r="AS35" s="447" t="b">
        <v>1</v>
      </c>
    </row>
    <row r="36" spans="2:45" s="22" customFormat="1" ht="24.75" customHeight="1">
      <c r="B36" s="43"/>
      <c r="E36" s="456">
        <v>15</v>
      </c>
      <c r="F36" s="22" t="str" cm="1">
        <f t="array" aca="1" ref="F36" ca="1">OFFSET(G36,-1,-1)</f>
        <v>1</v>
      </c>
      <c r="I36" s="22" t="s">
        <v>437</v>
      </c>
      <c r="K36" s="22" t="s">
        <v>428</v>
      </c>
      <c r="U36" s="351" t="b">
        <f t="shared" ca="1" si="0"/>
        <v>1</v>
      </c>
      <c r="X36" s="515"/>
      <c r="Y36" s="1024"/>
      <c r="Z36" s="1008"/>
      <c r="AA36" s="480" t="s">
        <v>172</v>
      </c>
      <c r="AB36" s="7" t="s">
        <v>438</v>
      </c>
      <c r="AC36" s="185" t="str">
        <f t="shared" si="1"/>
        <v>Водоснабжение п.Старо-Белово :: г Белово, 0, 0</v>
      </c>
      <c r="AD36" s="185" t="s">
        <v>429</v>
      </c>
      <c r="AE36" s="185" t="s">
        <v>430</v>
      </c>
      <c r="AF36" s="304" t="s">
        <v>431</v>
      </c>
      <c r="AG36" s="304" t="s">
        <v>432</v>
      </c>
      <c r="AH36" s="103" t="s">
        <v>433</v>
      </c>
      <c r="AK36" s="656" t="s">
        <v>423</v>
      </c>
      <c r="AL36" s="656" t="s">
        <v>424</v>
      </c>
      <c r="AM36" s="656" t="str" cm="1">
        <f t="array" ref="AM36">AC36</f>
        <v>Водоснабжение п.Старо-Белово :: г Белово, 0, 0</v>
      </c>
      <c r="AN36" s="656" t="str" cm="1">
        <f t="array" ref="AN36">AD36</f>
        <v>хозяйственное ведение</v>
      </c>
      <c r="AO36" s="656" t="str" cm="1">
        <f t="array" ref="AO36">AE36</f>
        <v>договор</v>
      </c>
      <c r="AP36" s="656" t="str" cm="1">
        <f t="array" ref="AP36">AF36</f>
        <v>02/18</v>
      </c>
      <c r="AQ36" s="656" t="str" cm="1">
        <f t="array" ref="AQ36">AG36</f>
        <v>09.08.2018</v>
      </c>
      <c r="AR36" s="447"/>
      <c r="AS36" s="447" t="b">
        <v>1</v>
      </c>
    </row>
    <row r="37" spans="2:45" s="22" customFormat="1" ht="24.75" customHeight="1">
      <c r="B37" s="43"/>
      <c r="E37" s="456">
        <v>15</v>
      </c>
      <c r="F37" s="22" t="str" cm="1">
        <f t="array" aca="1" ref="F37" ca="1">OFFSET(G37,-1,-1)</f>
        <v>1</v>
      </c>
      <c r="I37" s="22" t="s">
        <v>439</v>
      </c>
      <c r="K37" s="22" t="s">
        <v>428</v>
      </c>
      <c r="U37" s="351" t="b">
        <f t="shared" ca="1" si="0"/>
        <v>1</v>
      </c>
      <c r="X37" s="515"/>
      <c r="Y37" s="1024"/>
      <c r="Z37" s="1008"/>
      <c r="AA37" s="480" t="s">
        <v>172</v>
      </c>
      <c r="AB37" s="7" t="s">
        <v>440</v>
      </c>
      <c r="AC37" s="185" t="str">
        <f t="shared" si="1"/>
        <v>Водопроводные сети мкн Телеут :: г Белово, 0, 0</v>
      </c>
      <c r="AD37" s="185" t="s">
        <v>429</v>
      </c>
      <c r="AE37" s="185" t="s">
        <v>430</v>
      </c>
      <c r="AF37" s="304" t="s">
        <v>431</v>
      </c>
      <c r="AG37" s="304" t="s">
        <v>432</v>
      </c>
      <c r="AH37" s="103" t="s">
        <v>433</v>
      </c>
      <c r="AK37" s="656" t="s">
        <v>423</v>
      </c>
      <c r="AL37" s="656" t="s">
        <v>424</v>
      </c>
      <c r="AM37" s="656" t="str" cm="1">
        <f t="array" ref="AM37">AC37</f>
        <v>Водопроводные сети мкн Телеут :: г Белово, 0, 0</v>
      </c>
      <c r="AN37" s="656" t="str" cm="1">
        <f t="array" ref="AN37">AD37</f>
        <v>хозяйственное ведение</v>
      </c>
      <c r="AO37" s="656" t="str" cm="1">
        <f t="array" ref="AO37">AE37</f>
        <v>договор</v>
      </c>
      <c r="AP37" s="656" t="str" cm="1">
        <f t="array" ref="AP37">AF37</f>
        <v>02/18</v>
      </c>
      <c r="AQ37" s="656" t="str" cm="1">
        <f t="array" ref="AQ37">AG37</f>
        <v>09.08.2018</v>
      </c>
      <c r="AR37" s="447"/>
      <c r="AS37" s="447" t="b">
        <v>1</v>
      </c>
    </row>
    <row r="38" spans="2:45" s="22" customFormat="1" ht="24.75" customHeight="1">
      <c r="B38" s="43"/>
      <c r="E38" s="456">
        <v>15</v>
      </c>
      <c r="F38" s="22" t="str" cm="1">
        <f t="array" aca="1" ref="F38" ca="1">OFFSET(G38,-1,-1)</f>
        <v>1</v>
      </c>
      <c r="I38" s="22" t="s">
        <v>441</v>
      </c>
      <c r="K38" s="22" t="s">
        <v>428</v>
      </c>
      <c r="U38" s="351" t="b">
        <f t="shared" ca="1" si="0"/>
        <v>1</v>
      </c>
      <c r="X38" s="515"/>
      <c r="Y38" s="1024"/>
      <c r="Z38" s="1008"/>
      <c r="AA38" s="480" t="s">
        <v>172</v>
      </c>
      <c r="AB38" s="7" t="s">
        <v>442</v>
      </c>
      <c r="AC38" s="185" t="str">
        <f t="shared" si="1"/>
        <v>Водопроводная сеть гидроузел №7-гидроузел №5 :: г Белово, 0, 0</v>
      </c>
      <c r="AD38" s="185" t="s">
        <v>429</v>
      </c>
      <c r="AE38" s="185" t="s">
        <v>430</v>
      </c>
      <c r="AF38" s="304" t="s">
        <v>431</v>
      </c>
      <c r="AG38" s="304" t="s">
        <v>432</v>
      </c>
      <c r="AH38" s="103" t="s">
        <v>433</v>
      </c>
      <c r="AK38" s="656" t="s">
        <v>423</v>
      </c>
      <c r="AL38" s="656" t="s">
        <v>424</v>
      </c>
      <c r="AM38" s="656" t="str" cm="1">
        <f t="array" ref="AM38">AC38</f>
        <v>Водопроводная сеть гидроузел №7-гидроузел №5 :: г Белово, 0, 0</v>
      </c>
      <c r="AN38" s="656" t="str" cm="1">
        <f t="array" ref="AN38">AD38</f>
        <v>хозяйственное ведение</v>
      </c>
      <c r="AO38" s="656" t="str" cm="1">
        <f t="array" ref="AO38">AE38</f>
        <v>договор</v>
      </c>
      <c r="AP38" s="656" t="str" cm="1">
        <f t="array" ref="AP38">AF38</f>
        <v>02/18</v>
      </c>
      <c r="AQ38" s="656" t="str" cm="1">
        <f t="array" ref="AQ38">AG38</f>
        <v>09.08.2018</v>
      </c>
      <c r="AR38" s="447"/>
      <c r="AS38" s="447" t="b">
        <v>1</v>
      </c>
    </row>
    <row r="39" spans="2:45" s="22" customFormat="1" ht="24.75" customHeight="1">
      <c r="B39" s="43"/>
      <c r="E39" s="456">
        <v>15</v>
      </c>
      <c r="F39" s="22" t="str" cm="1">
        <f t="array" aca="1" ref="F39" ca="1">OFFSET(G39,-1,-1)</f>
        <v>1</v>
      </c>
      <c r="I39" s="22" t="s">
        <v>443</v>
      </c>
      <c r="K39" s="22" t="s">
        <v>428</v>
      </c>
      <c r="U39" s="351" t="b">
        <f t="shared" ca="1" si="0"/>
        <v>1</v>
      </c>
      <c r="X39" s="515"/>
      <c r="Y39" s="1024"/>
      <c r="Z39" s="1008"/>
      <c r="AA39" s="480" t="s">
        <v>172</v>
      </c>
      <c r="AB39" s="7" t="s">
        <v>444</v>
      </c>
      <c r="AC39" s="185" t="str">
        <f t="shared" si="1"/>
        <v>Городская распределительная сеть от гидроузла №7 (центральная часть) :: г Белово, 0, 0</v>
      </c>
      <c r="AD39" s="185" t="s">
        <v>429</v>
      </c>
      <c r="AE39" s="185" t="s">
        <v>430</v>
      </c>
      <c r="AF39" s="304" t="s">
        <v>431</v>
      </c>
      <c r="AG39" s="304" t="s">
        <v>432</v>
      </c>
      <c r="AH39" s="103" t="s">
        <v>433</v>
      </c>
      <c r="AK39" s="656" t="s">
        <v>423</v>
      </c>
      <c r="AL39" s="656" t="s">
        <v>424</v>
      </c>
      <c r="AM39" s="656" t="str" cm="1">
        <f t="array" ref="AM39">AC39</f>
        <v>Городская распределительная сеть от гидроузла №7 (центральная часть) :: г Белово, 0, 0</v>
      </c>
      <c r="AN39" s="656" t="str" cm="1">
        <f t="array" ref="AN39">AD39</f>
        <v>хозяйственное ведение</v>
      </c>
      <c r="AO39" s="656" t="str" cm="1">
        <f t="array" ref="AO39">AE39</f>
        <v>договор</v>
      </c>
      <c r="AP39" s="656" t="str" cm="1">
        <f t="array" ref="AP39">AF39</f>
        <v>02/18</v>
      </c>
      <c r="AQ39" s="656" t="str" cm="1">
        <f t="array" ref="AQ39">AG39</f>
        <v>09.08.2018</v>
      </c>
      <c r="AR39" s="447"/>
      <c r="AS39" s="447" t="b">
        <v>1</v>
      </c>
    </row>
    <row r="40" spans="2:45" s="22" customFormat="1" ht="24.75" customHeight="1">
      <c r="B40" s="43"/>
      <c r="E40" s="456">
        <v>15</v>
      </c>
      <c r="F40" s="22" t="str" cm="1">
        <f t="array" aca="1" ref="F40" ca="1">OFFSET(G40,-1,-1)</f>
        <v>1</v>
      </c>
      <c r="I40" s="22" t="s">
        <v>445</v>
      </c>
      <c r="K40" s="22" t="s">
        <v>428</v>
      </c>
      <c r="U40" s="351" t="b">
        <f t="shared" ca="1" si="0"/>
        <v>1</v>
      </c>
      <c r="X40" s="515"/>
      <c r="Y40" s="1024"/>
      <c r="Z40" s="1008"/>
      <c r="AA40" s="480" t="s">
        <v>172</v>
      </c>
      <c r="AB40" s="7" t="s">
        <v>446</v>
      </c>
      <c r="AC40" s="185" t="str">
        <f t="shared" si="1"/>
        <v>Водопроводная сеть от ВК в пойме р. Иня до гидроузла №7 :: г Белово, 0, 0</v>
      </c>
      <c r="AD40" s="185" t="s">
        <v>429</v>
      </c>
      <c r="AE40" s="185" t="s">
        <v>430</v>
      </c>
      <c r="AF40" s="304" t="s">
        <v>431</v>
      </c>
      <c r="AG40" s="304" t="s">
        <v>432</v>
      </c>
      <c r="AH40" s="103" t="s">
        <v>433</v>
      </c>
      <c r="AK40" s="656" t="s">
        <v>423</v>
      </c>
      <c r="AL40" s="656" t="s">
        <v>424</v>
      </c>
      <c r="AM40" s="656" t="str" cm="1">
        <f t="array" ref="AM40">AC40</f>
        <v>Водопроводная сеть от ВК в пойме р. Иня до гидроузла №7 :: г Белово, 0, 0</v>
      </c>
      <c r="AN40" s="656" t="str" cm="1">
        <f t="array" ref="AN40">AD40</f>
        <v>хозяйственное ведение</v>
      </c>
      <c r="AO40" s="656" t="str" cm="1">
        <f t="array" ref="AO40">AE40</f>
        <v>договор</v>
      </c>
      <c r="AP40" s="656" t="str" cm="1">
        <f t="array" ref="AP40">AF40</f>
        <v>02/18</v>
      </c>
      <c r="AQ40" s="656" t="str" cm="1">
        <f t="array" ref="AQ40">AG40</f>
        <v>09.08.2018</v>
      </c>
      <c r="AR40" s="447"/>
      <c r="AS40" s="447" t="b">
        <v>1</v>
      </c>
    </row>
    <row r="41" spans="2:45" s="22" customFormat="1" ht="24.75" customHeight="1">
      <c r="B41" s="43"/>
      <c r="E41" s="456">
        <v>15</v>
      </c>
      <c r="F41" s="22" t="str" cm="1">
        <f t="array" aca="1" ref="F41" ca="1">OFFSET(G41,-1,-1)</f>
        <v>1</v>
      </c>
      <c r="I41" s="22" t="s">
        <v>447</v>
      </c>
      <c r="K41" s="22" t="s">
        <v>428</v>
      </c>
      <c r="U41" s="351" t="b">
        <f t="shared" ca="1" si="0"/>
        <v>1</v>
      </c>
      <c r="X41" s="515"/>
      <c r="Y41" s="1024"/>
      <c r="Z41" s="1008"/>
      <c r="AA41" s="480" t="s">
        <v>172</v>
      </c>
      <c r="AB41" s="7" t="s">
        <v>448</v>
      </c>
      <c r="AC41" s="185" t="str">
        <f t="shared" si="1"/>
        <v>Водопроводные сети п.Чертинский :: г Белово, 0, 0</v>
      </c>
      <c r="AD41" s="185" t="s">
        <v>429</v>
      </c>
      <c r="AE41" s="185" t="s">
        <v>430</v>
      </c>
      <c r="AF41" s="304" t="s">
        <v>431</v>
      </c>
      <c r="AG41" s="304" t="s">
        <v>432</v>
      </c>
      <c r="AH41" s="103" t="s">
        <v>433</v>
      </c>
      <c r="AK41" s="656" t="s">
        <v>423</v>
      </c>
      <c r="AL41" s="656" t="s">
        <v>424</v>
      </c>
      <c r="AM41" s="656" t="str" cm="1">
        <f t="array" ref="AM41">AC41</f>
        <v>Водопроводные сети п.Чертинский :: г Белово, 0, 0</v>
      </c>
      <c r="AN41" s="656" t="str" cm="1">
        <f t="array" ref="AN41">AD41</f>
        <v>хозяйственное ведение</v>
      </c>
      <c r="AO41" s="656" t="str" cm="1">
        <f t="array" ref="AO41">AE41</f>
        <v>договор</v>
      </c>
      <c r="AP41" s="656" t="str" cm="1">
        <f t="array" ref="AP41">AF41</f>
        <v>02/18</v>
      </c>
      <c r="AQ41" s="656" t="str" cm="1">
        <f t="array" ref="AQ41">AG41</f>
        <v>09.08.2018</v>
      </c>
      <c r="AR41" s="447"/>
      <c r="AS41" s="447" t="b">
        <v>1</v>
      </c>
    </row>
    <row r="42" spans="2:45" s="22" customFormat="1" ht="24.75" customHeight="1">
      <c r="B42" s="43"/>
      <c r="E42" s="456">
        <v>15</v>
      </c>
      <c r="F42" s="22" t="str" cm="1">
        <f t="array" aca="1" ref="F42" ca="1">OFFSET(G42,-1,-1)</f>
        <v>1</v>
      </c>
      <c r="I42" s="22" t="s">
        <v>449</v>
      </c>
      <c r="K42" s="22" t="s">
        <v>428</v>
      </c>
      <c r="U42" s="351" t="b">
        <f t="shared" ca="1" si="0"/>
        <v>1</v>
      </c>
      <c r="X42" s="515"/>
      <c r="Y42" s="1024"/>
      <c r="Z42" s="1008"/>
      <c r="AA42" s="480" t="s">
        <v>172</v>
      </c>
      <c r="AB42" s="7" t="s">
        <v>450</v>
      </c>
      <c r="AC42" s="185" t="str">
        <f t="shared" si="1"/>
        <v>Гидроузел №7 :: г Белово, 0, 0</v>
      </c>
      <c r="AD42" s="185" t="s">
        <v>429</v>
      </c>
      <c r="AE42" s="185" t="s">
        <v>430</v>
      </c>
      <c r="AF42" s="304" t="s">
        <v>431</v>
      </c>
      <c r="AG42" s="304" t="s">
        <v>432</v>
      </c>
      <c r="AH42" s="103" t="s">
        <v>433</v>
      </c>
      <c r="AK42" s="656" t="s">
        <v>423</v>
      </c>
      <c r="AL42" s="656" t="s">
        <v>424</v>
      </c>
      <c r="AM42" s="656" t="str" cm="1">
        <f t="array" ref="AM42">AC42</f>
        <v>Гидроузел №7 :: г Белово, 0, 0</v>
      </c>
      <c r="AN42" s="656" t="str" cm="1">
        <f t="array" ref="AN42">AD42</f>
        <v>хозяйственное ведение</v>
      </c>
      <c r="AO42" s="656" t="str" cm="1">
        <f t="array" ref="AO42">AE42</f>
        <v>договор</v>
      </c>
      <c r="AP42" s="656" t="str" cm="1">
        <f t="array" ref="AP42">AF42</f>
        <v>02/18</v>
      </c>
      <c r="AQ42" s="656" t="str" cm="1">
        <f t="array" ref="AQ42">AG42</f>
        <v>09.08.2018</v>
      </c>
      <c r="AR42" s="447"/>
      <c r="AS42" s="447" t="b">
        <v>1</v>
      </c>
    </row>
    <row r="43" spans="2:45" s="22" customFormat="1" ht="24.75" customHeight="1">
      <c r="B43" s="43"/>
      <c r="E43" s="456">
        <v>15</v>
      </c>
      <c r="F43" s="22" t="str" cm="1">
        <f t="array" aca="1" ref="F43" ca="1">OFFSET(G43,-1,-1)</f>
        <v>1</v>
      </c>
      <c r="I43" s="22" t="s">
        <v>451</v>
      </c>
      <c r="K43" s="22" t="s">
        <v>428</v>
      </c>
      <c r="U43" s="351" t="b">
        <f t="shared" ca="1" si="0"/>
        <v>1</v>
      </c>
      <c r="X43" s="515"/>
      <c r="Y43" s="1024"/>
      <c r="Z43" s="1008"/>
      <c r="AA43" s="480" t="s">
        <v>172</v>
      </c>
      <c r="AB43" s="7" t="s">
        <v>452</v>
      </c>
      <c r="AC43" s="185" t="str">
        <f t="shared" si="1"/>
        <v>Водопроводные сети п.Бабанаково :: г Белово, 0, 0</v>
      </c>
      <c r="AD43" s="185" t="s">
        <v>429</v>
      </c>
      <c r="AE43" s="185" t="s">
        <v>430</v>
      </c>
      <c r="AF43" s="304" t="s">
        <v>431</v>
      </c>
      <c r="AG43" s="304" t="s">
        <v>432</v>
      </c>
      <c r="AH43" s="103" t="s">
        <v>433</v>
      </c>
      <c r="AK43" s="656" t="s">
        <v>423</v>
      </c>
      <c r="AL43" s="656" t="s">
        <v>424</v>
      </c>
      <c r="AM43" s="656" t="str" cm="1">
        <f t="array" ref="AM43">AC43</f>
        <v>Водопроводные сети п.Бабанаково :: г Белово, 0, 0</v>
      </c>
      <c r="AN43" s="656" t="str" cm="1">
        <f t="array" ref="AN43">AD43</f>
        <v>хозяйственное ведение</v>
      </c>
      <c r="AO43" s="656" t="str" cm="1">
        <f t="array" ref="AO43">AE43</f>
        <v>договор</v>
      </c>
      <c r="AP43" s="656" t="str" cm="1">
        <f t="array" ref="AP43">AF43</f>
        <v>02/18</v>
      </c>
      <c r="AQ43" s="656" t="str" cm="1">
        <f t="array" ref="AQ43">AG43</f>
        <v>09.08.2018</v>
      </c>
      <c r="AR43" s="447"/>
      <c r="AS43" s="447" t="b">
        <v>1</v>
      </c>
    </row>
    <row r="44" spans="2:45" s="22" customFormat="1" ht="24.75" customHeight="1">
      <c r="B44" s="43"/>
      <c r="E44" s="456">
        <v>15</v>
      </c>
      <c r="F44" s="22" t="str" cm="1">
        <f t="array" aca="1" ref="F44" ca="1">OFFSET(G44,-1,-1)</f>
        <v>1</v>
      </c>
      <c r="I44" s="22" t="s">
        <v>453</v>
      </c>
      <c r="K44" s="22" t="s">
        <v>428</v>
      </c>
      <c r="U44" s="351" t="b">
        <f t="shared" ca="1" si="0"/>
        <v>1</v>
      </c>
      <c r="X44" s="515"/>
      <c r="Y44" s="1024"/>
      <c r="Z44" s="1008"/>
      <c r="AA44" s="480" t="s">
        <v>172</v>
      </c>
      <c r="AB44" s="7" t="s">
        <v>454</v>
      </c>
      <c r="AC44" s="185" t="str">
        <f t="shared" si="1"/>
        <v>Водопроводные сети 3 микрорайона :: г Белово, 0, 0</v>
      </c>
      <c r="AD44" s="185" t="s">
        <v>429</v>
      </c>
      <c r="AE44" s="185" t="s">
        <v>430</v>
      </c>
      <c r="AF44" s="304" t="s">
        <v>431</v>
      </c>
      <c r="AG44" s="304" t="s">
        <v>432</v>
      </c>
      <c r="AH44" s="103" t="s">
        <v>433</v>
      </c>
      <c r="AK44" s="656" t="s">
        <v>423</v>
      </c>
      <c r="AL44" s="656" t="s">
        <v>424</v>
      </c>
      <c r="AM44" s="656" t="str" cm="1">
        <f t="array" ref="AM44">AC44</f>
        <v>Водопроводные сети 3 микрорайона :: г Белово, 0, 0</v>
      </c>
      <c r="AN44" s="656" t="str" cm="1">
        <f t="array" ref="AN44">AD44</f>
        <v>хозяйственное ведение</v>
      </c>
      <c r="AO44" s="656" t="str" cm="1">
        <f t="array" ref="AO44">AE44</f>
        <v>договор</v>
      </c>
      <c r="AP44" s="656" t="str" cm="1">
        <f t="array" ref="AP44">AF44</f>
        <v>02/18</v>
      </c>
      <c r="AQ44" s="656" t="str" cm="1">
        <f t="array" ref="AQ44">AG44</f>
        <v>09.08.2018</v>
      </c>
      <c r="AR44" s="447"/>
      <c r="AS44" s="447" t="b">
        <v>1</v>
      </c>
    </row>
    <row r="45" spans="2:45" s="22" customFormat="1" ht="24.75" customHeight="1">
      <c r="B45" s="43"/>
      <c r="E45" s="456">
        <v>15</v>
      </c>
      <c r="F45" s="22" t="str" cm="1">
        <f t="array" aca="1" ref="F45" ca="1">OFFSET(G45,-1,-1)</f>
        <v>1</v>
      </c>
      <c r="I45" s="22" t="s">
        <v>455</v>
      </c>
      <c r="K45" s="22" t="s">
        <v>428</v>
      </c>
      <c r="U45" s="351" t="b">
        <f t="shared" ca="1" si="0"/>
        <v>1</v>
      </c>
      <c r="X45" s="515"/>
      <c r="Y45" s="1024"/>
      <c r="Z45" s="1008"/>
      <c r="AA45" s="480" t="s">
        <v>172</v>
      </c>
      <c r="AB45" s="7" t="s">
        <v>456</v>
      </c>
      <c r="AC45" s="185" t="str">
        <f t="shared" si="1"/>
        <v>Водовод от гидроузла №7 до 3 микрорайона :: г Белово, 0, 0</v>
      </c>
      <c r="AD45" s="185" t="s">
        <v>429</v>
      </c>
      <c r="AE45" s="185" t="s">
        <v>430</v>
      </c>
      <c r="AF45" s="304" t="s">
        <v>431</v>
      </c>
      <c r="AG45" s="304" t="s">
        <v>432</v>
      </c>
      <c r="AH45" s="103" t="s">
        <v>457</v>
      </c>
      <c r="AK45" s="656" t="s">
        <v>423</v>
      </c>
      <c r="AL45" s="656" t="s">
        <v>424</v>
      </c>
      <c r="AM45" s="656" t="str" cm="1">
        <f t="array" ref="AM45">AC45</f>
        <v>Водовод от гидроузла №7 до 3 микрорайона :: г Белово, 0, 0</v>
      </c>
      <c r="AN45" s="656" t="str" cm="1">
        <f t="array" ref="AN45">AD45</f>
        <v>хозяйственное ведение</v>
      </c>
      <c r="AO45" s="656" t="str" cm="1">
        <f t="array" ref="AO45">AE45</f>
        <v>договор</v>
      </c>
      <c r="AP45" s="656" t="str" cm="1">
        <f t="array" ref="AP45">AF45</f>
        <v>02/18</v>
      </c>
      <c r="AQ45" s="656" t="str" cm="1">
        <f t="array" ref="AQ45">AG45</f>
        <v>09.08.2018</v>
      </c>
      <c r="AR45" s="447"/>
      <c r="AS45" s="447" t="b">
        <v>1</v>
      </c>
    </row>
    <row r="46" spans="2:45" s="22" customFormat="1" ht="24.75" customHeight="1">
      <c r="B46" s="43"/>
      <c r="E46" s="456">
        <v>15</v>
      </c>
      <c r="F46" s="22" t="str" cm="1">
        <f t="array" aca="1" ref="F46" ca="1">OFFSET(G46,-1,-1)</f>
        <v>1</v>
      </c>
      <c r="I46" s="22" t="s">
        <v>458</v>
      </c>
      <c r="K46" s="22" t="s">
        <v>459</v>
      </c>
      <c r="U46" s="351" t="b">
        <f t="shared" ca="1" si="0"/>
        <v>1</v>
      </c>
      <c r="X46" s="515"/>
      <c r="Y46" s="1024"/>
      <c r="Z46" s="1008"/>
      <c r="AA46" s="480" t="s">
        <v>172</v>
      </c>
      <c r="AB46" s="7" t="s">
        <v>460</v>
      </c>
      <c r="AC46" s="185" t="str">
        <f t="shared" si="1"/>
        <v>Насосная станция подкачки ул.Октябрьская :: г Белово, ул. Октябрьская, 0</v>
      </c>
      <c r="AD46" s="185" t="s">
        <v>429</v>
      </c>
      <c r="AE46" s="185" t="s">
        <v>430</v>
      </c>
      <c r="AF46" s="304" t="s">
        <v>431</v>
      </c>
      <c r="AG46" s="304" t="s">
        <v>432</v>
      </c>
      <c r="AH46" s="103" t="s">
        <v>433</v>
      </c>
      <c r="AK46" s="656" t="s">
        <v>423</v>
      </c>
      <c r="AL46" s="656" t="s">
        <v>424</v>
      </c>
      <c r="AM46" s="656" t="str" cm="1">
        <f t="array" ref="AM46">AC46</f>
        <v>Насосная станция подкачки ул.Октябрьская :: г Белово, ул. Октябрьская, 0</v>
      </c>
      <c r="AN46" s="656" t="str" cm="1">
        <f t="array" ref="AN46">AD46</f>
        <v>хозяйственное ведение</v>
      </c>
      <c r="AO46" s="656" t="str" cm="1">
        <f t="array" ref="AO46">AE46</f>
        <v>договор</v>
      </c>
      <c r="AP46" s="656" t="str" cm="1">
        <f t="array" ref="AP46">AF46</f>
        <v>02/18</v>
      </c>
      <c r="AQ46" s="656" t="str" cm="1">
        <f t="array" ref="AQ46">AG46</f>
        <v>09.08.2018</v>
      </c>
      <c r="AR46" s="447"/>
      <c r="AS46" s="447" t="b">
        <v>1</v>
      </c>
    </row>
    <row r="47" spans="2:45" s="22" customFormat="1" ht="24.75" customHeight="1">
      <c r="B47" s="43"/>
      <c r="E47" s="456">
        <v>15</v>
      </c>
      <c r="F47" s="22" t="str" cm="1">
        <f t="array" aca="1" ref="F47" ca="1">OFFSET(G47,-1,-1)</f>
        <v>1</v>
      </c>
      <c r="I47" s="22" t="s">
        <v>461</v>
      </c>
      <c r="K47" s="22" t="s">
        <v>462</v>
      </c>
      <c r="U47" s="351" t="b">
        <f t="shared" ca="1" si="0"/>
        <v>1</v>
      </c>
      <c r="X47" s="515"/>
      <c r="Y47" s="1024"/>
      <c r="Z47" s="1008"/>
      <c r="AA47" s="480" t="s">
        <v>172</v>
      </c>
      <c r="AB47" s="7" t="s">
        <v>330</v>
      </c>
      <c r="AC47" s="185" t="str">
        <f t="shared" si="1"/>
        <v>Гидроузел №3 :: г Белово, ул. Пролетарская, 3</v>
      </c>
      <c r="AD47" s="185" t="s">
        <v>429</v>
      </c>
      <c r="AE47" s="185" t="s">
        <v>430</v>
      </c>
      <c r="AF47" s="304" t="s">
        <v>431</v>
      </c>
      <c r="AG47" s="304" t="s">
        <v>432</v>
      </c>
      <c r="AH47" s="103" t="s">
        <v>433</v>
      </c>
      <c r="AK47" s="656" t="s">
        <v>423</v>
      </c>
      <c r="AL47" s="656" t="s">
        <v>424</v>
      </c>
      <c r="AM47" s="656" t="str" cm="1">
        <f t="array" ref="AM47">AC47</f>
        <v>Гидроузел №3 :: г Белово, ул. Пролетарская, 3</v>
      </c>
      <c r="AN47" s="656" t="str" cm="1">
        <f t="array" ref="AN47">AD47</f>
        <v>хозяйственное ведение</v>
      </c>
      <c r="AO47" s="656" t="str" cm="1">
        <f t="array" ref="AO47">AE47</f>
        <v>договор</v>
      </c>
      <c r="AP47" s="656" t="str" cm="1">
        <f t="array" ref="AP47">AF47</f>
        <v>02/18</v>
      </c>
      <c r="AQ47" s="656" t="str" cm="1">
        <f t="array" ref="AQ47">AG47</f>
        <v>09.08.2018</v>
      </c>
      <c r="AR47" s="447"/>
      <c r="AS47" s="447" t="b">
        <v>1</v>
      </c>
    </row>
    <row r="48" spans="2:45" s="22" customFormat="1" ht="24.75" customHeight="1">
      <c r="B48" s="43"/>
      <c r="E48" s="456">
        <v>15</v>
      </c>
      <c r="F48" s="22" t="str" cm="1">
        <f t="array" aca="1" ref="F48" ca="1">OFFSET(G48,-1,-1)</f>
        <v>1</v>
      </c>
      <c r="I48" s="22" t="s">
        <v>463</v>
      </c>
      <c r="K48" s="22" t="s">
        <v>464</v>
      </c>
      <c r="U48" s="351" t="b">
        <f t="shared" ca="1" si="0"/>
        <v>1</v>
      </c>
      <c r="X48" s="515"/>
      <c r="Y48" s="1024"/>
      <c r="Z48" s="1008"/>
      <c r="AA48" s="480" t="s">
        <v>172</v>
      </c>
      <c r="AB48" s="7" t="s">
        <v>465</v>
      </c>
      <c r="AC48" s="185" t="str">
        <f t="shared" si="1"/>
        <v>Насосная станция подкачки ул.Советская :: г Белово, ул. Советский, 0</v>
      </c>
      <c r="AD48" s="185" t="s">
        <v>429</v>
      </c>
      <c r="AE48" s="185" t="s">
        <v>430</v>
      </c>
      <c r="AF48" s="304" t="s">
        <v>431</v>
      </c>
      <c r="AG48" s="304" t="s">
        <v>432</v>
      </c>
      <c r="AH48" s="103" t="s">
        <v>433</v>
      </c>
      <c r="AK48" s="656" t="s">
        <v>423</v>
      </c>
      <c r="AL48" s="656" t="s">
        <v>424</v>
      </c>
      <c r="AM48" s="656" t="str" cm="1">
        <f t="array" ref="AM48">AC48</f>
        <v>Насосная станция подкачки ул.Советская :: г Белово, ул. Советский, 0</v>
      </c>
      <c r="AN48" s="656" t="str" cm="1">
        <f t="array" ref="AN48">AD48</f>
        <v>хозяйственное ведение</v>
      </c>
      <c r="AO48" s="656" t="str" cm="1">
        <f t="array" ref="AO48">AE48</f>
        <v>договор</v>
      </c>
      <c r="AP48" s="656" t="str" cm="1">
        <f t="array" ref="AP48">AF48</f>
        <v>02/18</v>
      </c>
      <c r="AQ48" s="656" t="str" cm="1">
        <f t="array" ref="AQ48">AG48</f>
        <v>09.08.2018</v>
      </c>
      <c r="AR48" s="447"/>
      <c r="AS48" s="447" t="b">
        <v>1</v>
      </c>
    </row>
    <row r="49" spans="1:45" s="22" customFormat="1" ht="24.75" customHeight="1">
      <c r="B49" s="43"/>
      <c r="E49" s="456">
        <v>15</v>
      </c>
      <c r="F49" s="22" t="str" cm="1">
        <f t="array" aca="1" ref="F49" ca="1">OFFSET(G49,-1,-1)</f>
        <v>1</v>
      </c>
      <c r="I49" s="22" t="s">
        <v>466</v>
      </c>
      <c r="K49" s="22" t="s">
        <v>467</v>
      </c>
      <c r="U49" s="351" t="b">
        <f t="shared" ca="1" si="0"/>
        <v>1</v>
      </c>
      <c r="X49" s="515"/>
      <c r="Y49" s="1024"/>
      <c r="Z49" s="1008"/>
      <c r="AA49" s="480" t="s">
        <v>172</v>
      </c>
      <c r="AB49" s="7" t="s">
        <v>468</v>
      </c>
      <c r="AC49" s="185" t="str">
        <f t="shared" si="1"/>
        <v>Водоснабжение п.Уроп :: д Уроп, 0, 0</v>
      </c>
      <c r="AD49" s="185" t="s">
        <v>429</v>
      </c>
      <c r="AE49" s="185" t="s">
        <v>430</v>
      </c>
      <c r="AF49" s="304" t="s">
        <v>431</v>
      </c>
      <c r="AG49" s="304" t="s">
        <v>432</v>
      </c>
      <c r="AH49" s="103" t="s">
        <v>433</v>
      </c>
      <c r="AK49" s="656" t="s">
        <v>423</v>
      </c>
      <c r="AL49" s="656" t="s">
        <v>424</v>
      </c>
      <c r="AM49" s="656" t="str" cm="1">
        <f t="array" ref="AM49">AC49</f>
        <v>Водоснабжение п.Уроп :: д Уроп, 0, 0</v>
      </c>
      <c r="AN49" s="656" t="str" cm="1">
        <f t="array" ref="AN49">AD49</f>
        <v>хозяйственное ведение</v>
      </c>
      <c r="AO49" s="656" t="str" cm="1">
        <f t="array" ref="AO49">AE49</f>
        <v>договор</v>
      </c>
      <c r="AP49" s="656" t="str" cm="1">
        <f t="array" ref="AP49">AF49</f>
        <v>02/18</v>
      </c>
      <c r="AQ49" s="656" t="str" cm="1">
        <f t="array" ref="AQ49">AG49</f>
        <v>09.08.2018</v>
      </c>
      <c r="AR49" s="447"/>
      <c r="AS49" s="447" t="b">
        <v>1</v>
      </c>
    </row>
    <row r="50" spans="1:45" s="22" customFormat="1" ht="24.75" customHeight="1">
      <c r="B50" s="43"/>
      <c r="E50" s="456">
        <v>15</v>
      </c>
      <c r="F50" s="22" t="str" cm="1">
        <f t="array" aca="1" ref="F50" ca="1">OFFSET(G50,-1,-1)</f>
        <v>1</v>
      </c>
      <c r="I50" s="22" t="s">
        <v>469</v>
      </c>
      <c r="K50" s="22" t="s">
        <v>467</v>
      </c>
      <c r="U50" s="351" t="b">
        <f t="shared" ca="1" si="0"/>
        <v>1</v>
      </c>
      <c r="X50" s="515"/>
      <c r="Y50" s="1024"/>
      <c r="Z50" s="1008"/>
      <c r="AA50" s="480" t="s">
        <v>172</v>
      </c>
      <c r="AB50" s="7" t="s">
        <v>470</v>
      </c>
      <c r="AC50" s="185" t="str">
        <f t="shared" si="1"/>
        <v>Гидроузел №2 :: д Уроп, 0, 0</v>
      </c>
      <c r="AD50" s="185" t="s">
        <v>429</v>
      </c>
      <c r="AE50" s="185" t="s">
        <v>430</v>
      </c>
      <c r="AF50" s="304" t="s">
        <v>431</v>
      </c>
      <c r="AG50" s="304" t="s">
        <v>432</v>
      </c>
      <c r="AH50" s="103" t="s">
        <v>433</v>
      </c>
      <c r="AK50" s="656" t="s">
        <v>423</v>
      </c>
      <c r="AL50" s="656" t="s">
        <v>424</v>
      </c>
      <c r="AM50" s="656" t="str" cm="1">
        <f t="array" ref="AM50">AC50</f>
        <v>Гидроузел №2 :: д Уроп, 0, 0</v>
      </c>
      <c r="AN50" s="656" t="str" cm="1">
        <f t="array" ref="AN50">AD50</f>
        <v>хозяйственное ведение</v>
      </c>
      <c r="AO50" s="656" t="str" cm="1">
        <f t="array" ref="AO50">AE50</f>
        <v>договор</v>
      </c>
      <c r="AP50" s="656" t="str" cm="1">
        <f t="array" ref="AP50">AF50</f>
        <v>02/18</v>
      </c>
      <c r="AQ50" s="656" t="str" cm="1">
        <f t="array" ref="AQ50">AG50</f>
        <v>09.08.2018</v>
      </c>
      <c r="AR50" s="447"/>
      <c r="AS50" s="447" t="b">
        <v>1</v>
      </c>
    </row>
    <row r="51" spans="1:45" s="22" customFormat="1" ht="24.75" customHeight="1">
      <c r="B51" s="43"/>
      <c r="E51" s="456">
        <v>15</v>
      </c>
      <c r="F51" s="22" t="str" cm="1">
        <f t="array" aca="1" ref="F51" ca="1">OFFSET(G51,-1,-1)</f>
        <v>1</v>
      </c>
      <c r="I51" s="22" t="s">
        <v>471</v>
      </c>
      <c r="K51" s="22" t="s">
        <v>467</v>
      </c>
      <c r="U51" s="351" t="b">
        <f t="shared" ca="1" si="0"/>
        <v>1</v>
      </c>
      <c r="X51" s="515"/>
      <c r="Y51" s="1024"/>
      <c r="Z51" s="1008"/>
      <c r="AA51" s="480" t="s">
        <v>172</v>
      </c>
      <c r="AB51" s="7" t="s">
        <v>472</v>
      </c>
      <c r="AC51" s="185" t="str">
        <f t="shared" si="1"/>
        <v>Насосная станция подкачки №1  д.Уроп :: д Уроп, 0, 0</v>
      </c>
      <c r="AD51" s="185" t="s">
        <v>429</v>
      </c>
      <c r="AE51" s="185" t="s">
        <v>430</v>
      </c>
      <c r="AF51" s="304" t="s">
        <v>431</v>
      </c>
      <c r="AG51" s="304" t="s">
        <v>432</v>
      </c>
      <c r="AH51" s="103" t="s">
        <v>433</v>
      </c>
      <c r="AK51" s="656" t="s">
        <v>423</v>
      </c>
      <c r="AL51" s="656" t="s">
        <v>424</v>
      </c>
      <c r="AM51" s="656" t="str" cm="1">
        <f t="array" ref="AM51">AC51</f>
        <v>Насосная станция подкачки №1  д.Уроп :: д Уроп, 0, 0</v>
      </c>
      <c r="AN51" s="656" t="str" cm="1">
        <f t="array" ref="AN51">AD51</f>
        <v>хозяйственное ведение</v>
      </c>
      <c r="AO51" s="656" t="str" cm="1">
        <f t="array" ref="AO51">AE51</f>
        <v>договор</v>
      </c>
      <c r="AP51" s="656" t="str" cm="1">
        <f t="array" ref="AP51">AF51</f>
        <v>02/18</v>
      </c>
      <c r="AQ51" s="656" t="str" cm="1">
        <f t="array" ref="AQ51">AG51</f>
        <v>09.08.2018</v>
      </c>
      <c r="AR51" s="447"/>
      <c r="AS51" s="447" t="b">
        <v>1</v>
      </c>
    </row>
    <row r="52" spans="1:45" s="22" customFormat="1" ht="24.75" customHeight="1">
      <c r="B52" s="43"/>
      <c r="E52" s="456">
        <v>15</v>
      </c>
      <c r="F52" s="22" t="str" cm="1">
        <f t="array" aca="1" ref="F52" ca="1">OFFSET(G52,-1,-1)</f>
        <v>1</v>
      </c>
      <c r="I52" s="22" t="s">
        <v>473</v>
      </c>
      <c r="K52" s="22" t="s">
        <v>474</v>
      </c>
      <c r="U52" s="351" t="b">
        <f t="shared" ca="1" si="0"/>
        <v>1</v>
      </c>
      <c r="X52" s="515"/>
      <c r="Y52" s="1024"/>
      <c r="Z52" s="1008"/>
      <c r="AA52" s="480" t="s">
        <v>172</v>
      </c>
      <c r="AB52" s="7" t="s">
        <v>475</v>
      </c>
      <c r="AC52" s="185" t="str">
        <f t="shared" si="1"/>
        <v>Водопроводные сети п.Инской :: пгт Инской, 0, 0</v>
      </c>
      <c r="AD52" s="185" t="s">
        <v>429</v>
      </c>
      <c r="AE52" s="185" t="s">
        <v>430</v>
      </c>
      <c r="AF52" s="304" t="s">
        <v>431</v>
      </c>
      <c r="AG52" s="304" t="s">
        <v>432</v>
      </c>
      <c r="AH52" s="103" t="s">
        <v>433</v>
      </c>
      <c r="AK52" s="656" t="s">
        <v>423</v>
      </c>
      <c r="AL52" s="656" t="s">
        <v>424</v>
      </c>
      <c r="AM52" s="656" t="str" cm="1">
        <f t="array" ref="AM52">AC52</f>
        <v>Водопроводные сети п.Инской :: пгт Инской, 0, 0</v>
      </c>
      <c r="AN52" s="656" t="str" cm="1">
        <f t="array" ref="AN52">AD52</f>
        <v>хозяйственное ведение</v>
      </c>
      <c r="AO52" s="656" t="str" cm="1">
        <f t="array" ref="AO52">AE52</f>
        <v>договор</v>
      </c>
      <c r="AP52" s="656" t="str" cm="1">
        <f t="array" ref="AP52">AF52</f>
        <v>02/18</v>
      </c>
      <c r="AQ52" s="656" t="str" cm="1">
        <f t="array" ref="AQ52">AG52</f>
        <v>09.08.2018</v>
      </c>
      <c r="AR52" s="447"/>
      <c r="AS52" s="447" t="b">
        <v>1</v>
      </c>
    </row>
    <row r="53" spans="1:45" s="22" customFormat="1" ht="24.75" customHeight="1">
      <c r="B53" s="43"/>
      <c r="E53" s="456">
        <v>15</v>
      </c>
      <c r="F53" s="22" t="str" cm="1">
        <f t="array" aca="1" ref="F53" ca="1">OFFSET(G53,-1,-1)</f>
        <v>1</v>
      </c>
      <c r="I53" s="22" t="s">
        <v>476</v>
      </c>
      <c r="K53" s="22" t="s">
        <v>477</v>
      </c>
      <c r="U53" s="351" t="b">
        <f t="shared" ca="1" si="0"/>
        <v>1</v>
      </c>
      <c r="X53" s="515"/>
      <c r="Y53" s="1024"/>
      <c r="Z53" s="1008"/>
      <c r="AA53" s="480" t="s">
        <v>172</v>
      </c>
      <c r="AB53" s="7" t="s">
        <v>478</v>
      </c>
      <c r="AC53" s="185" t="str">
        <f t="shared" si="1"/>
        <v>Водопроводная сеть пгт. Новый Городок :: пгт Новый Городок, 0, 0</v>
      </c>
      <c r="AD53" s="185" t="s">
        <v>429</v>
      </c>
      <c r="AE53" s="185" t="s">
        <v>430</v>
      </c>
      <c r="AF53" s="304" t="s">
        <v>431</v>
      </c>
      <c r="AG53" s="304" t="s">
        <v>432</v>
      </c>
      <c r="AH53" s="103" t="s">
        <v>433</v>
      </c>
      <c r="AK53" s="656" t="s">
        <v>423</v>
      </c>
      <c r="AL53" s="656" t="s">
        <v>424</v>
      </c>
      <c r="AM53" s="656" t="str" cm="1">
        <f t="array" ref="AM53">AC53</f>
        <v>Водопроводная сеть пгт. Новый Городок :: пгт Новый Городок, 0, 0</v>
      </c>
      <c r="AN53" s="656" t="str" cm="1">
        <f t="array" ref="AN53">AD53</f>
        <v>хозяйственное ведение</v>
      </c>
      <c r="AO53" s="656" t="str" cm="1">
        <f t="array" ref="AO53">AE53</f>
        <v>договор</v>
      </c>
      <c r="AP53" s="656" t="str" cm="1">
        <f t="array" ref="AP53">AF53</f>
        <v>02/18</v>
      </c>
      <c r="AQ53" s="656" t="str" cm="1">
        <f t="array" ref="AQ53">AG53</f>
        <v>09.08.2018</v>
      </c>
      <c r="AR53" s="447"/>
      <c r="AS53" s="447" t="b">
        <v>1</v>
      </c>
    </row>
    <row r="54" spans="1:45" s="22" customFormat="1" ht="24.75" customHeight="1">
      <c r="B54" s="43"/>
      <c r="E54" s="456">
        <v>15</v>
      </c>
      <c r="F54" s="22" t="str" cm="1">
        <f t="array" aca="1" ref="F54" ca="1">OFFSET(G54,-1,-1)</f>
        <v>1</v>
      </c>
      <c r="I54" s="22" t="s">
        <v>479</v>
      </c>
      <c r="K54" s="22" t="s">
        <v>480</v>
      </c>
      <c r="U54" s="351" t="b">
        <f t="shared" ca="1" si="0"/>
        <v>1</v>
      </c>
      <c r="X54" s="515"/>
      <c r="Y54" s="1024"/>
      <c r="Z54" s="1008"/>
      <c r="AA54" s="480" t="s">
        <v>172</v>
      </c>
      <c r="AB54" s="7" t="s">
        <v>481</v>
      </c>
      <c r="AC54" s="185" t="str">
        <f t="shared" si="1"/>
        <v>Гидроузел №5 :: пгт Новый Городок, ул. Мусоргского, 0</v>
      </c>
      <c r="AD54" s="185" t="s">
        <v>429</v>
      </c>
      <c r="AE54" s="185" t="s">
        <v>430</v>
      </c>
      <c r="AF54" s="304" t="s">
        <v>431</v>
      </c>
      <c r="AG54" s="304" t="s">
        <v>432</v>
      </c>
      <c r="AH54" s="103" t="s">
        <v>433</v>
      </c>
      <c r="AK54" s="656" t="s">
        <v>423</v>
      </c>
      <c r="AL54" s="656" t="s">
        <v>424</v>
      </c>
      <c r="AM54" s="656" t="str" cm="1">
        <f t="array" ref="AM54">AC54</f>
        <v>Гидроузел №5 :: пгт Новый Городок, ул. Мусоргского, 0</v>
      </c>
      <c r="AN54" s="656" t="str" cm="1">
        <f t="array" ref="AN54">AD54</f>
        <v>хозяйственное ведение</v>
      </c>
      <c r="AO54" s="656" t="str" cm="1">
        <f t="array" ref="AO54">AE54</f>
        <v>договор</v>
      </c>
      <c r="AP54" s="656" t="str" cm="1">
        <f t="array" ref="AP54">AF54</f>
        <v>02/18</v>
      </c>
      <c r="AQ54" s="656" t="str" cm="1">
        <f t="array" ref="AQ54">AG54</f>
        <v>09.08.2018</v>
      </c>
      <c r="AR54" s="447"/>
      <c r="AS54" s="447" t="b">
        <v>1</v>
      </c>
    </row>
    <row r="55" spans="1:45" s="22" customFormat="1" ht="24.75" customHeight="1">
      <c r="B55" s="43"/>
      <c r="E55" s="456">
        <v>15</v>
      </c>
      <c r="F55" s="22" t="str" cm="1">
        <f t="array" aca="1" ref="F55" ca="1">OFFSET(G55,-1,-1)</f>
        <v>1</v>
      </c>
      <c r="I55" s="22" t="s">
        <v>482</v>
      </c>
      <c r="K55" s="22" t="s">
        <v>483</v>
      </c>
      <c r="U55" s="351" t="b">
        <f t="shared" ca="1" si="0"/>
        <v>1</v>
      </c>
      <c r="X55" s="515"/>
      <c r="Y55" s="1024"/>
      <c r="Z55" s="1008"/>
      <c r="AA55" s="480" t="s">
        <v>172</v>
      </c>
      <c r="AB55" s="7" t="s">
        <v>484</v>
      </c>
      <c r="AC55" s="185" t="str">
        <f t="shared" si="1"/>
        <v>Водопроводная сеть с.Заречное :: с Заречное, 0, 0</v>
      </c>
      <c r="AD55" s="185" t="s">
        <v>429</v>
      </c>
      <c r="AE55" s="185" t="s">
        <v>430</v>
      </c>
      <c r="AF55" s="304" t="s">
        <v>431</v>
      </c>
      <c r="AG55" s="304" t="s">
        <v>432</v>
      </c>
      <c r="AH55" s="103" t="s">
        <v>433</v>
      </c>
      <c r="AK55" s="656" t="s">
        <v>423</v>
      </c>
      <c r="AL55" s="656" t="s">
        <v>424</v>
      </c>
      <c r="AM55" s="656" t="str" cm="1">
        <f t="array" ref="AM55">AC55</f>
        <v>Водопроводная сеть с.Заречное :: с Заречное, 0, 0</v>
      </c>
      <c r="AN55" s="656" t="str" cm="1">
        <f t="array" ref="AN55">AD55</f>
        <v>хозяйственное ведение</v>
      </c>
      <c r="AO55" s="656" t="str" cm="1">
        <f t="array" ref="AO55">AE55</f>
        <v>договор</v>
      </c>
      <c r="AP55" s="656" t="str" cm="1">
        <f t="array" ref="AP55">AF55</f>
        <v>02/18</v>
      </c>
      <c r="AQ55" s="656" t="str" cm="1">
        <f t="array" ref="AQ55">AG55</f>
        <v>09.08.2018</v>
      </c>
      <c r="AR55" s="447"/>
      <c r="AS55" s="447" t="b">
        <v>1</v>
      </c>
    </row>
    <row r="56" spans="1:45" s="22" customFormat="1" ht="24.75" customHeight="1">
      <c r="B56" s="43"/>
      <c r="E56" s="456">
        <v>15</v>
      </c>
      <c r="F56" s="22" t="str" cm="1">
        <f t="array" aca="1" ref="F56" ca="1">OFFSET(G56,-1,-1)</f>
        <v>1</v>
      </c>
      <c r="I56" s="22" t="s">
        <v>485</v>
      </c>
      <c r="K56" s="22" t="s">
        <v>486</v>
      </c>
      <c r="U56" s="351" t="b">
        <f t="shared" ca="1" si="0"/>
        <v>1</v>
      </c>
      <c r="X56" s="515"/>
      <c r="Y56" s="1024"/>
      <c r="Z56" s="1008"/>
      <c r="AA56" s="480" t="s">
        <v>172</v>
      </c>
      <c r="AB56" s="7" t="s">
        <v>487</v>
      </c>
      <c r="AC56" s="185" t="str">
        <f t="shared" si="1"/>
        <v>Насосная станция Новохудякова :: с Новохудяково, 0, 0</v>
      </c>
      <c r="AD56" s="185" t="s">
        <v>429</v>
      </c>
      <c r="AE56" s="185" t="s">
        <v>430</v>
      </c>
      <c r="AF56" s="304" t="s">
        <v>431</v>
      </c>
      <c r="AG56" s="304" t="s">
        <v>432</v>
      </c>
      <c r="AH56" s="103" t="s">
        <v>433</v>
      </c>
      <c r="AK56" s="656" t="s">
        <v>423</v>
      </c>
      <c r="AL56" s="656" t="s">
        <v>424</v>
      </c>
      <c r="AM56" s="656" t="str" cm="1">
        <f t="array" ref="AM56">AC56</f>
        <v>Насосная станция Новохудякова :: с Новохудяково, 0, 0</v>
      </c>
      <c r="AN56" s="656" t="str" cm="1">
        <f t="array" ref="AN56">AD56</f>
        <v>хозяйственное ведение</v>
      </c>
      <c r="AO56" s="656" t="str" cm="1">
        <f t="array" ref="AO56">AE56</f>
        <v>договор</v>
      </c>
      <c r="AP56" s="656" t="str" cm="1">
        <f t="array" ref="AP56">AF56</f>
        <v>02/18</v>
      </c>
      <c r="AQ56" s="656" t="str" cm="1">
        <f t="array" ref="AQ56">AG56</f>
        <v>09.08.2018</v>
      </c>
      <c r="AR56" s="447"/>
      <c r="AS56" s="447" t="b">
        <v>1</v>
      </c>
    </row>
    <row r="57" spans="1:45" s="22" customFormat="1" ht="24.75" customHeight="1">
      <c r="B57" s="43"/>
      <c r="E57" s="456">
        <v>15</v>
      </c>
      <c r="F57" s="22" t="str" cm="1">
        <f t="array" aca="1" ref="F57" ca="1">OFFSET(G57,-1,-1)</f>
        <v>1</v>
      </c>
      <c r="I57" s="22" t="s">
        <v>488</v>
      </c>
      <c r="K57" s="22" t="s">
        <v>489</v>
      </c>
      <c r="U57" s="351" t="b">
        <f t="shared" ca="1" si="0"/>
        <v>1</v>
      </c>
      <c r="X57" s="515"/>
      <c r="Y57" s="1024"/>
      <c r="Z57" s="1008"/>
      <c r="AA57" s="480" t="s">
        <v>172</v>
      </c>
      <c r="AB57" s="7" t="s">
        <v>490</v>
      </c>
      <c r="AC57" s="185" t="str">
        <f t="shared" si="1"/>
        <v>Водопроводные сети с.Пермяки :: с Пермяки, 0, 0</v>
      </c>
      <c r="AD57" s="185" t="s">
        <v>429</v>
      </c>
      <c r="AE57" s="185" t="s">
        <v>430</v>
      </c>
      <c r="AF57" s="304" t="s">
        <v>431</v>
      </c>
      <c r="AG57" s="304" t="s">
        <v>432</v>
      </c>
      <c r="AH57" s="103" t="s">
        <v>433</v>
      </c>
      <c r="AK57" s="656" t="s">
        <v>423</v>
      </c>
      <c r="AL57" s="656" t="s">
        <v>424</v>
      </c>
      <c r="AM57" s="656" t="str" cm="1">
        <f t="array" ref="AM57">AC57</f>
        <v>Водопроводные сети с.Пермяки :: с Пермяки, 0, 0</v>
      </c>
      <c r="AN57" s="656" t="str" cm="1">
        <f t="array" ref="AN57">AD57</f>
        <v>хозяйственное ведение</v>
      </c>
      <c r="AO57" s="656" t="str" cm="1">
        <f t="array" ref="AO57">AE57</f>
        <v>договор</v>
      </c>
      <c r="AP57" s="656" t="str" cm="1">
        <f t="array" ref="AP57">AF57</f>
        <v>02/18</v>
      </c>
      <c r="AQ57" s="656" t="str" cm="1">
        <f t="array" ref="AQ57">AG57</f>
        <v>09.08.2018</v>
      </c>
      <c r="AR57" s="447"/>
      <c r="AS57" s="447" t="b">
        <v>1</v>
      </c>
    </row>
    <row r="58" spans="1:45" s="22" customFormat="1" ht="24.75" customHeight="1">
      <c r="B58" s="43"/>
      <c r="E58" s="456">
        <v>15</v>
      </c>
      <c r="F58" s="22" t="str" cm="1">
        <f t="array" aca="1" ref="F58" ca="1">OFFSET(G58,-1,-1)</f>
        <v>1</v>
      </c>
      <c r="I58" s="22" t="s">
        <v>491</v>
      </c>
      <c r="K58" s="22" t="s">
        <v>489</v>
      </c>
      <c r="U58" s="351" t="b">
        <f t="shared" ca="1" si="0"/>
        <v>1</v>
      </c>
      <c r="X58" s="515"/>
      <c r="Y58" s="1024"/>
      <c r="Z58" s="1008"/>
      <c r="AA58" s="480" t="s">
        <v>172</v>
      </c>
      <c r="AB58" s="7" t="s">
        <v>492</v>
      </c>
      <c r="AC58" s="185" t="str">
        <f t="shared" si="1"/>
        <v>Насосная станция №3 Пермяки :: с Пермяки, 0, 0</v>
      </c>
      <c r="AD58" s="185" t="s">
        <v>429</v>
      </c>
      <c r="AE58" s="185" t="s">
        <v>430</v>
      </c>
      <c r="AF58" s="304" t="s">
        <v>431</v>
      </c>
      <c r="AG58" s="304" t="s">
        <v>432</v>
      </c>
      <c r="AH58" s="103" t="s">
        <v>433</v>
      </c>
      <c r="AK58" s="656" t="s">
        <v>423</v>
      </c>
      <c r="AL58" s="656" t="s">
        <v>424</v>
      </c>
      <c r="AM58" s="656" t="str" cm="1">
        <f t="array" ref="AM58">AC58</f>
        <v>Насосная станция №3 Пермяки :: с Пермяки, 0, 0</v>
      </c>
      <c r="AN58" s="656" t="str" cm="1">
        <f t="array" ref="AN58">AD58</f>
        <v>хозяйственное ведение</v>
      </c>
      <c r="AO58" s="656" t="str" cm="1">
        <f t="array" ref="AO58">AE58</f>
        <v>договор</v>
      </c>
      <c r="AP58" s="656" t="str" cm="1">
        <f t="array" ref="AP58">AF58</f>
        <v>02/18</v>
      </c>
      <c r="AQ58" s="656" t="str" cm="1">
        <f t="array" ref="AQ58">AG58</f>
        <v>09.08.2018</v>
      </c>
      <c r="AR58" s="447"/>
      <c r="AS58" s="447" t="b">
        <v>1</v>
      </c>
    </row>
    <row r="59" spans="1:45" s="394" customFormat="1" ht="10.5" customHeight="1">
      <c r="A59" s="38"/>
      <c r="B59" s="43"/>
      <c r="C59" s="38"/>
      <c r="D59" s="38"/>
      <c r="E59" s="456">
        <v>11</v>
      </c>
      <c r="F59" s="38" t="str" cm="1">
        <f t="array" aca="1" ref="F59" ca="1">OFFSET(G59,-1,-1)</f>
        <v>1</v>
      </c>
      <c r="G59" s="38"/>
      <c r="H59" s="38"/>
      <c r="I59" s="38"/>
      <c r="J59" s="38"/>
      <c r="K59" s="38"/>
      <c r="L59" s="38"/>
      <c r="M59" s="38"/>
      <c r="N59" s="38"/>
      <c r="O59" s="38"/>
      <c r="P59" s="38"/>
      <c r="Q59" s="38"/>
      <c r="R59" s="38"/>
      <c r="S59" s="38"/>
      <c r="T59" s="38"/>
      <c r="U59" s="351" t="b">
        <f ca="1">F59&gt;0</f>
        <v>1</v>
      </c>
      <c r="V59" s="38"/>
      <c r="W59" s="38"/>
      <c r="X59" s="515" t="s">
        <v>425</v>
      </c>
      <c r="Y59" s="1024"/>
      <c r="Z59" s="1008"/>
      <c r="AA59" s="38"/>
      <c r="AB59" s="89"/>
      <c r="AC59" s="92" t="s">
        <v>426</v>
      </c>
      <c r="AD59" s="90"/>
      <c r="AE59" s="90"/>
      <c r="AF59" s="90"/>
      <c r="AG59" s="90"/>
      <c r="AH59" s="101"/>
      <c r="AI59" s="38"/>
      <c r="AJ59" s="38"/>
      <c r="AK59" s="654"/>
      <c r="AL59" s="654"/>
      <c r="AM59" s="654"/>
      <c r="AN59" s="654"/>
      <c r="AO59" s="654"/>
      <c r="AP59" s="654"/>
      <c r="AQ59" s="654"/>
      <c r="AR59" s="446" t="s">
        <v>424</v>
      </c>
      <c r="AS59" s="446"/>
    </row>
    <row r="60" spans="1:45" ht="10.7" customHeight="1">
      <c r="A60" s="314"/>
      <c r="B60" s="314"/>
      <c r="C60" s="314"/>
      <c r="D60" s="314"/>
      <c r="E60" s="456">
        <v>11</v>
      </c>
      <c r="F60" s="314"/>
      <c r="G60" s="314"/>
      <c r="H60" s="314"/>
      <c r="I60" s="314"/>
      <c r="J60" s="314"/>
      <c r="K60" s="314"/>
      <c r="L60" s="314"/>
      <c r="M60" s="314"/>
      <c r="N60" s="314"/>
      <c r="O60" s="314"/>
      <c r="P60" s="314"/>
      <c r="Q60" s="314"/>
      <c r="R60" s="314"/>
      <c r="V60" s="38" t="s">
        <v>175</v>
      </c>
      <c r="W60" s="56" t="s">
        <v>493</v>
      </c>
      <c r="AA60" s="314"/>
      <c r="AI60" s="314"/>
      <c r="AJ60" s="314"/>
      <c r="AK60" s="653"/>
      <c r="AL60" s="653"/>
      <c r="AM60" s="653"/>
      <c r="AN60" s="653"/>
      <c r="AO60" s="653"/>
      <c r="AP60" s="653"/>
      <c r="AQ60" s="653"/>
      <c r="AR60" s="478"/>
      <c r="AS60" s="452"/>
    </row>
    <row r="61" spans="1:45" ht="11.25" hidden="1" customHeight="1">
      <c r="A61" s="314"/>
      <c r="B61" s="477"/>
      <c r="C61" s="314"/>
      <c r="D61" s="314"/>
      <c r="E61" s="456"/>
      <c r="F61" s="314"/>
      <c r="G61" s="314"/>
      <c r="H61" s="314"/>
      <c r="I61" s="314"/>
      <c r="J61" s="314"/>
      <c r="K61" s="314"/>
      <c r="L61" s="314"/>
      <c r="M61" s="314"/>
      <c r="N61" s="314"/>
      <c r="O61" s="314"/>
      <c r="P61" s="314"/>
      <c r="Q61" s="314"/>
      <c r="R61" s="314"/>
      <c r="AA61" s="314"/>
      <c r="AB61"/>
      <c r="AC61" s="18"/>
      <c r="AD61" s="18"/>
      <c r="AE61" s="18"/>
      <c r="AF61" s="18"/>
      <c r="AG61"/>
      <c r="AH61"/>
      <c r="AI61" s="314"/>
      <c r="AJ61" s="314"/>
      <c r="AK61" s="653"/>
      <c r="AL61" s="653"/>
      <c r="AM61" s="653"/>
      <c r="AN61" s="653"/>
      <c r="AO61" s="653"/>
      <c r="AP61" s="655"/>
      <c r="AQ61" s="653"/>
      <c r="AR61" s="478"/>
      <c r="AS61" s="452"/>
    </row>
    <row r="62" spans="1:45" ht="11.25" hidden="1" customHeight="1">
      <c r="E62" s="456"/>
    </row>
    <row r="63" spans="1:45" ht="11.25" hidden="1" customHeight="1">
      <c r="E63" s="456"/>
    </row>
    <row r="64" spans="1:45" ht="11.25" hidden="1" customHeight="1">
      <c r="E64" s="456"/>
    </row>
    <row r="65" spans="5:5" ht="11.25" hidden="1" customHeight="1">
      <c r="E65" s="456"/>
    </row>
    <row r="66" spans="5:5" ht="11.25" hidden="1" customHeight="1">
      <c r="E66" s="462"/>
    </row>
    <row r="67" spans="5:5" ht="11.25" hidden="1" customHeight="1">
      <c r="E67" s="456"/>
    </row>
    <row r="68" spans="5:5" ht="11.25" hidden="1" customHeight="1">
      <c r="E68" s="456"/>
    </row>
    <row r="69" spans="5:5" ht="11.25" hidden="1" customHeight="1">
      <c r="E69" s="456"/>
    </row>
    <row r="70" spans="5:5" ht="11.25" hidden="1" customHeight="1">
      <c r="E70" s="459"/>
    </row>
    <row r="71" spans="5:5" ht="11.25" hidden="1" customHeight="1">
      <c r="E71" s="459"/>
    </row>
    <row r="72" spans="5:5" ht="11.25" hidden="1" customHeight="1">
      <c r="E72" s="459"/>
    </row>
    <row r="73" spans="5:5" ht="11.25" hidden="1" customHeight="1">
      <c r="E73" s="459"/>
    </row>
  </sheetData>
  <sheetProtection formatColumns="0" formatRows="0" insertRows="0" deleteColumns="0" deleteRows="0" sort="0" autoFilter="0"/>
  <mergeCells count="6">
    <mergeCell ref="AB22:AH22"/>
    <mergeCell ref="AF23:AG23"/>
    <mergeCell ref="Y26:Y29"/>
    <mergeCell ref="Z26:Z29"/>
    <mergeCell ref="Y30:Y59"/>
    <mergeCell ref="Z30:Z59"/>
  </mergeCells>
  <dataValidations count="1">
    <dataValidation type="list" showDropDown="1" errorTitle="Ошибка" error="Выберите значение из списка" prompt="Выберите значение из списка" sqref="AD29 AD59"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B01E-96E1-16D8-B978-86C57A7AD1C5}">
  <sheetPr>
    <tabColor theme="3" tint="0.59999389629810485"/>
    <outlinePr summaryBelow="0" summaryRight="0"/>
    <pageSetUpPr fitToPage="1"/>
  </sheetPr>
  <dimension ref="A1:BM82"/>
  <sheetViews>
    <sheetView showGridLines="0" zoomScale="110" workbookViewId="0">
      <pane xSplit="30" ySplit="26" topLeftCell="AH55" activePane="bottomRight" state="frozen"/>
      <selection pane="topRight" activeCell="AE1" sqref="AE1"/>
      <selection pane="bottomLeft" activeCell="A27" sqref="A27"/>
      <selection pane="bottomRight" activeCell="AY55" sqref="AY55"/>
    </sheetView>
  </sheetViews>
  <sheetFormatPr defaultColWidth="9.140625" defaultRowHeight="11.25" customHeight="1"/>
  <cols>
    <col min="1" max="1" width="3.5703125" style="38" hidden="1" customWidth="1"/>
    <col min="2" max="2" width="8.7109375" style="43" hidden="1" customWidth="1"/>
    <col min="3" max="4" width="3.5703125" style="38" hidden="1" customWidth="1"/>
    <col min="5" max="5" width="3.5703125" style="446" hidden="1" customWidth="1"/>
    <col min="6" max="6" width="8.5703125" style="274"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11" style="22" customWidth="1"/>
    <col min="29" max="29" width="34.7109375" style="56" customWidth="1"/>
    <col min="30" max="30" width="11" style="38" customWidth="1"/>
    <col min="31" max="33" width="15" style="38" customWidth="1"/>
    <col min="34" max="34" width="31.28515625" style="38" customWidth="1"/>
    <col min="35" max="37" width="15" style="38" customWidth="1"/>
    <col min="38" max="38" width="11.42578125" style="38" customWidth="1"/>
    <col min="39" max="39" width="10" style="38" customWidth="1"/>
    <col min="40" max="40" width="32.42578125" style="38" customWidth="1"/>
    <col min="41" max="42" width="15" style="38" customWidth="1"/>
    <col min="43" max="49" width="15" style="38" hidden="1" customWidth="1"/>
    <col min="50" max="51" width="15" style="38" customWidth="1"/>
    <col min="52" max="58" width="15" style="38" hidden="1" customWidth="1"/>
    <col min="59" max="59" width="3" style="38" customWidth="1"/>
    <col min="60" max="60" width="9.140625" style="38" hidden="1"/>
    <col min="61" max="63" width="9.140625" style="654" hidden="1"/>
    <col min="64" max="65" width="9.140625" style="446" hidden="1"/>
  </cols>
  <sheetData>
    <row r="1" spans="1:65" ht="11.25" hidden="1" customHeight="1">
      <c r="E1" s="38"/>
      <c r="F1" s="274" t="s">
        <v>309</v>
      </c>
      <c r="H1" s="38" t="s">
        <v>320</v>
      </c>
      <c r="U1" s="351" t="s">
        <v>92</v>
      </c>
      <c r="V1" s="351" t="s">
        <v>97</v>
      </c>
      <c r="W1" s="351" t="s">
        <v>93</v>
      </c>
      <c r="X1" s="351" t="s">
        <v>94</v>
      </c>
      <c r="Y1" s="351" t="s">
        <v>95</v>
      </c>
      <c r="Z1" s="351" t="s">
        <v>99</v>
      </c>
      <c r="AA1" s="351" t="s">
        <v>96</v>
      </c>
      <c r="AB1" s="351" t="s">
        <v>311</v>
      </c>
      <c r="AC1" s="351" t="s">
        <v>98</v>
      </c>
      <c r="BI1" s="654" t="s">
        <v>312</v>
      </c>
      <c r="BJ1" s="654" t="s">
        <v>313</v>
      </c>
      <c r="BK1" s="654" t="s">
        <v>314</v>
      </c>
      <c r="BL1" s="446" t="s">
        <v>317</v>
      </c>
      <c r="BM1" s="446" t="s">
        <v>318</v>
      </c>
    </row>
    <row r="2" spans="1:65" s="43" customFormat="1" ht="11.25" hidden="1" customHeight="1">
      <c r="B2" s="341" t="s">
        <v>18</v>
      </c>
      <c r="F2" s="533"/>
      <c r="AC2" s="338"/>
      <c r="AO2" s="341" t="b">
        <f t="shared" ref="AO2:BF2" si="0">AO6&lt;=last_year_vis</f>
        <v>1</v>
      </c>
      <c r="AP2" s="341" t="b">
        <f t="shared" si="0"/>
        <v>1</v>
      </c>
      <c r="AQ2" s="341" t="b">
        <f t="shared" si="0"/>
        <v>0</v>
      </c>
      <c r="AR2" s="341" t="b">
        <f t="shared" si="0"/>
        <v>0</v>
      </c>
      <c r="AS2" s="341" t="b">
        <f t="shared" si="0"/>
        <v>0</v>
      </c>
      <c r="AT2" s="341" t="b">
        <f t="shared" si="0"/>
        <v>0</v>
      </c>
      <c r="AU2" s="341" t="b">
        <f t="shared" si="0"/>
        <v>0</v>
      </c>
      <c r="AV2" s="341" t="b">
        <f t="shared" si="0"/>
        <v>0</v>
      </c>
      <c r="AW2" s="341" t="b">
        <f t="shared" si="0"/>
        <v>0</v>
      </c>
      <c r="AX2" s="341" t="b">
        <f t="shared" si="0"/>
        <v>1</v>
      </c>
      <c r="AY2" s="341" t="b">
        <f t="shared" si="0"/>
        <v>1</v>
      </c>
      <c r="AZ2" s="341" t="b">
        <f t="shared" si="0"/>
        <v>0</v>
      </c>
      <c r="BA2" s="341" t="b">
        <f t="shared" si="0"/>
        <v>0</v>
      </c>
      <c r="BB2" s="341" t="b">
        <f t="shared" si="0"/>
        <v>0</v>
      </c>
      <c r="BC2" s="341" t="b">
        <f t="shared" si="0"/>
        <v>0</v>
      </c>
      <c r="BD2" s="341" t="b">
        <f t="shared" si="0"/>
        <v>0</v>
      </c>
      <c r="BE2" s="341" t="b">
        <f t="shared" si="0"/>
        <v>0</v>
      </c>
      <c r="BF2" s="341" t="b">
        <f t="shared" si="0"/>
        <v>0</v>
      </c>
      <c r="BI2" s="663"/>
      <c r="BJ2" s="663"/>
      <c r="BK2" s="663"/>
      <c r="BL2" s="668"/>
      <c r="BM2" s="668"/>
    </row>
    <row r="3" spans="1:65" ht="11.25" hidden="1" customHeight="1">
      <c r="E3" s="38"/>
    </row>
    <row r="4" spans="1:65" ht="11.25" hidden="1" customHeight="1">
      <c r="E4" s="38"/>
    </row>
    <row r="5" spans="1:65" s="446" customFormat="1" ht="11.25" hidden="1" customHeight="1">
      <c r="A5" s="38"/>
      <c r="B5" s="43"/>
      <c r="C5" s="38"/>
      <c r="D5" s="38"/>
      <c r="E5" s="446" t="s">
        <v>19</v>
      </c>
      <c r="F5" s="534"/>
      <c r="AA5" s="446">
        <v>3</v>
      </c>
      <c r="AB5" s="447">
        <v>11</v>
      </c>
      <c r="AC5" s="458">
        <v>40</v>
      </c>
      <c r="AD5" s="446">
        <v>15</v>
      </c>
      <c r="AE5" s="446">
        <v>15</v>
      </c>
      <c r="AF5" s="446">
        <v>15</v>
      </c>
      <c r="AG5" s="446">
        <v>15</v>
      </c>
      <c r="AH5" s="446">
        <v>17.71</v>
      </c>
      <c r="AI5" s="446">
        <v>15</v>
      </c>
      <c r="AJ5" s="446">
        <v>15</v>
      </c>
      <c r="AK5" s="446">
        <v>15</v>
      </c>
      <c r="AL5" s="446">
        <v>15</v>
      </c>
      <c r="AM5" s="446">
        <v>15</v>
      </c>
      <c r="AN5" s="446">
        <v>15</v>
      </c>
      <c r="AO5" s="446">
        <v>15</v>
      </c>
      <c r="AP5" s="446">
        <v>15</v>
      </c>
      <c r="AQ5" s="446">
        <v>15</v>
      </c>
      <c r="AR5" s="446">
        <v>15</v>
      </c>
      <c r="AS5" s="446">
        <v>15</v>
      </c>
      <c r="AT5" s="446">
        <v>15</v>
      </c>
      <c r="AU5" s="446">
        <v>15</v>
      </c>
      <c r="AV5" s="446">
        <v>15</v>
      </c>
      <c r="AW5" s="446">
        <v>15</v>
      </c>
      <c r="AX5" s="446">
        <v>15</v>
      </c>
      <c r="AY5" s="446">
        <v>15</v>
      </c>
      <c r="AZ5" s="446">
        <v>15</v>
      </c>
      <c r="BA5" s="446">
        <v>15</v>
      </c>
      <c r="BB5" s="446">
        <v>15</v>
      </c>
      <c r="BC5" s="446">
        <v>15</v>
      </c>
      <c r="BD5" s="446">
        <v>15</v>
      </c>
      <c r="BE5" s="446">
        <v>15</v>
      </c>
      <c r="BF5" s="446">
        <v>15</v>
      </c>
      <c r="BG5" s="446">
        <v>3</v>
      </c>
      <c r="BI5" s="654"/>
      <c r="BJ5" s="654"/>
      <c r="BK5" s="654"/>
    </row>
    <row r="6" spans="1:65" ht="11.25" hidden="1" customHeight="1">
      <c r="A6" s="38" t="s">
        <v>349</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c r="A7" s="38" t="s">
        <v>350</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353</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353</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54" customFormat="1" ht="11.25" hidden="1" customHeight="1">
      <c r="A9" s="654" t="s">
        <v>354</v>
      </c>
      <c r="B9" s="663"/>
      <c r="F9" s="664"/>
      <c r="AB9" s="656"/>
      <c r="AC9" s="665"/>
      <c r="AE9" s="654" cm="1">
        <f t="array" ref="AE9">AE6</f>
        <v>2024</v>
      </c>
      <c r="AF9" s="654" cm="1">
        <f t="array" ref="AF9">AF6</f>
        <v>2024</v>
      </c>
      <c r="AG9" s="654" cm="1">
        <f t="array" ref="AG9">AG6</f>
        <v>2024</v>
      </c>
      <c r="AH9" s="654" cm="1">
        <f t="array" ref="AH9">AH6</f>
        <v>2024</v>
      </c>
      <c r="AI9" s="654" cm="1">
        <f t="array" ref="AI9">AI6</f>
        <v>2025</v>
      </c>
      <c r="AJ9" s="654" cm="1">
        <f t="array" ref="AJ9">AJ6</f>
        <v>2026</v>
      </c>
      <c r="AK9" s="654" cm="1">
        <f t="array" ref="AK9">AK6</f>
        <v>2026</v>
      </c>
      <c r="AL9" s="654" cm="1">
        <f t="array" ref="AL9">AL6</f>
        <v>2026</v>
      </c>
      <c r="AM9" s="654" cm="1">
        <f t="array" ref="AM9">AM6</f>
        <v>2026</v>
      </c>
      <c r="AN9" s="654" cm="1">
        <f t="array" ref="AN9">AN6</f>
        <v>2026</v>
      </c>
      <c r="AO9" s="654" cm="1">
        <f t="array" ref="AO9">AO6</f>
        <v>2027</v>
      </c>
      <c r="AP9" s="654" cm="1">
        <f t="array" ref="AP9">AP6</f>
        <v>2028</v>
      </c>
      <c r="AQ9" s="654" cm="1">
        <f t="array" ref="AQ9">AQ6</f>
        <v>2029</v>
      </c>
      <c r="AR9" s="654" cm="1">
        <f t="array" ref="AR9">AR6</f>
        <v>2030</v>
      </c>
      <c r="AS9" s="654" cm="1">
        <f t="array" ref="AS9">AS6</f>
        <v>2031</v>
      </c>
      <c r="AT9" s="654" cm="1">
        <f t="array" ref="AT9">AT6</f>
        <v>2032</v>
      </c>
      <c r="AU9" s="654" cm="1">
        <f t="array" ref="AU9">AU6</f>
        <v>2033</v>
      </c>
      <c r="AV9" s="654" cm="1">
        <f t="array" ref="AV9">AV6</f>
        <v>2034</v>
      </c>
      <c r="AW9" s="654" cm="1">
        <f t="array" ref="AW9">AW6</f>
        <v>2035</v>
      </c>
      <c r="AX9" s="654" cm="1">
        <f t="array" ref="AX9">AX6</f>
        <v>2027</v>
      </c>
      <c r="AY9" s="654" cm="1">
        <f t="array" ref="AY9">AY6</f>
        <v>2028</v>
      </c>
      <c r="AZ9" s="654" cm="1">
        <f t="array" ref="AZ9">AZ6</f>
        <v>2029</v>
      </c>
      <c r="BA9" s="654" cm="1">
        <f t="array" ref="BA9">BA6</f>
        <v>2030</v>
      </c>
      <c r="BB9" s="654" cm="1">
        <f t="array" ref="BB9">BB6</f>
        <v>2031</v>
      </c>
      <c r="BC9" s="654" cm="1">
        <f t="array" ref="BC9">BC6</f>
        <v>2032</v>
      </c>
      <c r="BD9" s="654" cm="1">
        <f t="array" ref="BD9">BD6</f>
        <v>2033</v>
      </c>
      <c r="BE9" s="654" cm="1">
        <f t="array" ref="BE9">BE6</f>
        <v>2034</v>
      </c>
      <c r="BF9" s="654" cm="1">
        <f t="array" ref="BF9">BF6</f>
        <v>2035</v>
      </c>
      <c r="BL9" s="446"/>
      <c r="BM9" s="446"/>
    </row>
    <row r="10" spans="1:65" s="654" customFormat="1" ht="11.25" hidden="1" customHeight="1">
      <c r="A10" s="654" t="s">
        <v>355</v>
      </c>
      <c r="B10" s="663"/>
      <c r="F10" s="664"/>
      <c r="AB10" s="656"/>
      <c r="AC10" s="665"/>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I10" s="654" t="str" cm="1">
        <f t="array" ref="AI10">AI25</f>
        <v>Принято органом регулирования</v>
      </c>
      <c r="AJ10" s="654" t="str" cm="1">
        <f t="array" ref="AJ10">AJ25</f>
        <v>Предложение организации</v>
      </c>
      <c r="AK10" s="654" t="str" cm="1">
        <f t="array" ref="AK10">AK25</f>
        <v>Принято органом регулирования</v>
      </c>
      <c r="AL10" s="654" t="str" cm="1">
        <f t="array" ref="AL10">AL25</f>
        <v>% роста / снижения</v>
      </c>
      <c r="AM10" s="654" t="str" cm="1">
        <f t="array" ref="AM10">AM25</f>
        <v>Отклонение (принято органом регулирования - заявлено организацией)</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654" t="str" cm="1">
        <f t="array" ref="AR10">AR25</f>
        <v>Предложение организации</v>
      </c>
      <c r="AS10" s="654" t="str" cm="1">
        <f t="array" ref="AS10">AS25</f>
        <v>Предложение организации</v>
      </c>
      <c r="AT10" s="654" t="str" cm="1">
        <f t="array" ref="AT10">AT25</f>
        <v>Предложение организации</v>
      </c>
      <c r="AU10" s="654" t="str" cm="1">
        <f t="array" ref="AU10">AU25</f>
        <v>Предложение организации</v>
      </c>
      <c r="AV10" s="654" t="str" cm="1">
        <f t="array" ref="AV10">AV25</f>
        <v>Предложение организации</v>
      </c>
      <c r="AW10" s="654" t="str" cm="1">
        <f t="array" ref="AW10">AW25</f>
        <v>Предложение организации</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654" t="str" cm="1">
        <f t="array" ref="BB10">BB25</f>
        <v>Принято органом регулирования</v>
      </c>
      <c r="BC10" s="654" t="str" cm="1">
        <f t="array" ref="BC10">BC25</f>
        <v>Принято органом регулирования</v>
      </c>
      <c r="BD10" s="654" t="str" cm="1">
        <f t="array" ref="BD10">BD25</f>
        <v>Принято органом регулирования</v>
      </c>
      <c r="BE10" s="654" t="str" cm="1">
        <f t="array" ref="BE10">BE25</f>
        <v>Принято органом регулирования</v>
      </c>
      <c r="BF10" s="654" t="str" cm="1">
        <f t="array" ref="BF10">BF25</f>
        <v>Принято органом регулирования</v>
      </c>
      <c r="BL10" s="446"/>
      <c r="BM10" s="446"/>
    </row>
    <row r="11" spans="1:65" s="654" customFormat="1" ht="11.25" hidden="1" customHeight="1">
      <c r="A11" s="654" t="s">
        <v>356</v>
      </c>
      <c r="B11" s="663"/>
      <c r="F11" s="664"/>
      <c r="AB11" s="656"/>
      <c r="AC11" s="665"/>
      <c r="AH11" s="654" t="str" cm="1">
        <f t="array" ref="AH11">AH25</f>
        <v>Комментарии</v>
      </c>
      <c r="AN11" s="654" t="str" cm="1">
        <f t="array" ref="AN11">AN25</f>
        <v>Комментарии</v>
      </c>
      <c r="BL11" s="446"/>
      <c r="BM11" s="446"/>
    </row>
    <row r="12" spans="1:65" s="654" customFormat="1" ht="11.25" hidden="1" customHeight="1">
      <c r="A12" s="654" t="s">
        <v>327</v>
      </c>
      <c r="B12" s="663"/>
      <c r="F12" s="664"/>
      <c r="AB12" s="656"/>
      <c r="AC12" s="665" t="s">
        <v>314</v>
      </c>
      <c r="BL12" s="446"/>
      <c r="BM12" s="446"/>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38" t="s">
        <v>357</v>
      </c>
      <c r="AC18" s="56" t="s">
        <v>494</v>
      </c>
    </row>
    <row r="19" spans="1:65" ht="11.25" hidden="1" customHeight="1"/>
    <row r="20" spans="1:65" ht="11.25" hidden="1" customHeight="1"/>
    <row r="21" spans="1:65" ht="14.65" customHeight="1">
      <c r="E21" s="446">
        <v>15</v>
      </c>
      <c r="AA21" s="59"/>
      <c r="AC21" s="3" t="str" cm="1">
        <f t="array" ref="AC21">tpl_title</f>
        <v>Кемеровская область / 2026 / МУП "Водоканал" (ИНН:4202043124, КПП:420201001) / ДПР: 2026-2028</v>
      </c>
      <c r="AD21" s="41"/>
      <c r="AE21" s="42"/>
    </row>
    <row r="22" spans="1:65" ht="21.95" customHeight="1">
      <c r="E22" s="446">
        <v>22.5</v>
      </c>
      <c r="AB22" s="223" t="s">
        <v>40</v>
      </c>
      <c r="AC22" s="106"/>
      <c r="AD22" s="106"/>
      <c r="AE22" s="106"/>
      <c r="AF22" s="106"/>
      <c r="AG22" s="106"/>
      <c r="AH22" s="106"/>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row>
    <row r="23" spans="1:65" s="48" customFormat="1" ht="10.9" customHeight="1">
      <c r="B23" s="43"/>
      <c r="E23" s="456">
        <v>11.25</v>
      </c>
      <c r="F23" s="274"/>
      <c r="AA23" s="43"/>
      <c r="AB23" s="44"/>
      <c r="AC23" s="45"/>
      <c r="AD23" s="46"/>
      <c r="AE23" s="47"/>
      <c r="BI23" s="666"/>
      <c r="BJ23" s="666"/>
      <c r="BK23" s="666"/>
      <c r="BL23" s="456"/>
      <c r="BM23" s="456"/>
    </row>
    <row r="24" spans="1:65" ht="25.7" customHeight="1">
      <c r="E24" s="446">
        <v>15</v>
      </c>
      <c r="AB24" s="1025" t="s">
        <v>21</v>
      </c>
      <c r="AC24" s="1025" t="s">
        <v>494</v>
      </c>
      <c r="AD24" s="1025" t="s">
        <v>359</v>
      </c>
      <c r="AE24" s="12" t="str">
        <f>god-2&amp;" год"</f>
        <v>2024 год</v>
      </c>
      <c r="AF24" s="725" t="str">
        <f>god-2&amp;" год"</f>
        <v>2024 год</v>
      </c>
      <c r="AG24" s="12" t="str">
        <f>god-2&amp;" год"</f>
        <v>2024 год</v>
      </c>
      <c r="AH24" s="12" t="str">
        <f>god-2&amp;" год"</f>
        <v>2024 год</v>
      </c>
      <c r="AI24" s="12" t="str">
        <f>god-1&amp;" год"</f>
        <v>2025 год</v>
      </c>
      <c r="AJ24" s="725" t="str">
        <f>god&amp;" год"</f>
        <v>2026 год</v>
      </c>
      <c r="AK24" s="12" t="str">
        <f>god&amp;" год"</f>
        <v>2026 год</v>
      </c>
      <c r="AL24" s="12" t="str">
        <f>god&amp;" год"</f>
        <v>2026 год</v>
      </c>
      <c r="AM24" s="12" t="str">
        <f>god&amp;" год"</f>
        <v>2026 год</v>
      </c>
      <c r="AN24" s="12" t="str">
        <f>god&amp;" год"</f>
        <v>2026 год</v>
      </c>
      <c r="AO24" s="725" t="str">
        <f>god+1&amp;" год"</f>
        <v>2027 год</v>
      </c>
      <c r="AP24" s="725" t="str">
        <f>god+2&amp;" год"</f>
        <v>2028 год</v>
      </c>
      <c r="AQ24" s="725" t="str">
        <f>god+3&amp;" год"</f>
        <v>2029 год</v>
      </c>
      <c r="AR24" s="725" t="str">
        <f>god+4&amp;" год"</f>
        <v>2030 год</v>
      </c>
      <c r="AS24" s="725" t="str">
        <f>god+5&amp;" год"</f>
        <v>2031 год</v>
      </c>
      <c r="AT24" s="725" t="str">
        <f>god+6&amp;" год"</f>
        <v>2032 год</v>
      </c>
      <c r="AU24" s="725" t="str">
        <f>god+7&amp;" год"</f>
        <v>2033 год</v>
      </c>
      <c r="AV24" s="725" t="str">
        <f>god+8&amp;" год"</f>
        <v>2034 год</v>
      </c>
      <c r="AW24" s="725"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446">
        <v>69</v>
      </c>
      <c r="F25" s="274" t="s">
        <v>361</v>
      </c>
      <c r="AB25" s="1025"/>
      <c r="AC25" s="1025"/>
      <c r="AD25" s="1025"/>
      <c r="AE25" s="11" t="s">
        <v>351</v>
      </c>
      <c r="AF25" s="726" t="s">
        <v>495</v>
      </c>
      <c r="AG25" s="12" t="s">
        <v>496</v>
      </c>
      <c r="AH25" s="12" t="s">
        <v>360</v>
      </c>
      <c r="AI25" s="12" t="s">
        <v>351</v>
      </c>
      <c r="AJ25" s="724" t="s">
        <v>352</v>
      </c>
      <c r="AK25" s="12" t="s">
        <v>351</v>
      </c>
      <c r="AL25" s="104" t="s">
        <v>497</v>
      </c>
      <c r="AM25" s="104" t="s">
        <v>498</v>
      </c>
      <c r="AN25" s="12" t="s">
        <v>360</v>
      </c>
      <c r="AO25" s="725" t="s">
        <v>352</v>
      </c>
      <c r="AP25" s="725" t="s">
        <v>352</v>
      </c>
      <c r="AQ25" s="725" t="s">
        <v>352</v>
      </c>
      <c r="AR25" s="725" t="s">
        <v>352</v>
      </c>
      <c r="AS25" s="725" t="s">
        <v>352</v>
      </c>
      <c r="AT25" s="725" t="s">
        <v>352</v>
      </c>
      <c r="AU25" s="725" t="s">
        <v>352</v>
      </c>
      <c r="AV25" s="725" t="s">
        <v>352</v>
      </c>
      <c r="AW25" s="725" t="s">
        <v>352</v>
      </c>
      <c r="AX25" s="12" t="s">
        <v>351</v>
      </c>
      <c r="AY25" s="12" t="s">
        <v>351</v>
      </c>
      <c r="AZ25" s="12" t="s">
        <v>351</v>
      </c>
      <c r="BA25" s="12" t="s">
        <v>351</v>
      </c>
      <c r="BB25" s="12" t="s">
        <v>351</v>
      </c>
      <c r="BC25" s="12" t="s">
        <v>351</v>
      </c>
      <c r="BD25" s="12" t="s">
        <v>351</v>
      </c>
      <c r="BE25" s="12" t="s">
        <v>351</v>
      </c>
      <c r="BF25" s="12" t="s">
        <v>351</v>
      </c>
    </row>
    <row r="26" spans="1:65" ht="28.7" customHeight="1">
      <c r="A26" s="314"/>
      <c r="B26" s="477"/>
      <c r="C26" s="314"/>
      <c r="D26" s="314"/>
      <c r="E26" s="478">
        <v>20</v>
      </c>
      <c r="F26" s="532" t="s">
        <v>499</v>
      </c>
      <c r="G26" s="314"/>
      <c r="H26" s="314"/>
      <c r="I26" s="314"/>
      <c r="J26" s="314"/>
      <c r="K26" s="314"/>
      <c r="L26" s="314"/>
      <c r="M26" s="314"/>
      <c r="N26" s="314"/>
      <c r="O26" s="314"/>
      <c r="P26" s="314"/>
      <c r="Q26" s="314"/>
      <c r="R26" s="314"/>
      <c r="S26" s="314"/>
      <c r="T26" s="314"/>
      <c r="U26" s="314"/>
      <c r="V26" s="314"/>
      <c r="W26" s="314"/>
      <c r="X26" s="314"/>
      <c r="Y26" s="314"/>
      <c r="Z26" s="314"/>
      <c r="AA26"/>
      <c r="AB26" s="9"/>
      <c r="AC26" s="234" t="s">
        <v>500</v>
      </c>
      <c r="AD26" s="52" t="s">
        <v>501</v>
      </c>
      <c r="AE26" s="417">
        <v>0.2</v>
      </c>
      <c r="AF26" s="417">
        <v>0.2</v>
      </c>
      <c r="AG26" s="417">
        <v>0.2</v>
      </c>
      <c r="AH26" s="625" t="s">
        <v>502</v>
      </c>
      <c r="AI26" s="417">
        <v>0.2</v>
      </c>
      <c r="AJ26" s="417">
        <v>0.2</v>
      </c>
      <c r="AK26" s="417">
        <v>0.22</v>
      </c>
      <c r="AL26" s="192">
        <f>IF(AI26&lt;&gt;0,AK26/AI26,0)</f>
        <v>1.0999999999999999</v>
      </c>
      <c r="AM26" s="191">
        <f>AK26-AJ26</f>
        <v>1.999999999999999E-2</v>
      </c>
      <c r="AN26" s="625" t="s">
        <v>503</v>
      </c>
      <c r="AO26" s="417"/>
      <c r="AP26" s="417"/>
      <c r="AQ26" s="821"/>
      <c r="AR26" s="821"/>
      <c r="AS26" s="821"/>
      <c r="AT26" s="821"/>
      <c r="AU26" s="821"/>
      <c r="AV26" s="821"/>
      <c r="AW26" s="821"/>
      <c r="AX26" s="417">
        <v>0.22</v>
      </c>
      <c r="AY26" s="417">
        <v>0.22</v>
      </c>
      <c r="AZ26" s="821"/>
      <c r="BA26" s="821"/>
      <c r="BB26" s="821"/>
      <c r="BC26" s="821"/>
      <c r="BD26" s="821"/>
      <c r="BE26" s="821"/>
      <c r="BF26" s="821"/>
      <c r="BG26"/>
      <c r="BH26"/>
      <c r="BI26" s="659"/>
      <c r="BJ26" s="659"/>
      <c r="BK26" s="659"/>
      <c r="BL26" s="452"/>
      <c r="BM26" s="452"/>
    </row>
    <row r="27" spans="1:65" ht="11.25" hidden="1" customHeight="1">
      <c r="A27" s="314"/>
      <c r="B27" s="477"/>
      <c r="C27" s="314"/>
      <c r="D27" s="314"/>
      <c r="E27" s="478">
        <v>0</v>
      </c>
      <c r="F27" s="532"/>
      <c r="G27" s="314"/>
      <c r="H27" s="314"/>
      <c r="I27" s="314"/>
      <c r="J27" s="314"/>
      <c r="K27" s="314"/>
      <c r="L27" s="314"/>
      <c r="M27" s="314"/>
      <c r="N27" s="314"/>
      <c r="O27" s="314"/>
      <c r="P27" s="314"/>
      <c r="Q27" s="314"/>
      <c r="R27" s="314"/>
      <c r="S27" s="314"/>
      <c r="T27" s="314"/>
      <c r="U27" s="314"/>
      <c r="V27" s="314"/>
      <c r="W27" s="314"/>
      <c r="X27" s="314"/>
      <c r="Y27" s="314"/>
      <c r="Z27" s="314"/>
      <c r="AA27"/>
      <c r="AB27" s="521"/>
      <c r="AC27" s="60"/>
      <c r="AD27" s="42"/>
      <c r="AE27" s="626"/>
      <c r="AF27" s="626"/>
      <c r="AG27" s="626"/>
      <c r="AH27" s="626"/>
      <c r="AI27" s="626"/>
      <c r="AJ27" s="626"/>
      <c r="AK27" s="626"/>
      <c r="AL27" s="626"/>
      <c r="AM27" s="626"/>
      <c r="AN27" s="626"/>
      <c r="AO27" s="626"/>
      <c r="AP27" s="626"/>
      <c r="AQ27" s="626"/>
      <c r="AR27" s="626"/>
      <c r="AS27" s="626"/>
      <c r="AT27" s="626"/>
      <c r="AU27" s="626"/>
      <c r="AV27" s="626"/>
      <c r="AW27" s="626"/>
      <c r="AX27" s="626"/>
      <c r="AY27" s="626"/>
      <c r="AZ27" s="626"/>
      <c r="BA27" s="626"/>
      <c r="BB27" s="626"/>
      <c r="BC27" s="626"/>
      <c r="BD27" s="626"/>
      <c r="BE27" s="626"/>
      <c r="BF27" s="626"/>
      <c r="BG27"/>
      <c r="BH27"/>
      <c r="BI27" s="659"/>
      <c r="BJ27" s="659"/>
      <c r="BK27" s="659"/>
      <c r="BL27" s="452"/>
      <c r="BM27" s="452"/>
    </row>
    <row r="28" spans="1:65" s="60" customFormat="1" ht="14.65" hidden="1" customHeight="1">
      <c r="B28" s="325"/>
      <c r="E28" s="457">
        <v>15</v>
      </c>
      <c r="F28" s="274" cm="1">
        <f t="array" ref="F28">Y28</f>
        <v>0</v>
      </c>
      <c r="U28" s="351" t="b">
        <f>Y28&gt;0</f>
        <v>0</v>
      </c>
      <c r="W28" s="60" t="s">
        <v>266</v>
      </c>
      <c r="Y28" s="998">
        <v>0</v>
      </c>
      <c r="Z28" s="1026"/>
      <c r="AB28" s="97" t="str" cm="1">
        <f t="array" ref="AB28">INDEX('Общие сведения'!$AG$179:$AG$208,MATCH($Y28,'Общие сведения'!$Z$179:$Z$208,0))</f>
        <v xml:space="preserve">Тариф 0 () - </v>
      </c>
      <c r="AC28" s="94"/>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I28" s="667"/>
      <c r="BJ28" s="667"/>
      <c r="BK28" s="667"/>
      <c r="BL28" s="457"/>
      <c r="BM28" s="457"/>
    </row>
    <row r="29" spans="1:65" ht="14.65" hidden="1" customHeight="1">
      <c r="E29" s="446">
        <v>15</v>
      </c>
      <c r="F29" s="3" cm="1">
        <f t="array" aca="1" ref="F29" ca="1">OFFSET(E29,-1,1)</f>
        <v>0</v>
      </c>
      <c r="G29" s="38" t="s">
        <v>504</v>
      </c>
      <c r="U29" s="351" t="b" cm="1">
        <f t="array" ref="U29">U28</f>
        <v>0</v>
      </c>
      <c r="Y29" s="998"/>
      <c r="Z29" s="1026"/>
      <c r="AB29" s="181"/>
      <c r="AC29" s="182" t="s">
        <v>505</v>
      </c>
      <c r="AD29" s="183"/>
      <c r="AE29" s="183"/>
      <c r="AF29" s="183"/>
      <c r="AG29" s="183"/>
      <c r="AH29" s="183"/>
      <c r="AI29" s="212">
        <f>(1-AI30/100)*(1+AI31/100)*(1+AI33/100)</f>
        <v>1</v>
      </c>
      <c r="AJ29" s="212">
        <f>(1-AJ30/100)*(1+AJ31/100)*(1+AJ33/100)</f>
        <v>1</v>
      </c>
      <c r="AK29" s="212">
        <f>(1-AK30/100)*(1+AK31/100)*(1+AK33/100)</f>
        <v>1</v>
      </c>
      <c r="AL29" s="183"/>
      <c r="AM29" s="183"/>
      <c r="AN29" s="183"/>
      <c r="AO29" s="212">
        <f t="shared" ref="AO29:BF29" si="2">(1-AO30/100)*(1+AO31/100)*(1+AO33/100)</f>
        <v>1</v>
      </c>
      <c r="AP29" s="212">
        <f t="shared" si="2"/>
        <v>1</v>
      </c>
      <c r="AQ29" s="212">
        <f t="shared" si="2"/>
        <v>1</v>
      </c>
      <c r="AR29" s="212">
        <f t="shared" si="2"/>
        <v>1</v>
      </c>
      <c r="AS29" s="212">
        <f t="shared" si="2"/>
        <v>1</v>
      </c>
      <c r="AT29" s="212">
        <f t="shared" si="2"/>
        <v>1</v>
      </c>
      <c r="AU29" s="212">
        <f t="shared" si="2"/>
        <v>1</v>
      </c>
      <c r="AV29" s="212">
        <f t="shared" si="2"/>
        <v>1</v>
      </c>
      <c r="AW29" s="212">
        <f t="shared" si="2"/>
        <v>1</v>
      </c>
      <c r="AX29" s="212">
        <f t="shared" si="2"/>
        <v>1</v>
      </c>
      <c r="AY29" s="212">
        <f t="shared" si="2"/>
        <v>1</v>
      </c>
      <c r="AZ29" s="212">
        <f t="shared" si="2"/>
        <v>1</v>
      </c>
      <c r="BA29" s="212">
        <f t="shared" si="2"/>
        <v>1</v>
      </c>
      <c r="BB29" s="212">
        <f t="shared" si="2"/>
        <v>1</v>
      </c>
      <c r="BC29" s="212">
        <f t="shared" si="2"/>
        <v>1</v>
      </c>
      <c r="BD29" s="212">
        <f t="shared" si="2"/>
        <v>1</v>
      </c>
      <c r="BE29" s="212">
        <f t="shared" si="2"/>
        <v>1</v>
      </c>
      <c r="BF29" s="212">
        <f t="shared" si="2"/>
        <v>1</v>
      </c>
    </row>
    <row r="30" spans="1:65" ht="21.95" hidden="1" customHeight="1">
      <c r="B30" s="341" t="b">
        <f>method_reg&lt;&gt;"Метод экономически обоснованных расходов"</f>
        <v>1</v>
      </c>
      <c r="E30" s="446">
        <v>22.5</v>
      </c>
      <c r="F30" s="3" cm="1">
        <f t="array" aca="1" ref="F30" ca="1">OFFSET(E30,-1,1)</f>
        <v>0</v>
      </c>
      <c r="G30" s="38" t="s">
        <v>506</v>
      </c>
      <c r="H30" s="38" t="s">
        <v>507</v>
      </c>
      <c r="U30" s="351" t="b" cm="1">
        <f t="array" ref="U30">U29</f>
        <v>0</v>
      </c>
      <c r="Y30" s="998"/>
      <c r="Z30" s="1026"/>
      <c r="AB30" s="49">
        <v>1</v>
      </c>
      <c r="AC30" s="50" t="s">
        <v>508</v>
      </c>
      <c r="AD30" s="52" t="s">
        <v>501</v>
      </c>
      <c r="AE30" s="822"/>
      <c r="AF30" s="822"/>
      <c r="AG30" s="822"/>
      <c r="AH30" s="823"/>
      <c r="AI30" s="822"/>
      <c r="AJ30" s="822"/>
      <c r="AK30" s="822"/>
      <c r="AL30" s="192">
        <f>IF(AI30&lt;&gt;0,AK30/AI30,0)</f>
        <v>0</v>
      </c>
      <c r="AM30" s="191">
        <f>AK30-AJ30</f>
        <v>0</v>
      </c>
      <c r="AN30" s="823"/>
      <c r="AO30" s="187"/>
      <c r="AP30" s="187"/>
      <c r="AQ30" s="822"/>
      <c r="AR30" s="822"/>
      <c r="AS30" s="822"/>
      <c r="AT30" s="822"/>
      <c r="AU30" s="822"/>
      <c r="AV30" s="822"/>
      <c r="AW30" s="822"/>
      <c r="AX30" s="187"/>
      <c r="AY30" s="187"/>
      <c r="AZ30" s="822"/>
      <c r="BA30" s="822"/>
      <c r="BB30" s="822"/>
      <c r="BC30" s="822"/>
      <c r="BD30" s="822"/>
      <c r="BE30" s="822"/>
      <c r="BF30" s="822"/>
      <c r="BI30" s="654" t="s">
        <v>509</v>
      </c>
    </row>
    <row r="31" spans="1:65" ht="14.65" hidden="1" customHeight="1">
      <c r="E31" s="446">
        <v>15</v>
      </c>
      <c r="F31" s="3" cm="1">
        <f t="array" aca="1" ref="F31" ca="1">OFFSET(E31,-1,1)</f>
        <v>0</v>
      </c>
      <c r="G31" s="38" t="s">
        <v>510</v>
      </c>
      <c r="H31" s="38" t="s">
        <v>511</v>
      </c>
      <c r="U31" s="351" t="b" cm="1">
        <f t="array" ref="U31">U30</f>
        <v>0</v>
      </c>
      <c r="Y31" s="998"/>
      <c r="Z31" s="1026"/>
      <c r="AB31" s="49">
        <f>IF(B30,2,1)</f>
        <v>2</v>
      </c>
      <c r="AC31" s="51" t="s">
        <v>512</v>
      </c>
      <c r="AD31" s="52" t="s">
        <v>501</v>
      </c>
      <c r="AE31" s="822"/>
      <c r="AF31" s="822"/>
      <c r="AG31" s="822"/>
      <c r="AH31" s="823"/>
      <c r="AI31" s="822"/>
      <c r="AJ31" s="822"/>
      <c r="AK31" s="822"/>
      <c r="AL31" s="192">
        <f>IF(AI31&lt;&gt;0,AK31/AI31,0)</f>
        <v>0</v>
      </c>
      <c r="AM31" s="191">
        <f>AK31-AJ31</f>
        <v>0</v>
      </c>
      <c r="AN31" s="823"/>
      <c r="AO31" s="187"/>
      <c r="AP31" s="187"/>
      <c r="AQ31" s="822"/>
      <c r="AR31" s="822"/>
      <c r="AS31" s="822"/>
      <c r="AT31" s="822"/>
      <c r="AU31" s="822"/>
      <c r="AV31" s="822"/>
      <c r="AW31" s="822"/>
      <c r="AX31" s="187"/>
      <c r="AY31" s="187"/>
      <c r="AZ31" s="822"/>
      <c r="BA31" s="822"/>
      <c r="BB31" s="822"/>
      <c r="BC31" s="822"/>
      <c r="BD31" s="822"/>
      <c r="BE31" s="822"/>
      <c r="BF31" s="822"/>
      <c r="BI31" s="654" t="s">
        <v>513</v>
      </c>
    </row>
    <row r="32" spans="1:65" ht="14.65" hidden="1" customHeight="1">
      <c r="E32" s="446">
        <v>15</v>
      </c>
      <c r="F32" s="3" cm="1">
        <f t="array" aca="1" ref="F32" ca="1">OFFSET(E32,-1,1)</f>
        <v>0</v>
      </c>
      <c r="H32" s="38" t="s">
        <v>514</v>
      </c>
      <c r="U32" s="351" t="b" cm="1">
        <f t="array" ref="U32">U31</f>
        <v>0</v>
      </c>
      <c r="Y32" s="998"/>
      <c r="Z32" s="1026"/>
      <c r="AB32" s="49">
        <f>AB31+1</f>
        <v>3</v>
      </c>
      <c r="AC32" s="53" t="s">
        <v>515</v>
      </c>
      <c r="AD32" s="52" t="s">
        <v>501</v>
      </c>
      <c r="AE32" s="822"/>
      <c r="AF32" s="822"/>
      <c r="AG32" s="822"/>
      <c r="AH32" s="823"/>
      <c r="AI32" s="822"/>
      <c r="AJ32" s="822"/>
      <c r="AK32" s="822"/>
      <c r="AL32" s="192">
        <f>IF(AI32&lt;&gt;0,AK32/AI32,0)</f>
        <v>0</v>
      </c>
      <c r="AM32" s="191">
        <f>AK32-AJ32</f>
        <v>0</v>
      </c>
      <c r="AN32" s="823"/>
      <c r="AO32" s="187"/>
      <c r="AP32" s="187"/>
      <c r="AQ32" s="822"/>
      <c r="AR32" s="822"/>
      <c r="AS32" s="822"/>
      <c r="AT32" s="822"/>
      <c r="AU32" s="822"/>
      <c r="AV32" s="822"/>
      <c r="AW32" s="822"/>
      <c r="AX32" s="187"/>
      <c r="AY32" s="187"/>
      <c r="AZ32" s="822"/>
      <c r="BA32" s="822"/>
      <c r="BB32" s="822"/>
      <c r="BC32" s="822"/>
      <c r="BD32" s="822"/>
      <c r="BE32" s="822"/>
      <c r="BF32" s="822"/>
      <c r="BI32" s="654" t="s">
        <v>516</v>
      </c>
    </row>
    <row r="33" spans="1:65" ht="14.65" hidden="1" customHeight="1">
      <c r="B33" s="341" t="b">
        <f>method_reg&lt;&gt;"Метод экономически обоснованных расходов"</f>
        <v>1</v>
      </c>
      <c r="E33" s="446">
        <v>15</v>
      </c>
      <c r="F33" s="3" cm="1">
        <f t="array" aca="1" ref="F33" ca="1">OFFSET(E33,-1,1)</f>
        <v>0</v>
      </c>
      <c r="G33" s="38" t="s">
        <v>517</v>
      </c>
      <c r="H33" s="38" t="s">
        <v>518</v>
      </c>
      <c r="U33" s="351" t="b" cm="1">
        <f t="array" ref="U33">U32</f>
        <v>0</v>
      </c>
      <c r="Y33" s="998"/>
      <c r="Z33" s="1026"/>
      <c r="AB33" s="49">
        <v>4</v>
      </c>
      <c r="AC33" s="51" t="s">
        <v>519</v>
      </c>
      <c r="AD33" s="52" t="s">
        <v>501</v>
      </c>
      <c r="AE33" s="822"/>
      <c r="AF33" s="822"/>
      <c r="AG33" s="822"/>
      <c r="AH33" s="823"/>
      <c r="AI33" s="822"/>
      <c r="AJ33" s="822"/>
      <c r="AK33" s="822"/>
      <c r="AL33" s="192">
        <f>IF(AI33&lt;&gt;0,AK33/AI33,0)</f>
        <v>0</v>
      </c>
      <c r="AM33" s="191">
        <f>AK33-AJ33</f>
        <v>0</v>
      </c>
      <c r="AN33" s="823"/>
      <c r="AO33" s="187"/>
      <c r="AP33" s="187"/>
      <c r="AQ33" s="822"/>
      <c r="AR33" s="822"/>
      <c r="AS33" s="822"/>
      <c r="AT33" s="822"/>
      <c r="AU33" s="822"/>
      <c r="AV33" s="822"/>
      <c r="AW33" s="822"/>
      <c r="AX33" s="187"/>
      <c r="AY33" s="187"/>
      <c r="AZ33" s="822"/>
      <c r="BA33" s="822"/>
      <c r="BB33" s="822"/>
      <c r="BC33" s="822"/>
      <c r="BD33" s="822"/>
      <c r="BE33" s="822"/>
      <c r="BF33" s="822"/>
      <c r="BI33" s="654" t="s">
        <v>520</v>
      </c>
    </row>
    <row r="34" spans="1:65" s="4" customFormat="1" ht="14.65" hidden="1" customHeight="1">
      <c r="A34" s="38"/>
      <c r="B34" s="341"/>
      <c r="C34" s="38"/>
      <c r="D34" s="38"/>
      <c r="E34" s="446">
        <v>15</v>
      </c>
      <c r="F34" s="266" cm="1">
        <f t="array" aca="1" ref="F34" ca="1">OFFSET(E34,-1,1)</f>
        <v>0</v>
      </c>
      <c r="G34" s="38"/>
      <c r="H34" s="38"/>
      <c r="I34" s="38"/>
      <c r="J34" s="38"/>
      <c r="K34" s="38"/>
      <c r="L34" s="38"/>
      <c r="M34" s="38"/>
      <c r="N34" s="38"/>
      <c r="O34" s="38"/>
      <c r="P34" s="38"/>
      <c r="Q34" s="38"/>
      <c r="R34" s="38"/>
      <c r="S34" s="38"/>
      <c r="T34" s="38"/>
      <c r="U34" s="351" t="b" cm="1">
        <f t="array" ref="U34">U33</f>
        <v>0</v>
      </c>
      <c r="V34" s="38"/>
      <c r="W34" s="38"/>
      <c r="X34" s="38"/>
      <c r="Y34" s="998"/>
      <c r="Z34" s="1026"/>
      <c r="AA34" s="38"/>
      <c r="AB34" s="49">
        <v>5</v>
      </c>
      <c r="AC34" s="51" t="s">
        <v>521</v>
      </c>
      <c r="AD34" s="52" t="s">
        <v>501</v>
      </c>
      <c r="AE34" s="822"/>
      <c r="AF34" s="822"/>
      <c r="AG34" s="822"/>
      <c r="AH34" s="823"/>
      <c r="AI34" s="822"/>
      <c r="AJ34" s="822"/>
      <c r="AK34" s="822"/>
      <c r="AL34" s="192">
        <f>IF(AI34&lt;&gt;0,AK34/AI34,0)</f>
        <v>0</v>
      </c>
      <c r="AM34" s="191">
        <f>AK34-AJ34</f>
        <v>0</v>
      </c>
      <c r="AN34" s="823"/>
      <c r="AO34" s="187"/>
      <c r="AP34" s="187"/>
      <c r="AQ34" s="822"/>
      <c r="AR34" s="822"/>
      <c r="AS34" s="822"/>
      <c r="AT34" s="822"/>
      <c r="AU34" s="822"/>
      <c r="AV34" s="822"/>
      <c r="AW34" s="822"/>
      <c r="AX34" s="187"/>
      <c r="AY34" s="187"/>
      <c r="AZ34" s="822"/>
      <c r="BA34" s="822"/>
      <c r="BB34" s="822"/>
      <c r="BC34" s="822"/>
      <c r="BD34" s="822"/>
      <c r="BE34" s="822"/>
      <c r="BF34" s="822"/>
      <c r="BG34" s="38"/>
      <c r="BH34" s="38"/>
      <c r="BI34" s="654" t="s">
        <v>522</v>
      </c>
      <c r="BJ34" s="654"/>
      <c r="BK34" s="654"/>
      <c r="BL34" s="446"/>
      <c r="BM34" s="446"/>
    </row>
    <row r="35" spans="1:65" ht="14.65" hidden="1" customHeight="1">
      <c r="E35" s="446">
        <v>15</v>
      </c>
      <c r="F35" s="3" cm="1">
        <f t="array" aca="1" ref="F35" ca="1">OFFSET(E35,-1,1)</f>
        <v>0</v>
      </c>
      <c r="U35" s="351" t="b" cm="1">
        <f t="array" ref="U35">U33</f>
        <v>0</v>
      </c>
      <c r="Y35" s="998"/>
      <c r="Z35" s="1026"/>
      <c r="AB35" s="181"/>
      <c r="AC35" s="182" t="s">
        <v>523</v>
      </c>
      <c r="AD35" s="183"/>
      <c r="AE35" s="188"/>
      <c r="AF35" s="188"/>
      <c r="AG35" s="188"/>
      <c r="AH35" s="183"/>
      <c r="AI35" s="188"/>
      <c r="AJ35" s="188"/>
      <c r="AK35" s="188"/>
      <c r="AL35" s="193"/>
      <c r="AM35" s="188"/>
      <c r="AN35" s="183"/>
      <c r="AO35" s="188"/>
      <c r="AP35" s="188"/>
      <c r="AQ35" s="188"/>
      <c r="AR35" s="188"/>
      <c r="AS35" s="188"/>
      <c r="AT35" s="188"/>
      <c r="AU35" s="188"/>
      <c r="AV35" s="188"/>
      <c r="AW35" s="188"/>
      <c r="AX35" s="188"/>
      <c r="AY35" s="188"/>
      <c r="AZ35" s="188"/>
      <c r="BA35" s="188"/>
      <c r="BB35" s="188"/>
      <c r="BC35" s="188"/>
      <c r="BD35" s="188"/>
      <c r="BE35" s="188"/>
      <c r="BF35" s="194"/>
    </row>
    <row r="36" spans="1:65" ht="14.65" hidden="1" customHeight="1">
      <c r="E36" s="446">
        <v>15</v>
      </c>
      <c r="F36" s="3" cm="1">
        <f t="array" aca="1" ref="F36" ca="1">OFFSET(E36,-1,1)</f>
        <v>0</v>
      </c>
      <c r="G36" s="38" t="s">
        <v>524</v>
      </c>
      <c r="H36" s="38" t="s">
        <v>525</v>
      </c>
      <c r="U36" s="351" t="b" cm="1">
        <f t="array" ref="U36">U35</f>
        <v>0</v>
      </c>
      <c r="Y36" s="998"/>
      <c r="Z36" s="1026"/>
      <c r="AB36" s="49">
        <v>1</v>
      </c>
      <c r="AC36" s="51" t="s">
        <v>526</v>
      </c>
      <c r="AD36" s="52" t="s">
        <v>501</v>
      </c>
      <c r="AE36" s="824"/>
      <c r="AF36" s="824"/>
      <c r="AG36" s="824"/>
      <c r="AH36" s="823"/>
      <c r="AI36" s="824"/>
      <c r="AJ36" s="824"/>
      <c r="AK36" s="824"/>
      <c r="AL36" s="192">
        <f>IF(AI36&lt;&gt;0,AK36/AI36,0)</f>
        <v>0</v>
      </c>
      <c r="AM36" s="191">
        <f>AK36-AJ36</f>
        <v>0</v>
      </c>
      <c r="AN36" s="823"/>
      <c r="AO36" s="189"/>
      <c r="AP36" s="189"/>
      <c r="AQ36" s="824"/>
      <c r="AR36" s="824"/>
      <c r="AS36" s="824"/>
      <c r="AT36" s="824"/>
      <c r="AU36" s="824"/>
      <c r="AV36" s="824"/>
      <c r="AW36" s="824"/>
      <c r="AX36" s="189"/>
      <c r="AY36" s="189"/>
      <c r="AZ36" s="824"/>
      <c r="BA36" s="824"/>
      <c r="BB36" s="824"/>
      <c r="BC36" s="824"/>
      <c r="BD36" s="824"/>
      <c r="BE36" s="824"/>
      <c r="BF36" s="824"/>
      <c r="BI36" s="654" t="s">
        <v>527</v>
      </c>
    </row>
    <row r="37" spans="1:65" ht="15" hidden="1" customHeight="1">
      <c r="E37" s="446">
        <v>0</v>
      </c>
      <c r="F37" s="3" cm="1">
        <f t="array" aca="1" ref="F37" ca="1">OFFSET(E37,-1,1)</f>
        <v>0</v>
      </c>
      <c r="H37" s="38" t="s">
        <v>528</v>
      </c>
      <c r="U37" s="351" t="b" cm="1">
        <f t="array" ref="U37">U36</f>
        <v>0</v>
      </c>
      <c r="Y37" s="998"/>
      <c r="Z37" s="1026"/>
      <c r="AB37" s="49">
        <v>2</v>
      </c>
      <c r="AC37" s="51" t="s">
        <v>500</v>
      </c>
      <c r="AD37" s="52" t="s">
        <v>501</v>
      </c>
      <c r="AE37" s="824"/>
      <c r="AF37" s="822"/>
      <c r="AG37" s="824"/>
      <c r="AH37" s="823"/>
      <c r="AI37" s="824"/>
      <c r="AJ37" s="824"/>
      <c r="AK37" s="824"/>
      <c r="AL37" s="192">
        <f>IF(AI37&lt;&gt;0,AK37/AI37,0)</f>
        <v>0</v>
      </c>
      <c r="AM37" s="191">
        <f>AK37-AJ37</f>
        <v>0</v>
      </c>
      <c r="AN37" s="823"/>
      <c r="AO37" s="189"/>
      <c r="AP37" s="189"/>
      <c r="AQ37" s="824"/>
      <c r="AR37" s="824"/>
      <c r="AS37" s="824"/>
      <c r="AT37" s="824"/>
      <c r="AU37" s="824"/>
      <c r="AV37" s="824"/>
      <c r="AW37" s="824"/>
      <c r="AX37" s="189"/>
      <c r="AY37" s="189"/>
      <c r="AZ37" s="824"/>
      <c r="BA37" s="824"/>
      <c r="BB37" s="824"/>
      <c r="BC37" s="824"/>
      <c r="BD37" s="824"/>
      <c r="BE37" s="824"/>
      <c r="BF37" s="824"/>
      <c r="BI37" s="654" t="s">
        <v>529</v>
      </c>
    </row>
    <row r="38" spans="1:65" ht="14.65" hidden="1" customHeight="1">
      <c r="E38" s="446">
        <v>15</v>
      </c>
      <c r="F38" s="3" cm="1">
        <f t="array" aca="1" ref="F38" ca="1">OFFSET(E38,-1,1)</f>
        <v>0</v>
      </c>
      <c r="U38" s="351" t="b" cm="1">
        <f t="array" ref="U38">U37</f>
        <v>0</v>
      </c>
      <c r="Y38" s="998"/>
      <c r="Z38" s="1026"/>
      <c r="AB38" s="434">
        <v>2</v>
      </c>
      <c r="AC38" s="435" t="s">
        <v>530</v>
      </c>
      <c r="AD38" s="13"/>
      <c r="AE38" s="436"/>
      <c r="AF38" s="437"/>
      <c r="AG38" s="438"/>
      <c r="AH38" s="439"/>
      <c r="AI38" s="436"/>
      <c r="AJ38" s="437"/>
      <c r="AK38" s="437"/>
      <c r="AL38" s="440"/>
      <c r="AM38" s="437"/>
      <c r="AN38" s="439"/>
      <c r="AO38" s="436"/>
      <c r="AP38" s="436"/>
      <c r="AQ38" s="436"/>
      <c r="AR38" s="436"/>
      <c r="AS38" s="436"/>
      <c r="AT38" s="436"/>
      <c r="AU38" s="436"/>
      <c r="AV38" s="436"/>
      <c r="AW38" s="436"/>
      <c r="AX38" s="436"/>
      <c r="AY38" s="436"/>
      <c r="AZ38" s="436"/>
      <c r="BA38" s="436"/>
      <c r="BB38" s="436"/>
      <c r="BC38" s="436"/>
      <c r="BD38" s="436"/>
      <c r="BE38" s="436"/>
      <c r="BF38" s="436"/>
      <c r="BI38" s="654" t="s">
        <v>531</v>
      </c>
    </row>
    <row r="39" spans="1:65" ht="21.95" hidden="1" customHeight="1">
      <c r="E39" s="446">
        <v>22.5</v>
      </c>
      <c r="F39" s="3" cm="1">
        <f t="array" aca="1" ref="F39" ca="1">OFFSET(E39,-1,1)</f>
        <v>0</v>
      </c>
      <c r="H39" s="38" t="s">
        <v>532</v>
      </c>
      <c r="U39" s="351" t="b" cm="1">
        <f t="array" ref="U39">U38</f>
        <v>0</v>
      </c>
      <c r="Y39" s="998"/>
      <c r="Z39" s="1026"/>
      <c r="AB39" s="133" t="s">
        <v>533</v>
      </c>
      <c r="AC39" s="127" t="s">
        <v>534</v>
      </c>
      <c r="AD39" s="10" t="s">
        <v>535</v>
      </c>
      <c r="AE39" s="825"/>
      <c r="AF39" s="826"/>
      <c r="AG39" s="775"/>
      <c r="AH39" s="827"/>
      <c r="AI39" s="825"/>
      <c r="AJ39" s="826"/>
      <c r="AK39" s="826"/>
      <c r="AL39" s="443">
        <f>IF(AI39&lt;&gt;0,AK39/AI39,0)</f>
        <v>0</v>
      </c>
      <c r="AM39" s="444">
        <f>AK39-AJ39</f>
        <v>0</v>
      </c>
      <c r="AN39" s="827"/>
      <c r="AO39" s="214"/>
      <c r="AP39" s="214"/>
      <c r="AQ39" s="825"/>
      <c r="AR39" s="825"/>
      <c r="AS39" s="825"/>
      <c r="AT39" s="825"/>
      <c r="AU39" s="825"/>
      <c r="AV39" s="825"/>
      <c r="AW39" s="825"/>
      <c r="AX39" s="214"/>
      <c r="AY39" s="214"/>
      <c r="AZ39" s="825"/>
      <c r="BA39" s="825"/>
      <c r="BB39" s="825"/>
      <c r="BC39" s="825"/>
      <c r="BD39" s="825"/>
      <c r="BE39" s="825"/>
      <c r="BF39" s="825"/>
      <c r="BI39" s="654" t="s">
        <v>536</v>
      </c>
    </row>
    <row r="40" spans="1:65" ht="21.95" hidden="1" customHeight="1">
      <c r="E40" s="446">
        <v>22.5</v>
      </c>
      <c r="F40" s="3" cm="1">
        <f t="array" aca="1" ref="F40" ca="1">OFFSET(E40,-1,1)</f>
        <v>0</v>
      </c>
      <c r="I40" s="38" cm="1">
        <f t="array" ref="I40">AC40</f>
        <v>0</v>
      </c>
      <c r="U40" s="351" t="b">
        <f ca="1">AND(F40&gt;0,--RIGHT(AB40,1)&gt;1)</f>
        <v>0</v>
      </c>
      <c r="X40" s="515" t="s">
        <v>171</v>
      </c>
      <c r="Y40" s="998"/>
      <c r="Z40" s="1026"/>
      <c r="AA40" s="319" t="s">
        <v>172</v>
      </c>
      <c r="AB40" s="133" t="s">
        <v>533</v>
      </c>
      <c r="AC40" s="779"/>
      <c r="AD40" s="10" t="s">
        <v>535</v>
      </c>
      <c r="AE40" s="825"/>
      <c r="AF40" s="826"/>
      <c r="AG40" s="775"/>
      <c r="AH40" s="827"/>
      <c r="AI40" s="825"/>
      <c r="AJ40" s="826"/>
      <c r="AK40" s="826"/>
      <c r="AL40" s="443">
        <f>IF(AI40&lt;&gt;0,AK40/AI40,0)</f>
        <v>0</v>
      </c>
      <c r="AM40" s="444">
        <f>AK40-AJ40</f>
        <v>0</v>
      </c>
      <c r="AN40" s="827"/>
      <c r="AO40" s="214"/>
      <c r="AP40" s="214"/>
      <c r="AQ40" s="825"/>
      <c r="AR40" s="825"/>
      <c r="AS40" s="825"/>
      <c r="AT40" s="825"/>
      <c r="AU40" s="825"/>
      <c r="AV40" s="825"/>
      <c r="AW40" s="825"/>
      <c r="AX40" s="214"/>
      <c r="AY40" s="214"/>
      <c r="AZ40" s="825"/>
      <c r="BA40" s="825"/>
      <c r="BB40" s="825"/>
      <c r="BC40" s="825"/>
      <c r="BD40" s="825"/>
      <c r="BE40" s="825"/>
      <c r="BF40" s="825"/>
      <c r="BI40" s="654" t="s">
        <v>536</v>
      </c>
      <c r="BJ40" s="654" t="s">
        <v>537</v>
      </c>
      <c r="BK40" s="654" cm="1">
        <f t="array" ref="BK40">AC40</f>
        <v>0</v>
      </c>
      <c r="BM40" s="446" t="b">
        <v>1</v>
      </c>
    </row>
    <row r="41" spans="1:65" ht="14.65" hidden="1" customHeight="1">
      <c r="E41" s="446">
        <v>15</v>
      </c>
      <c r="F41" s="3" cm="1">
        <f t="array" aca="1" ref="F41" ca="1">OFFSET(E41,-1,1)</f>
        <v>0</v>
      </c>
      <c r="U41" s="351" t="b">
        <f ca="1">F41&gt;0</f>
        <v>0</v>
      </c>
      <c r="X41" s="515" t="s">
        <v>407</v>
      </c>
      <c r="Y41" s="998"/>
      <c r="Z41" s="1026"/>
      <c r="AB41" s="89"/>
      <c r="AC41" s="215" t="s">
        <v>175</v>
      </c>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L41" s="446" t="s">
        <v>537</v>
      </c>
    </row>
    <row r="42" spans="1:65" ht="21.95" hidden="1" customHeight="1">
      <c r="E42" s="446">
        <v>22.5</v>
      </c>
      <c r="F42" s="3" cm="1">
        <f t="array" aca="1" ref="F42" ca="1">OFFSET(E42,-1,1)</f>
        <v>0</v>
      </c>
      <c r="H42" s="38" t="s">
        <v>538</v>
      </c>
      <c r="U42" s="351" t="b" cm="1">
        <f t="array" aca="1" ref="U42" ca="1">U41</f>
        <v>0</v>
      </c>
      <c r="Y42" s="998"/>
      <c r="Z42" s="1026"/>
      <c r="AB42" s="426" t="s">
        <v>539</v>
      </c>
      <c r="AC42" s="427" t="s">
        <v>540</v>
      </c>
      <c r="AD42" s="423" t="s">
        <v>535</v>
      </c>
      <c r="AE42" s="828"/>
      <c r="AF42" s="829"/>
      <c r="AG42" s="830"/>
      <c r="AH42" s="831"/>
      <c r="AI42" s="828"/>
      <c r="AJ42" s="829"/>
      <c r="AK42" s="829"/>
      <c r="AL42" s="432">
        <f>IF(AI42&lt;&gt;0,AK42/AI42,0)</f>
        <v>0</v>
      </c>
      <c r="AM42" s="433">
        <f>AK42-AJ42</f>
        <v>0</v>
      </c>
      <c r="AN42" s="831"/>
      <c r="AO42" s="428"/>
      <c r="AP42" s="428"/>
      <c r="AQ42" s="828"/>
      <c r="AR42" s="828"/>
      <c r="AS42" s="828"/>
      <c r="AT42" s="828"/>
      <c r="AU42" s="828"/>
      <c r="AV42" s="828"/>
      <c r="AW42" s="828"/>
      <c r="AX42" s="428"/>
      <c r="AY42" s="428"/>
      <c r="AZ42" s="828"/>
      <c r="BA42" s="828"/>
      <c r="BB42" s="828"/>
      <c r="BC42" s="828"/>
      <c r="BD42" s="828"/>
      <c r="BE42" s="828"/>
      <c r="BF42" s="828"/>
      <c r="BI42" s="654" t="s">
        <v>541</v>
      </c>
    </row>
    <row r="43" spans="1:65" ht="21.95" hidden="1" customHeight="1">
      <c r="E43" s="446">
        <v>22.5</v>
      </c>
      <c r="F43" s="3" cm="1">
        <f t="array" aca="1" ref="F43" ca="1">OFFSET(E43,-1,1)</f>
        <v>0</v>
      </c>
      <c r="I43" s="38" cm="1">
        <f t="array" ref="I43">AC43</f>
        <v>0</v>
      </c>
      <c r="U43" s="351" t="b">
        <f ca="1">AND(F43&gt;0,--RIGHT(AB43,1)&gt;1)</f>
        <v>0</v>
      </c>
      <c r="X43" s="515" t="s">
        <v>171</v>
      </c>
      <c r="Y43" s="998"/>
      <c r="Z43" s="1026"/>
      <c r="AA43" s="319" t="s">
        <v>172</v>
      </c>
      <c r="AB43" s="426" t="s">
        <v>539</v>
      </c>
      <c r="AC43" s="832"/>
      <c r="AD43" s="423" t="s">
        <v>535</v>
      </c>
      <c r="AE43" s="828"/>
      <c r="AF43" s="829"/>
      <c r="AG43" s="830"/>
      <c r="AH43" s="831"/>
      <c r="AI43" s="828"/>
      <c r="AJ43" s="829"/>
      <c r="AK43" s="829"/>
      <c r="AL43" s="432">
        <f>IF(AI43&lt;&gt;0,AK43/AI43,0)</f>
        <v>0</v>
      </c>
      <c r="AM43" s="433">
        <f>AK43-AJ43</f>
        <v>0</v>
      </c>
      <c r="AN43" s="831"/>
      <c r="AO43" s="428"/>
      <c r="AP43" s="428"/>
      <c r="AQ43" s="828"/>
      <c r="AR43" s="828"/>
      <c r="AS43" s="828"/>
      <c r="AT43" s="828"/>
      <c r="AU43" s="828"/>
      <c r="AV43" s="828"/>
      <c r="AW43" s="828"/>
      <c r="AX43" s="428"/>
      <c r="AY43" s="428"/>
      <c r="AZ43" s="828"/>
      <c r="BA43" s="828"/>
      <c r="BB43" s="828"/>
      <c r="BC43" s="828"/>
      <c r="BD43" s="828"/>
      <c r="BE43" s="828"/>
      <c r="BF43" s="828"/>
      <c r="BI43" s="654" t="s">
        <v>541</v>
      </c>
      <c r="BJ43" s="654" t="s">
        <v>542</v>
      </c>
      <c r="BK43" s="654" cm="1">
        <f t="array" ref="BK43">AC43</f>
        <v>0</v>
      </c>
      <c r="BM43" s="446" t="b">
        <v>1</v>
      </c>
    </row>
    <row r="44" spans="1:65" ht="14.65" hidden="1" customHeight="1">
      <c r="E44" s="446">
        <v>15</v>
      </c>
      <c r="F44" s="3" cm="1">
        <f t="array" aca="1" ref="F44" ca="1">OFFSET(E44,-1,1)</f>
        <v>0</v>
      </c>
      <c r="U44" s="351" t="b">
        <f ca="1">F44&gt;0</f>
        <v>0</v>
      </c>
      <c r="X44" s="515" t="s">
        <v>407</v>
      </c>
      <c r="Y44" s="998"/>
      <c r="Z44" s="1026"/>
      <c r="AB44" s="89"/>
      <c r="AC44" s="215" t="s">
        <v>175</v>
      </c>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L44" s="446" t="s">
        <v>542</v>
      </c>
    </row>
    <row r="45" spans="1:65" ht="21.95" hidden="1" customHeight="1">
      <c r="E45" s="446">
        <v>22.5</v>
      </c>
      <c r="F45" s="3" cm="1">
        <f t="array" aca="1" ref="F45" ca="1">OFFSET(E45,-1,1)</f>
        <v>0</v>
      </c>
      <c r="H45" s="38" t="s">
        <v>543</v>
      </c>
      <c r="U45" s="351" t="b" cm="1">
        <f t="array" aca="1" ref="U45" ca="1">U44</f>
        <v>0</v>
      </c>
      <c r="Y45" s="998"/>
      <c r="Z45" s="1026"/>
      <c r="AB45" s="39" t="s">
        <v>544</v>
      </c>
      <c r="AC45" s="105" t="s">
        <v>545</v>
      </c>
      <c r="AD45" s="11" t="s">
        <v>535</v>
      </c>
      <c r="AE45" s="822"/>
      <c r="AF45" s="824"/>
      <c r="AG45" s="833"/>
      <c r="AH45" s="823"/>
      <c r="AI45" s="822"/>
      <c r="AJ45" s="824"/>
      <c r="AK45" s="824"/>
      <c r="AL45" s="192">
        <f>IF(AI45&lt;&gt;0,AK45/AI45,0)</f>
        <v>0</v>
      </c>
      <c r="AM45" s="191">
        <f>AK45-AJ45</f>
        <v>0</v>
      </c>
      <c r="AN45" s="823"/>
      <c r="AO45" s="187"/>
      <c r="AP45" s="187"/>
      <c r="AQ45" s="822"/>
      <c r="AR45" s="822"/>
      <c r="AS45" s="822"/>
      <c r="AT45" s="822"/>
      <c r="AU45" s="822"/>
      <c r="AV45" s="822"/>
      <c r="AW45" s="822"/>
      <c r="AX45" s="187"/>
      <c r="AY45" s="187"/>
      <c r="AZ45" s="822"/>
      <c r="BA45" s="822"/>
      <c r="BB45" s="822"/>
      <c r="BC45" s="822"/>
      <c r="BD45" s="822"/>
      <c r="BE45" s="822"/>
      <c r="BF45" s="822"/>
      <c r="BI45" s="654" t="s">
        <v>546</v>
      </c>
    </row>
    <row r="46" spans="1:65" ht="21.95" hidden="1" customHeight="1">
      <c r="E46" s="446">
        <v>22.5</v>
      </c>
      <c r="F46" s="3" cm="1">
        <f t="array" aca="1" ref="F46" ca="1">OFFSET(E46,-1,1)</f>
        <v>0</v>
      </c>
      <c r="I46" s="38" cm="1">
        <f t="array" ref="I46">AC46</f>
        <v>0</v>
      </c>
      <c r="U46" s="351" t="b">
        <f ca="1">AND(F46&gt;0,--RIGHT(AB46,1)&gt;1)</f>
        <v>0</v>
      </c>
      <c r="X46" s="515" t="s">
        <v>171</v>
      </c>
      <c r="Y46" s="998"/>
      <c r="Z46" s="1026"/>
      <c r="AA46" s="319" t="s">
        <v>172</v>
      </c>
      <c r="AB46" s="39" t="s">
        <v>544</v>
      </c>
      <c r="AC46" s="834"/>
      <c r="AD46" s="11" t="s">
        <v>535</v>
      </c>
      <c r="AE46" s="822"/>
      <c r="AF46" s="824"/>
      <c r="AG46" s="833"/>
      <c r="AH46" s="823"/>
      <c r="AI46" s="822"/>
      <c r="AJ46" s="824"/>
      <c r="AK46" s="824"/>
      <c r="AL46" s="192">
        <f>IF(AI46&lt;&gt;0,AK46/AI46,0)</f>
        <v>0</v>
      </c>
      <c r="AM46" s="191">
        <f>AK46-AJ46</f>
        <v>0</v>
      </c>
      <c r="AN46" s="823"/>
      <c r="AO46" s="187"/>
      <c r="AP46" s="187"/>
      <c r="AQ46" s="822"/>
      <c r="AR46" s="822"/>
      <c r="AS46" s="822"/>
      <c r="AT46" s="822"/>
      <c r="AU46" s="822"/>
      <c r="AV46" s="822"/>
      <c r="AW46" s="822"/>
      <c r="AX46" s="187"/>
      <c r="AY46" s="187"/>
      <c r="AZ46" s="822"/>
      <c r="BA46" s="822"/>
      <c r="BB46" s="822"/>
      <c r="BC46" s="822"/>
      <c r="BD46" s="822"/>
      <c r="BE46" s="822"/>
      <c r="BF46" s="822"/>
      <c r="BI46" s="654" t="s">
        <v>546</v>
      </c>
      <c r="BJ46" s="654" t="s">
        <v>547</v>
      </c>
      <c r="BK46" s="654" cm="1">
        <f t="array" ref="BK46">AC46</f>
        <v>0</v>
      </c>
      <c r="BM46" s="446" t="b">
        <v>1</v>
      </c>
    </row>
    <row r="47" spans="1:65" ht="14.65" hidden="1" customHeight="1">
      <c r="E47" s="446">
        <v>15</v>
      </c>
      <c r="F47" s="3" cm="1">
        <f t="array" aca="1" ref="F47" ca="1">OFFSET(E47,-1,1)</f>
        <v>0</v>
      </c>
      <c r="U47" s="351" t="b">
        <f ca="1">F47&gt;0</f>
        <v>0</v>
      </c>
      <c r="X47" s="515" t="s">
        <v>407</v>
      </c>
      <c r="Y47" s="998"/>
      <c r="Z47" s="1026"/>
      <c r="AB47" s="89"/>
      <c r="AC47" s="215" t="s">
        <v>175</v>
      </c>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L47" s="446" t="s">
        <v>547</v>
      </c>
    </row>
    <row r="48" spans="1:65" ht="21.95" hidden="1" customHeight="1">
      <c r="E48" s="446">
        <v>22.5</v>
      </c>
      <c r="F48" s="3" cm="1">
        <f t="array" aca="1" ref="F48" ca="1">OFFSET(E48,-1,1)</f>
        <v>0</v>
      </c>
      <c r="H48" s="38" t="s">
        <v>548</v>
      </c>
      <c r="U48" s="351" t="b" cm="1">
        <f t="array" aca="1" ref="U48" ca="1">U47</f>
        <v>0</v>
      </c>
      <c r="Y48" s="998"/>
      <c r="Z48" s="1026"/>
      <c r="AB48" s="39" t="s">
        <v>549</v>
      </c>
      <c r="AC48" s="105" t="s">
        <v>550</v>
      </c>
      <c r="AD48" s="11" t="s">
        <v>535</v>
      </c>
      <c r="AE48" s="822"/>
      <c r="AF48" s="824"/>
      <c r="AG48" s="833"/>
      <c r="AH48" s="823"/>
      <c r="AI48" s="822"/>
      <c r="AJ48" s="824"/>
      <c r="AK48" s="824"/>
      <c r="AL48" s="192">
        <f>IF(AI48&lt;&gt;0,AK48/AI48,0)</f>
        <v>0</v>
      </c>
      <c r="AM48" s="191">
        <f>AK48-AJ48</f>
        <v>0</v>
      </c>
      <c r="AN48" s="823"/>
      <c r="AO48" s="187"/>
      <c r="AP48" s="187"/>
      <c r="AQ48" s="822"/>
      <c r="AR48" s="822"/>
      <c r="AS48" s="822"/>
      <c r="AT48" s="822"/>
      <c r="AU48" s="822"/>
      <c r="AV48" s="822"/>
      <c r="AW48" s="822"/>
      <c r="AX48" s="187"/>
      <c r="AY48" s="187"/>
      <c r="AZ48" s="822"/>
      <c r="BA48" s="822"/>
      <c r="BB48" s="822"/>
      <c r="BC48" s="822"/>
      <c r="BD48" s="822"/>
      <c r="BE48" s="822"/>
      <c r="BF48" s="822"/>
      <c r="BI48" s="654" t="s">
        <v>551</v>
      </c>
    </row>
    <row r="49" spans="1:65" ht="21.95" hidden="1" customHeight="1">
      <c r="E49" s="446">
        <v>22.5</v>
      </c>
      <c r="F49" s="3" cm="1">
        <f t="array" aca="1" ref="F49" ca="1">OFFSET(E49,-1,1)</f>
        <v>0</v>
      </c>
      <c r="I49" s="38" cm="1">
        <f t="array" ref="I49">AC49</f>
        <v>0</v>
      </c>
      <c r="U49" s="351" t="b">
        <f ca="1">AND(F49&gt;0,--RIGHT(AB49,1)&gt;1)</f>
        <v>0</v>
      </c>
      <c r="X49" s="515" t="s">
        <v>171</v>
      </c>
      <c r="Y49" s="998"/>
      <c r="Z49" s="1026"/>
      <c r="AA49" s="319" t="s">
        <v>172</v>
      </c>
      <c r="AB49" s="39" t="s">
        <v>549</v>
      </c>
      <c r="AC49" s="834"/>
      <c r="AD49" s="11" t="s">
        <v>535</v>
      </c>
      <c r="AE49" s="822"/>
      <c r="AF49" s="824"/>
      <c r="AG49" s="833"/>
      <c r="AH49" s="823"/>
      <c r="AI49" s="822"/>
      <c r="AJ49" s="824"/>
      <c r="AK49" s="824"/>
      <c r="AL49" s="192">
        <f>IF(AI49&lt;&gt;0,AK49/AI49,0)</f>
        <v>0</v>
      </c>
      <c r="AM49" s="191">
        <f>AK49-AJ49</f>
        <v>0</v>
      </c>
      <c r="AN49" s="823"/>
      <c r="AO49" s="187"/>
      <c r="AP49" s="187"/>
      <c r="AQ49" s="822"/>
      <c r="AR49" s="822"/>
      <c r="AS49" s="822"/>
      <c r="AT49" s="822"/>
      <c r="AU49" s="822"/>
      <c r="AV49" s="822"/>
      <c r="AW49" s="822"/>
      <c r="AX49" s="187"/>
      <c r="AY49" s="187"/>
      <c r="AZ49" s="822"/>
      <c r="BA49" s="822"/>
      <c r="BB49" s="822"/>
      <c r="BC49" s="822"/>
      <c r="BD49" s="822"/>
      <c r="BE49" s="822"/>
      <c r="BF49" s="822"/>
      <c r="BI49" s="654" t="s">
        <v>551</v>
      </c>
      <c r="BJ49" s="654" t="s">
        <v>552</v>
      </c>
      <c r="BK49" s="654" cm="1">
        <f t="array" ref="BK49">AC49</f>
        <v>0</v>
      </c>
      <c r="BM49" s="446" t="b">
        <v>1</v>
      </c>
    </row>
    <row r="50" spans="1:65" ht="14.65" hidden="1" customHeight="1">
      <c r="E50" s="446">
        <v>15</v>
      </c>
      <c r="F50" s="3" cm="1">
        <f t="array" aca="1" ref="F50" ca="1">OFFSET(E50,-1,1)</f>
        <v>0</v>
      </c>
      <c r="U50" s="351" t="b">
        <f ca="1">F50&gt;0</f>
        <v>0</v>
      </c>
      <c r="X50" s="515" t="s">
        <v>407</v>
      </c>
      <c r="Y50" s="998"/>
      <c r="Z50" s="1026"/>
      <c r="AB50" s="89"/>
      <c r="AC50" s="215" t="s">
        <v>175</v>
      </c>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L50" s="446" t="s">
        <v>552</v>
      </c>
    </row>
    <row r="51" spans="1:65" ht="14.65" hidden="1" customHeight="1">
      <c r="E51" s="446">
        <v>15</v>
      </c>
      <c r="F51" s="3" cm="1">
        <f t="array" aca="1" ref="F51" ca="1">OFFSET(E51,-1,1)</f>
        <v>0</v>
      </c>
      <c r="H51" s="38" t="s">
        <v>325</v>
      </c>
      <c r="U51" s="351" t="b" cm="1">
        <f t="array" aca="1" ref="U51" ca="1">U50</f>
        <v>0</v>
      </c>
      <c r="Y51" s="998"/>
      <c r="Z51" s="1026"/>
      <c r="AB51" s="49">
        <v>3</v>
      </c>
      <c r="AC51" s="55" t="s">
        <v>553</v>
      </c>
      <c r="AD51" s="52" t="s">
        <v>501</v>
      </c>
      <c r="AE51" s="822"/>
      <c r="AF51" s="824"/>
      <c r="AG51" s="833"/>
      <c r="AH51" s="823"/>
      <c r="AI51" s="822"/>
      <c r="AJ51" s="824"/>
      <c r="AK51" s="824"/>
      <c r="AL51" s="192">
        <f>IF(AI51&lt;&gt;0,AK51/AI51,0)</f>
        <v>0</v>
      </c>
      <c r="AM51" s="191">
        <f>AK51-AJ51</f>
        <v>0</v>
      </c>
      <c r="AN51" s="823"/>
      <c r="AO51" s="187"/>
      <c r="AP51" s="187"/>
      <c r="AQ51" s="822"/>
      <c r="AR51" s="822"/>
      <c r="AS51" s="822"/>
      <c r="AT51" s="822"/>
      <c r="AU51" s="822"/>
      <c r="AV51" s="822"/>
      <c r="AW51" s="822"/>
      <c r="AX51" s="187"/>
      <c r="AY51" s="187"/>
      <c r="AZ51" s="822"/>
      <c r="BA51" s="822"/>
      <c r="BB51" s="822"/>
      <c r="BC51" s="822"/>
      <c r="BD51" s="822"/>
      <c r="BE51" s="822"/>
      <c r="BF51" s="822"/>
      <c r="BI51" s="654" t="s">
        <v>554</v>
      </c>
    </row>
    <row r="52" spans="1:65" ht="14.65" hidden="1" customHeight="1">
      <c r="E52" s="446">
        <v>15</v>
      </c>
      <c r="F52" s="3" cm="1">
        <f t="array" aca="1" ref="F52" ca="1">OFFSET(E52,-1,1)</f>
        <v>0</v>
      </c>
      <c r="H52" s="38" t="s">
        <v>324</v>
      </c>
      <c r="U52" s="351" t="b" cm="1">
        <f t="array" aca="1" ref="U52" ca="1">U51</f>
        <v>0</v>
      </c>
      <c r="Y52" s="998"/>
      <c r="Z52" s="1026"/>
      <c r="AB52" s="49">
        <v>4</v>
      </c>
      <c r="AC52" s="55" t="s">
        <v>555</v>
      </c>
      <c r="AD52" s="52" t="s">
        <v>501</v>
      </c>
      <c r="AE52" s="822"/>
      <c r="AF52" s="824"/>
      <c r="AG52" s="833"/>
      <c r="AH52" s="823"/>
      <c r="AI52" s="822"/>
      <c r="AJ52" s="824"/>
      <c r="AK52" s="824"/>
      <c r="AL52" s="192">
        <f>IF(AI52&lt;&gt;0,AK52/AI52,0)</f>
        <v>0</v>
      </c>
      <c r="AM52" s="191">
        <f>AK52-AJ52</f>
        <v>0</v>
      </c>
      <c r="AN52" s="823"/>
      <c r="AO52" s="187"/>
      <c r="AP52" s="187"/>
      <c r="AQ52" s="822"/>
      <c r="AR52" s="822"/>
      <c r="AS52" s="822"/>
      <c r="AT52" s="822"/>
      <c r="AU52" s="822"/>
      <c r="AV52" s="822"/>
      <c r="AW52" s="822"/>
      <c r="AX52" s="187"/>
      <c r="AY52" s="187"/>
      <c r="AZ52" s="822"/>
      <c r="BA52" s="822"/>
      <c r="BB52" s="822"/>
      <c r="BC52" s="822"/>
      <c r="BD52" s="822"/>
      <c r="BE52" s="822"/>
      <c r="BF52" s="822"/>
      <c r="BI52" s="654" t="s">
        <v>556</v>
      </c>
    </row>
    <row r="53" spans="1:65" ht="14.65" hidden="1" customHeight="1">
      <c r="E53" s="446">
        <v>15</v>
      </c>
      <c r="F53" s="3" cm="1">
        <f t="array" aca="1" ref="F53" ca="1">OFFSET(E53,-1,1)</f>
        <v>0</v>
      </c>
      <c r="H53" s="38" t="s">
        <v>557</v>
      </c>
      <c r="U53" s="351" t="b" cm="1">
        <f t="array" aca="1" ref="U53" ca="1">U52</f>
        <v>0</v>
      </c>
      <c r="Y53" s="998"/>
      <c r="Z53" s="1026"/>
      <c r="AB53" s="39" t="s">
        <v>440</v>
      </c>
      <c r="AC53" s="54" t="s">
        <v>558</v>
      </c>
      <c r="AD53" s="52"/>
      <c r="AE53" s="833"/>
      <c r="AF53" s="833"/>
      <c r="AG53" s="833"/>
      <c r="AH53" s="774"/>
      <c r="AI53" s="833"/>
      <c r="AJ53" s="833"/>
      <c r="AK53" s="833"/>
      <c r="AL53" s="192">
        <f>IF(AI53&lt;&gt;0,AK53/AI53,0)</f>
        <v>0</v>
      </c>
      <c r="AM53" s="191">
        <f>AK53-AJ53</f>
        <v>0</v>
      </c>
      <c r="AN53" s="774"/>
      <c r="AO53" s="190"/>
      <c r="AP53" s="190"/>
      <c r="AQ53" s="833"/>
      <c r="AR53" s="833"/>
      <c r="AS53" s="833"/>
      <c r="AT53" s="833"/>
      <c r="AU53" s="833"/>
      <c r="AV53" s="833"/>
      <c r="AW53" s="833"/>
      <c r="AX53" s="190"/>
      <c r="AY53" s="190"/>
      <c r="AZ53" s="833"/>
      <c r="BA53" s="833"/>
      <c r="BB53" s="833"/>
      <c r="BC53" s="833"/>
      <c r="BD53" s="833"/>
      <c r="BE53" s="833"/>
      <c r="BF53" s="833"/>
      <c r="BI53" s="654" t="s">
        <v>559</v>
      </c>
    </row>
    <row r="54" spans="1:65" ht="14.65" hidden="1" customHeight="1">
      <c r="E54" s="446">
        <v>15</v>
      </c>
      <c r="F54" s="3" cm="1">
        <f t="array" aca="1" ref="F54" ca="1">OFFSET(E54,-1,1)</f>
        <v>0</v>
      </c>
      <c r="H54" s="38" t="s">
        <v>560</v>
      </c>
      <c r="U54" s="351" t="b" cm="1">
        <f t="array" aca="1" ref="U54" ca="1">U53</f>
        <v>0</v>
      </c>
      <c r="Y54" s="998"/>
      <c r="Z54" s="1026"/>
      <c r="AB54" s="39" t="s">
        <v>442</v>
      </c>
      <c r="AC54" s="53" t="s">
        <v>561</v>
      </c>
      <c r="AD54" s="52"/>
      <c r="AE54" s="833"/>
      <c r="AF54" s="833"/>
      <c r="AG54" s="833"/>
      <c r="AH54" s="774"/>
      <c r="AI54" s="833"/>
      <c r="AJ54" s="833"/>
      <c r="AK54" s="833"/>
      <c r="AL54" s="192">
        <f>IF(AI54&lt;&gt;0,AK54/AI54,0)</f>
        <v>0</v>
      </c>
      <c r="AM54" s="191">
        <f>AK54-AJ54</f>
        <v>0</v>
      </c>
      <c r="AN54" s="774"/>
      <c r="AO54" s="190"/>
      <c r="AP54" s="190"/>
      <c r="AQ54" s="833"/>
      <c r="AR54" s="833"/>
      <c r="AS54" s="833"/>
      <c r="AT54" s="833"/>
      <c r="AU54" s="833"/>
      <c r="AV54" s="833"/>
      <c r="AW54" s="833"/>
      <c r="AX54" s="190"/>
      <c r="AY54" s="190"/>
      <c r="AZ54" s="833"/>
      <c r="BA54" s="833"/>
      <c r="BB54" s="833"/>
      <c r="BC54" s="833"/>
      <c r="BD54" s="833"/>
      <c r="BE54" s="833"/>
      <c r="BF54" s="833"/>
      <c r="BI54" s="654" t="s">
        <v>562</v>
      </c>
    </row>
    <row r="55" spans="1:65" s="835" customFormat="1" ht="35.450000000000003" customHeight="1">
      <c r="A55" s="60"/>
      <c r="B55" s="325"/>
      <c r="C55" s="60"/>
      <c r="D55" s="60"/>
      <c r="E55" s="457">
        <v>15</v>
      </c>
      <c r="F55" s="274" t="str" cm="1">
        <f t="array" ref="F55">Y55</f>
        <v>1</v>
      </c>
      <c r="G55" s="60"/>
      <c r="H55" s="60"/>
      <c r="I55" s="60"/>
      <c r="J55" s="60"/>
      <c r="K55" s="60"/>
      <c r="L55" s="60"/>
      <c r="M55" s="60"/>
      <c r="N55" s="60"/>
      <c r="O55" s="60"/>
      <c r="P55" s="60"/>
      <c r="Q55" s="60"/>
      <c r="R55" s="60"/>
      <c r="S55" s="60"/>
      <c r="T55" s="60"/>
      <c r="U55" s="351" t="b">
        <f>Y55&gt;0</f>
        <v>1</v>
      </c>
      <c r="V55" s="60"/>
      <c r="W55" s="60" t="str" cm="1">
        <f t="array" ref="W55">'Список объектов'!$AB$30</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X55" s="60"/>
      <c r="Y55" s="998" t="s">
        <v>277</v>
      </c>
      <c r="Z55" s="1026"/>
      <c r="AA55" s="60"/>
      <c r="AB55" s="97" t="str" cm="1">
        <f t="array" ref="AB55">'Список объектов'!$AB$30</f>
        <v>Тариф 1 (Водоснабжение) - тариф на питьевую воду (Оказание услуг на территории: город Белово (ОКТМО: 32707000) - г Белово; пгт Инской; пгт Новый Городок, мкр. Бабанаково, мкр. Чертинский, мкр. 8-е Марта; с Заречное)</v>
      </c>
      <c r="AC55" s="94"/>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60"/>
      <c r="BH55" s="60"/>
      <c r="BI55" s="667"/>
      <c r="BJ55" s="667"/>
      <c r="BK55" s="667"/>
      <c r="BL55" s="457"/>
      <c r="BM55" s="457"/>
    </row>
    <row r="56" spans="1:65" ht="24.2" customHeight="1">
      <c r="E56" s="446">
        <v>15</v>
      </c>
      <c r="F56" s="3" t="str" cm="1">
        <f t="array" aca="1" ref="F56" ca="1">OFFSET(E56,-1,1)</f>
        <v>1</v>
      </c>
      <c r="G56" s="38" t="s">
        <v>504</v>
      </c>
      <c r="U56" s="351" t="b" cm="1">
        <f t="array" ref="U56">U55</f>
        <v>1</v>
      </c>
      <c r="Y56" s="998"/>
      <c r="Z56" s="1026"/>
      <c r="AB56" s="181"/>
      <c r="AC56" s="182" t="s">
        <v>505</v>
      </c>
      <c r="AD56" s="183"/>
      <c r="AE56" s="183"/>
      <c r="AF56" s="183"/>
      <c r="AG56" s="183"/>
      <c r="AH56" s="183"/>
      <c r="AI56" s="212">
        <f>(1-AI57/100)*(1+AI58/100)*(1+AI60/100)</f>
        <v>1.0580000000000001</v>
      </c>
      <c r="AJ56" s="212">
        <f>(1-AJ57/100)*(1+AJ58/100)*(1+AJ60/100)</f>
        <v>1.0509999999999999</v>
      </c>
      <c r="AK56" s="212">
        <f>(1-AK57/100)*(1+AK58/100)*(1+AK60/100)</f>
        <v>1.0509999999999999</v>
      </c>
      <c r="AL56" s="183"/>
      <c r="AM56" s="183"/>
      <c r="AN56" s="183"/>
      <c r="AO56" s="212">
        <f t="shared" ref="AO56:BF56" si="3">(1-AO57/100)*(1+AO58/100)*(1+AO60/100)</f>
        <v>1.04</v>
      </c>
      <c r="AP56" s="212">
        <f t="shared" si="3"/>
        <v>1.04</v>
      </c>
      <c r="AQ56" s="212">
        <f t="shared" si="3"/>
        <v>1</v>
      </c>
      <c r="AR56" s="212">
        <f t="shared" si="3"/>
        <v>1</v>
      </c>
      <c r="AS56" s="212">
        <f t="shared" si="3"/>
        <v>1</v>
      </c>
      <c r="AT56" s="212">
        <f t="shared" si="3"/>
        <v>1</v>
      </c>
      <c r="AU56" s="212">
        <f t="shared" si="3"/>
        <v>1</v>
      </c>
      <c r="AV56" s="212">
        <f t="shared" si="3"/>
        <v>1</v>
      </c>
      <c r="AW56" s="212">
        <f t="shared" si="3"/>
        <v>1</v>
      </c>
      <c r="AX56" s="212">
        <f t="shared" si="3"/>
        <v>1.0296000000000001</v>
      </c>
      <c r="AY56" s="212">
        <f t="shared" si="3"/>
        <v>1.0296000000000001</v>
      </c>
      <c r="AZ56" s="212">
        <f t="shared" si="3"/>
        <v>1</v>
      </c>
      <c r="BA56" s="212">
        <f t="shared" si="3"/>
        <v>1</v>
      </c>
      <c r="BB56" s="212">
        <f t="shared" si="3"/>
        <v>1</v>
      </c>
      <c r="BC56" s="212">
        <f t="shared" si="3"/>
        <v>1</v>
      </c>
      <c r="BD56" s="212">
        <f t="shared" si="3"/>
        <v>1</v>
      </c>
      <c r="BE56" s="212">
        <f t="shared" si="3"/>
        <v>1</v>
      </c>
      <c r="BF56" s="212">
        <f t="shared" si="3"/>
        <v>1</v>
      </c>
    </row>
    <row r="57" spans="1:65" ht="28.7" customHeight="1">
      <c r="B57" s="341" t="b">
        <f>method_reg&lt;&gt;"Метод экономически обоснованных расходов"</f>
        <v>1</v>
      </c>
      <c r="E57" s="446">
        <v>22.5</v>
      </c>
      <c r="F57" s="3" t="str" cm="1">
        <f t="array" aca="1" ref="F57" ca="1">OFFSET(E57,-1,1)</f>
        <v>1</v>
      </c>
      <c r="G57" s="38" t="s">
        <v>506</v>
      </c>
      <c r="H57" s="38" t="s">
        <v>507</v>
      </c>
      <c r="U57" s="351" t="b" cm="1">
        <f t="array" ref="U57">U56</f>
        <v>1</v>
      </c>
      <c r="Y57" s="998"/>
      <c r="Z57" s="1026"/>
      <c r="AB57" s="49">
        <v>1</v>
      </c>
      <c r="AC57" s="50" t="s">
        <v>508</v>
      </c>
      <c r="AD57" s="52" t="s">
        <v>501</v>
      </c>
      <c r="AE57" s="187"/>
      <c r="AF57" s="187"/>
      <c r="AG57" s="187"/>
      <c r="AH57" s="113"/>
      <c r="AI57" s="187"/>
      <c r="AJ57" s="187"/>
      <c r="AK57" s="187"/>
      <c r="AL57" s="192">
        <f>IF(AI57&lt;&gt;0,AK57/AI57,0)</f>
        <v>0</v>
      </c>
      <c r="AM57" s="191">
        <f>AK57-AJ57</f>
        <v>0</v>
      </c>
      <c r="AN57" s="113"/>
      <c r="AO57" s="187"/>
      <c r="AP57" s="187"/>
      <c r="AQ57" s="187"/>
      <c r="AR57" s="187"/>
      <c r="AS57" s="187"/>
      <c r="AT57" s="187"/>
      <c r="AU57" s="187"/>
      <c r="AV57" s="187"/>
      <c r="AW57" s="187"/>
      <c r="AX57" s="187">
        <v>1</v>
      </c>
      <c r="AY57" s="187">
        <v>1</v>
      </c>
      <c r="AZ57" s="187"/>
      <c r="BA57" s="187"/>
      <c r="BB57" s="187"/>
      <c r="BC57" s="187"/>
      <c r="BD57" s="187"/>
      <c r="BE57" s="187"/>
      <c r="BF57" s="187"/>
      <c r="BI57" s="654" t="s">
        <v>509</v>
      </c>
    </row>
    <row r="58" spans="1:65" ht="90.2" customHeight="1">
      <c r="E58" s="446">
        <v>15</v>
      </c>
      <c r="F58" s="3" t="str" cm="1">
        <f t="array" aca="1" ref="F58" ca="1">OFFSET(E58,-1,1)</f>
        <v>1</v>
      </c>
      <c r="G58" s="38" t="s">
        <v>510</v>
      </c>
      <c r="H58" s="38" t="s">
        <v>511</v>
      </c>
      <c r="U58" s="351" t="b" cm="1">
        <f t="array" ref="U58">U57</f>
        <v>1</v>
      </c>
      <c r="Y58" s="998"/>
      <c r="Z58" s="1026"/>
      <c r="AB58" s="49">
        <f>IF(B57,2,1)</f>
        <v>2</v>
      </c>
      <c r="AC58" s="51" t="s">
        <v>512</v>
      </c>
      <c r="AD58" s="52" t="s">
        <v>501</v>
      </c>
      <c r="AE58" s="187">
        <v>8</v>
      </c>
      <c r="AF58" s="187">
        <v>8.5</v>
      </c>
      <c r="AG58" s="187">
        <v>8.5</v>
      </c>
      <c r="AH58" s="113" t="s">
        <v>563</v>
      </c>
      <c r="AI58" s="187">
        <v>5.8</v>
      </c>
      <c r="AJ58" s="187">
        <v>5.0999999999999996</v>
      </c>
      <c r="AK58" s="187">
        <v>5.0999999999999996</v>
      </c>
      <c r="AL58" s="192">
        <f>IF(AI58&lt;&gt;0,AK58/AI58,0)</f>
        <v>0.87931034482758619</v>
      </c>
      <c r="AM58" s="191">
        <f>AK58-AJ58</f>
        <v>0</v>
      </c>
      <c r="AN58" s="113" t="s">
        <v>563</v>
      </c>
      <c r="AO58" s="187">
        <v>4</v>
      </c>
      <c r="AP58" s="187">
        <v>4</v>
      </c>
      <c r="AQ58" s="187"/>
      <c r="AR58" s="187"/>
      <c r="AS58" s="187"/>
      <c r="AT58" s="187"/>
      <c r="AU58" s="187"/>
      <c r="AV58" s="187"/>
      <c r="AW58" s="187"/>
      <c r="AX58" s="187">
        <v>4</v>
      </c>
      <c r="AY58" s="187">
        <v>4</v>
      </c>
      <c r="AZ58" s="187"/>
      <c r="BA58" s="187"/>
      <c r="BB58" s="187"/>
      <c r="BC58" s="187"/>
      <c r="BD58" s="187"/>
      <c r="BE58" s="187"/>
      <c r="BF58" s="187"/>
      <c r="BI58" s="654" t="s">
        <v>513</v>
      </c>
    </row>
    <row r="59" spans="1:65" ht="96.2" customHeight="1">
      <c r="E59" s="446">
        <v>15</v>
      </c>
      <c r="F59" s="3" t="str" cm="1">
        <f t="array" aca="1" ref="F59" ca="1">OFFSET(E59,-1,1)</f>
        <v>1</v>
      </c>
      <c r="H59" s="38" t="s">
        <v>514</v>
      </c>
      <c r="U59" s="351" t="b" cm="1">
        <f t="array" ref="U59">U58</f>
        <v>1</v>
      </c>
      <c r="Y59" s="998"/>
      <c r="Z59" s="1026"/>
      <c r="AB59" s="49">
        <f>AB58+1</f>
        <v>3</v>
      </c>
      <c r="AC59" s="53" t="s">
        <v>515</v>
      </c>
      <c r="AD59" s="52" t="s">
        <v>501</v>
      </c>
      <c r="AE59" s="187">
        <v>5.0999999999999996</v>
      </c>
      <c r="AF59" s="187">
        <v>5.9</v>
      </c>
      <c r="AG59" s="187">
        <v>5.9</v>
      </c>
      <c r="AH59" s="113" t="s">
        <v>563</v>
      </c>
      <c r="AI59" s="187">
        <v>9.8000000000000007</v>
      </c>
      <c r="AJ59" s="187">
        <v>13.2</v>
      </c>
      <c r="AK59" s="187">
        <v>13.2</v>
      </c>
      <c r="AL59" s="192">
        <f>IF(AI59&lt;&gt;0,AK59/AI59,0)</f>
        <v>1.3469387755102038</v>
      </c>
      <c r="AM59" s="191">
        <f>AK59-AJ59</f>
        <v>0</v>
      </c>
      <c r="AN59" s="113" t="s">
        <v>563</v>
      </c>
      <c r="AO59" s="187">
        <v>9.1</v>
      </c>
      <c r="AP59" s="187">
        <v>4.9000000000000004</v>
      </c>
      <c r="AQ59" s="187"/>
      <c r="AR59" s="187"/>
      <c r="AS59" s="187"/>
      <c r="AT59" s="187"/>
      <c r="AU59" s="187"/>
      <c r="AV59" s="187"/>
      <c r="AW59" s="187"/>
      <c r="AX59" s="187">
        <v>9.1</v>
      </c>
      <c r="AY59" s="187">
        <v>4.9000000000000004</v>
      </c>
      <c r="AZ59" s="187"/>
      <c r="BA59" s="187"/>
      <c r="BB59" s="187"/>
      <c r="BC59" s="187"/>
      <c r="BD59" s="187"/>
      <c r="BE59" s="187"/>
      <c r="BF59" s="187"/>
      <c r="BI59" s="654" t="s">
        <v>516</v>
      </c>
    </row>
    <row r="60" spans="1:65" ht="23.45" customHeight="1">
      <c r="B60" s="341" t="b">
        <f>method_reg&lt;&gt;"Метод экономически обоснованных расходов"</f>
        <v>1</v>
      </c>
      <c r="E60" s="446">
        <v>15</v>
      </c>
      <c r="F60" s="3" t="str" cm="1">
        <f t="array" aca="1" ref="F60" ca="1">OFFSET(E60,-1,1)</f>
        <v>1</v>
      </c>
      <c r="G60" s="38" t="s">
        <v>517</v>
      </c>
      <c r="H60" s="38" t="s">
        <v>518</v>
      </c>
      <c r="U60" s="351" t="b" cm="1">
        <f t="array" ref="U60">U59</f>
        <v>1</v>
      </c>
      <c r="Y60" s="998"/>
      <c r="Z60" s="1026"/>
      <c r="AB60" s="49">
        <v>4</v>
      </c>
      <c r="AC60" s="51" t="s">
        <v>519</v>
      </c>
      <c r="AD60" s="52" t="s">
        <v>501</v>
      </c>
      <c r="AE60" s="187"/>
      <c r="AF60" s="187"/>
      <c r="AG60" s="187"/>
      <c r="AH60" s="113"/>
      <c r="AI60" s="187"/>
      <c r="AJ60" s="187"/>
      <c r="AK60" s="187"/>
      <c r="AL60" s="192">
        <f>IF(AI60&lt;&gt;0,AK60/AI60,0)</f>
        <v>0</v>
      </c>
      <c r="AM60" s="191">
        <f>AK60-AJ60</f>
        <v>0</v>
      </c>
      <c r="AN60" s="113"/>
      <c r="AO60" s="187">
        <v>0</v>
      </c>
      <c r="AP60" s="187">
        <v>0</v>
      </c>
      <c r="AQ60" s="187"/>
      <c r="AR60" s="187"/>
      <c r="AS60" s="187"/>
      <c r="AT60" s="187"/>
      <c r="AU60" s="187"/>
      <c r="AV60" s="187"/>
      <c r="AW60" s="187"/>
      <c r="AX60" s="187">
        <v>0</v>
      </c>
      <c r="AY60" s="187">
        <v>0</v>
      </c>
      <c r="AZ60" s="187"/>
      <c r="BA60" s="187"/>
      <c r="BB60" s="187"/>
      <c r="BC60" s="187"/>
      <c r="BD60" s="187"/>
      <c r="BE60" s="187"/>
      <c r="BF60" s="187"/>
      <c r="BI60" s="654" t="s">
        <v>520</v>
      </c>
    </row>
    <row r="61" spans="1:65" s="4" customFormat="1" ht="29.45" customHeight="1">
      <c r="A61" s="38"/>
      <c r="B61" s="341"/>
      <c r="C61" s="38"/>
      <c r="D61" s="38"/>
      <c r="E61" s="446">
        <v>15</v>
      </c>
      <c r="F61" s="266" t="str" cm="1">
        <f t="array" aca="1" ref="F61" ca="1">OFFSET(E61,-1,1)</f>
        <v>1</v>
      </c>
      <c r="G61" s="38"/>
      <c r="H61" s="38"/>
      <c r="I61" s="38"/>
      <c r="J61" s="38"/>
      <c r="K61" s="38"/>
      <c r="L61" s="38"/>
      <c r="M61" s="38"/>
      <c r="N61" s="38"/>
      <c r="O61" s="38"/>
      <c r="P61" s="38"/>
      <c r="Q61" s="38"/>
      <c r="R61" s="38"/>
      <c r="S61" s="38"/>
      <c r="T61" s="38"/>
      <c r="U61" s="351" t="b" cm="1">
        <f t="array" ref="U61">U60</f>
        <v>1</v>
      </c>
      <c r="V61" s="38"/>
      <c r="W61" s="38"/>
      <c r="X61" s="38"/>
      <c r="Y61" s="998"/>
      <c r="Z61" s="1026"/>
      <c r="AA61" s="38"/>
      <c r="AB61" s="49">
        <v>5</v>
      </c>
      <c r="AC61" s="51" t="s">
        <v>521</v>
      </c>
      <c r="AD61" s="52" t="s">
        <v>501</v>
      </c>
      <c r="AE61" s="187"/>
      <c r="AF61" s="187"/>
      <c r="AG61" s="187"/>
      <c r="AH61" s="113"/>
      <c r="AI61" s="187"/>
      <c r="AJ61" s="187"/>
      <c r="AK61" s="187"/>
      <c r="AL61" s="192">
        <f>IF(AI61&lt;&gt;0,AK61/AI61,0)</f>
        <v>0</v>
      </c>
      <c r="AM61" s="191">
        <f>AK61-AJ61</f>
        <v>0</v>
      </c>
      <c r="AN61" s="113"/>
      <c r="AO61" s="187"/>
      <c r="AP61" s="187"/>
      <c r="AQ61" s="187"/>
      <c r="AR61" s="187"/>
      <c r="AS61" s="187"/>
      <c r="AT61" s="187"/>
      <c r="AU61" s="187"/>
      <c r="AV61" s="187"/>
      <c r="AW61" s="187"/>
      <c r="AX61" s="187"/>
      <c r="AY61" s="187"/>
      <c r="AZ61" s="187"/>
      <c r="BA61" s="187"/>
      <c r="BB61" s="187"/>
      <c r="BC61" s="187"/>
      <c r="BD61" s="187"/>
      <c r="BE61" s="187"/>
      <c r="BF61" s="187"/>
      <c r="BG61" s="38"/>
      <c r="BH61" s="38"/>
      <c r="BI61" s="654" t="s">
        <v>522</v>
      </c>
      <c r="BJ61" s="654"/>
      <c r="BK61" s="654"/>
      <c r="BL61" s="446"/>
      <c r="BM61" s="446"/>
    </row>
    <row r="62" spans="1:65" ht="32.450000000000003" customHeight="1">
      <c r="E62" s="446">
        <v>15</v>
      </c>
      <c r="F62" s="3" t="str" cm="1">
        <f t="array" aca="1" ref="F62" ca="1">OFFSET(E62,-1,1)</f>
        <v>1</v>
      </c>
      <c r="U62" s="351" t="b" cm="1">
        <f t="array" ref="U62">U60</f>
        <v>1</v>
      </c>
      <c r="Y62" s="998"/>
      <c r="Z62" s="1026"/>
      <c r="AB62" s="181"/>
      <c r="AC62" s="182" t="s">
        <v>523</v>
      </c>
      <c r="AD62" s="183"/>
      <c r="AE62" s="188"/>
      <c r="AF62" s="188"/>
      <c r="AG62" s="188"/>
      <c r="AH62" s="183"/>
      <c r="AI62" s="188"/>
      <c r="AJ62" s="188"/>
      <c r="AK62" s="188"/>
      <c r="AL62" s="193"/>
      <c r="AM62" s="188"/>
      <c r="AN62" s="183"/>
      <c r="AO62" s="188"/>
      <c r="AP62" s="188"/>
      <c r="AQ62" s="188"/>
      <c r="AR62" s="188"/>
      <c r="AS62" s="188"/>
      <c r="AT62" s="188"/>
      <c r="AU62" s="188"/>
      <c r="AV62" s="188"/>
      <c r="AW62" s="188"/>
      <c r="AX62" s="188"/>
      <c r="AY62" s="188"/>
      <c r="AZ62" s="188"/>
      <c r="BA62" s="188"/>
      <c r="BB62" s="188"/>
      <c r="BC62" s="188"/>
      <c r="BD62" s="188"/>
      <c r="BE62" s="188"/>
      <c r="BF62" s="194"/>
    </row>
    <row r="63" spans="1:65" ht="171.2" customHeight="1">
      <c r="E63" s="446">
        <v>15</v>
      </c>
      <c r="F63" s="3" t="str" cm="1">
        <f t="array" aca="1" ref="F63" ca="1">OFFSET(E63,-1,1)</f>
        <v>1</v>
      </c>
      <c r="G63" s="38" t="s">
        <v>524</v>
      </c>
      <c r="H63" s="38" t="s">
        <v>525</v>
      </c>
      <c r="U63" s="351" t="b" cm="1">
        <f t="array" ref="U63">U62</f>
        <v>1</v>
      </c>
      <c r="Y63" s="998"/>
      <c r="Z63" s="1026"/>
      <c r="AB63" s="49">
        <v>1</v>
      </c>
      <c r="AC63" s="51" t="s">
        <v>526</v>
      </c>
      <c r="AD63" s="52" t="s">
        <v>501</v>
      </c>
      <c r="AE63" s="189"/>
      <c r="AF63" s="189">
        <v>30.2</v>
      </c>
      <c r="AG63" s="189">
        <v>30.2</v>
      </c>
      <c r="AH63" s="113" t="s">
        <v>564</v>
      </c>
      <c r="AI63" s="189">
        <v>30.2</v>
      </c>
      <c r="AJ63" s="189">
        <v>30.2</v>
      </c>
      <c r="AK63" s="189">
        <v>30.2</v>
      </c>
      <c r="AL63" s="192">
        <f>IF(AI63&lt;&gt;0,AK63/AI63,0)</f>
        <v>1</v>
      </c>
      <c r="AM63" s="191">
        <f>AK63-AJ63</f>
        <v>0</v>
      </c>
      <c r="AN63" s="113" t="s">
        <v>565</v>
      </c>
      <c r="AO63" s="189">
        <v>30.2</v>
      </c>
      <c r="AP63" s="189">
        <v>30.2</v>
      </c>
      <c r="AQ63" s="189"/>
      <c r="AR63" s="189"/>
      <c r="AS63" s="189"/>
      <c r="AT63" s="189"/>
      <c r="AU63" s="189"/>
      <c r="AV63" s="189"/>
      <c r="AW63" s="189"/>
      <c r="AX63" s="189">
        <v>30.2</v>
      </c>
      <c r="AY63" s="189">
        <v>30.2</v>
      </c>
      <c r="AZ63" s="189"/>
      <c r="BA63" s="189"/>
      <c r="BB63" s="189"/>
      <c r="BC63" s="189"/>
      <c r="BD63" s="189"/>
      <c r="BE63" s="189"/>
      <c r="BF63" s="189"/>
      <c r="BI63" s="654" t="s">
        <v>527</v>
      </c>
    </row>
    <row r="64" spans="1:65" ht="15" hidden="1" customHeight="1">
      <c r="E64" s="446">
        <v>0</v>
      </c>
      <c r="F64" s="3" t="str" cm="1">
        <f t="array" aca="1" ref="F64" ca="1">OFFSET(E64,-1,1)</f>
        <v>1</v>
      </c>
      <c r="H64" s="38" t="s">
        <v>528</v>
      </c>
      <c r="U64" s="351" t="b" cm="1">
        <f t="array" ref="U64">U63</f>
        <v>1</v>
      </c>
      <c r="Y64" s="998"/>
      <c r="Z64" s="1026"/>
      <c r="AB64" s="49">
        <v>2</v>
      </c>
      <c r="AC64" s="51" t="s">
        <v>500</v>
      </c>
      <c r="AD64" s="52" t="s">
        <v>501</v>
      </c>
      <c r="AE64" s="824"/>
      <c r="AF64" s="822"/>
      <c r="AG64" s="824"/>
      <c r="AH64" s="823"/>
      <c r="AI64" s="824"/>
      <c r="AJ64" s="824"/>
      <c r="AK64" s="824"/>
      <c r="AL64" s="192">
        <f>IF(AI64&lt;&gt;0,AK64/AI64,0)</f>
        <v>0</v>
      </c>
      <c r="AM64" s="191">
        <f>AK64-AJ64</f>
        <v>0</v>
      </c>
      <c r="AN64" s="823"/>
      <c r="AO64" s="189"/>
      <c r="AP64" s="189"/>
      <c r="AQ64" s="824"/>
      <c r="AR64" s="824"/>
      <c r="AS64" s="824"/>
      <c r="AT64" s="824"/>
      <c r="AU64" s="824"/>
      <c r="AV64" s="824"/>
      <c r="AW64" s="824"/>
      <c r="AX64" s="189"/>
      <c r="AY64" s="189"/>
      <c r="AZ64" s="824"/>
      <c r="BA64" s="824"/>
      <c r="BB64" s="824"/>
      <c r="BC64" s="824"/>
      <c r="BD64" s="824"/>
      <c r="BE64" s="824"/>
      <c r="BF64" s="824"/>
      <c r="BI64" s="654" t="s">
        <v>529</v>
      </c>
    </row>
    <row r="65" spans="5:65" ht="14.25" customHeight="1">
      <c r="E65" s="446">
        <v>15</v>
      </c>
      <c r="F65" s="3" t="str" cm="1">
        <f t="array" aca="1" ref="F65" ca="1">OFFSET(E65,-1,1)</f>
        <v>1</v>
      </c>
      <c r="U65" s="351" t="b" cm="1">
        <f t="array" ref="U65">U64</f>
        <v>1</v>
      </c>
      <c r="Y65" s="998"/>
      <c r="Z65" s="1026"/>
      <c r="AB65" s="434">
        <v>2</v>
      </c>
      <c r="AC65" s="435" t="s">
        <v>530</v>
      </c>
      <c r="AD65" s="13"/>
      <c r="AE65" s="436"/>
      <c r="AF65" s="437"/>
      <c r="AG65" s="438"/>
      <c r="AH65" s="439"/>
      <c r="AI65" s="436"/>
      <c r="AJ65" s="437"/>
      <c r="AK65" s="437"/>
      <c r="AL65" s="440"/>
      <c r="AM65" s="437"/>
      <c r="AN65" s="439"/>
      <c r="AO65" s="436"/>
      <c r="AP65" s="436"/>
      <c r="AQ65" s="436"/>
      <c r="AR65" s="436"/>
      <c r="AS65" s="436"/>
      <c r="AT65" s="436"/>
      <c r="AU65" s="436"/>
      <c r="AV65" s="436"/>
      <c r="AW65" s="436"/>
      <c r="AX65" s="436"/>
      <c r="AY65" s="436"/>
      <c r="AZ65" s="436"/>
      <c r="BA65" s="436"/>
      <c r="BB65" s="436"/>
      <c r="BC65" s="436"/>
      <c r="BD65" s="436"/>
      <c r="BE65" s="436"/>
      <c r="BF65" s="436"/>
      <c r="BI65" s="654" t="s">
        <v>531</v>
      </c>
    </row>
    <row r="66" spans="5:65" ht="21.75" customHeight="1">
      <c r="E66" s="446">
        <v>22.5</v>
      </c>
      <c r="F66" s="3" t="str" cm="1">
        <f t="array" aca="1" ref="F66" ca="1">OFFSET(E66,-1,1)</f>
        <v>1</v>
      </c>
      <c r="H66" s="38" t="s">
        <v>532</v>
      </c>
      <c r="U66" s="351" t="b" cm="1">
        <f t="array" ref="U66">U65</f>
        <v>1</v>
      </c>
      <c r="Y66" s="998"/>
      <c r="Z66" s="1026"/>
      <c r="AB66" s="133" t="s">
        <v>533</v>
      </c>
      <c r="AC66" s="127" t="s">
        <v>534</v>
      </c>
      <c r="AD66" s="10" t="s">
        <v>535</v>
      </c>
      <c r="AE66" s="214"/>
      <c r="AF66" s="441"/>
      <c r="AG66" s="442"/>
      <c r="AH66" s="216"/>
      <c r="AI66" s="214"/>
      <c r="AJ66" s="441"/>
      <c r="AK66" s="441"/>
      <c r="AL66" s="443">
        <f>IF(AI66&lt;&gt;0,AK66/AI66,0)</f>
        <v>0</v>
      </c>
      <c r="AM66" s="444">
        <f>AK66-AJ66</f>
        <v>0</v>
      </c>
      <c r="AN66" s="216"/>
      <c r="AO66" s="214"/>
      <c r="AP66" s="214"/>
      <c r="AQ66" s="214"/>
      <c r="AR66" s="214"/>
      <c r="AS66" s="214"/>
      <c r="AT66" s="214"/>
      <c r="AU66" s="214"/>
      <c r="AV66" s="214"/>
      <c r="AW66" s="214"/>
      <c r="AX66" s="214"/>
      <c r="AY66" s="214"/>
      <c r="AZ66" s="214"/>
      <c r="BA66" s="214"/>
      <c r="BB66" s="214"/>
      <c r="BC66" s="214"/>
      <c r="BD66" s="214"/>
      <c r="BE66" s="214"/>
      <c r="BF66" s="214"/>
      <c r="BI66" s="654" t="s">
        <v>536</v>
      </c>
    </row>
    <row r="67" spans="5:65" ht="21.75" hidden="1" customHeight="1">
      <c r="E67" s="446">
        <v>22.5</v>
      </c>
      <c r="F67" s="3" t="str" cm="1">
        <f t="array" aca="1" ref="F67" ca="1">OFFSET(E67,-1,1)</f>
        <v>1</v>
      </c>
      <c r="I67" s="38" cm="1">
        <f t="array" ref="I67">AC67</f>
        <v>0</v>
      </c>
      <c r="U67" s="351" t="b">
        <f ca="1">AND(F67&gt;0,--RIGHT(AB67,1)&gt;1)</f>
        <v>0</v>
      </c>
      <c r="X67" s="515" t="s">
        <v>171</v>
      </c>
      <c r="Y67" s="998"/>
      <c r="Z67" s="1026"/>
      <c r="AA67" s="319" t="s">
        <v>172</v>
      </c>
      <c r="AB67" s="133" t="s">
        <v>533</v>
      </c>
      <c r="AC67" s="779"/>
      <c r="AD67" s="10" t="s">
        <v>535</v>
      </c>
      <c r="AE67" s="825"/>
      <c r="AF67" s="826"/>
      <c r="AG67" s="775"/>
      <c r="AH67" s="827"/>
      <c r="AI67" s="825"/>
      <c r="AJ67" s="826"/>
      <c r="AK67" s="826"/>
      <c r="AL67" s="443">
        <f>IF(AI67&lt;&gt;0,AK67/AI67,0)</f>
        <v>0</v>
      </c>
      <c r="AM67" s="444">
        <f>AK67-AJ67</f>
        <v>0</v>
      </c>
      <c r="AN67" s="827"/>
      <c r="AO67" s="214"/>
      <c r="AP67" s="214"/>
      <c r="AQ67" s="825"/>
      <c r="AR67" s="825"/>
      <c r="AS67" s="825"/>
      <c r="AT67" s="825"/>
      <c r="AU67" s="825"/>
      <c r="AV67" s="825"/>
      <c r="AW67" s="825"/>
      <c r="AX67" s="214"/>
      <c r="AY67" s="214"/>
      <c r="AZ67" s="825"/>
      <c r="BA67" s="825"/>
      <c r="BB67" s="825"/>
      <c r="BC67" s="825"/>
      <c r="BD67" s="825"/>
      <c r="BE67" s="825"/>
      <c r="BF67" s="825"/>
      <c r="BI67" s="654" t="s">
        <v>536</v>
      </c>
      <c r="BJ67" s="654" t="s">
        <v>537</v>
      </c>
      <c r="BK67" s="654" cm="1">
        <f t="array" ref="BK67">AC67</f>
        <v>0</v>
      </c>
      <c r="BM67" s="446" t="b">
        <v>1</v>
      </c>
    </row>
    <row r="68" spans="5:65" ht="14.25" customHeight="1">
      <c r="E68" s="446">
        <v>15</v>
      </c>
      <c r="F68" s="3" t="str" cm="1">
        <f t="array" aca="1" ref="F68" ca="1">OFFSET(E68,-1,1)</f>
        <v>1</v>
      </c>
      <c r="U68" s="351" t="b">
        <f ca="1">F68&gt;0</f>
        <v>1</v>
      </c>
      <c r="X68" s="515" t="s">
        <v>407</v>
      </c>
      <c r="Y68" s="998"/>
      <c r="Z68" s="1026"/>
      <c r="AB68" s="89"/>
      <c r="AC68" s="215" t="s">
        <v>175</v>
      </c>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L68" s="446" t="s">
        <v>537</v>
      </c>
    </row>
    <row r="69" spans="5:65" ht="21.75" customHeight="1">
      <c r="E69" s="446">
        <v>22.5</v>
      </c>
      <c r="F69" s="3" t="str" cm="1">
        <f t="array" aca="1" ref="F69" ca="1">OFFSET(E69,-1,1)</f>
        <v>1</v>
      </c>
      <c r="H69" s="38" t="s">
        <v>538</v>
      </c>
      <c r="U69" s="351" t="b" cm="1">
        <f t="array" aca="1" ref="U69" ca="1">U68</f>
        <v>1</v>
      </c>
      <c r="Y69" s="998"/>
      <c r="Z69" s="1026"/>
      <c r="AB69" s="426" t="s">
        <v>539</v>
      </c>
      <c r="AC69" s="427" t="s">
        <v>540</v>
      </c>
      <c r="AD69" s="423" t="s">
        <v>535</v>
      </c>
      <c r="AE69" s="428"/>
      <c r="AF69" s="429"/>
      <c r="AG69" s="430"/>
      <c r="AH69" s="431"/>
      <c r="AI69" s="428"/>
      <c r="AJ69" s="429"/>
      <c r="AK69" s="429"/>
      <c r="AL69" s="432">
        <f>IF(AI69&lt;&gt;0,AK69/AI69,0)</f>
        <v>0</v>
      </c>
      <c r="AM69" s="433">
        <f>AK69-AJ69</f>
        <v>0</v>
      </c>
      <c r="AN69" s="431"/>
      <c r="AO69" s="428"/>
      <c r="AP69" s="428"/>
      <c r="AQ69" s="428"/>
      <c r="AR69" s="428"/>
      <c r="AS69" s="428"/>
      <c r="AT69" s="428"/>
      <c r="AU69" s="428"/>
      <c r="AV69" s="428"/>
      <c r="AW69" s="428"/>
      <c r="AX69" s="428"/>
      <c r="AY69" s="428"/>
      <c r="AZ69" s="428"/>
      <c r="BA69" s="428"/>
      <c r="BB69" s="428"/>
      <c r="BC69" s="428"/>
      <c r="BD69" s="428"/>
      <c r="BE69" s="428"/>
      <c r="BF69" s="428"/>
      <c r="BI69" s="654" t="s">
        <v>541</v>
      </c>
    </row>
    <row r="70" spans="5:65" ht="21.75" hidden="1" customHeight="1">
      <c r="E70" s="446">
        <v>22.5</v>
      </c>
      <c r="F70" s="3" t="str" cm="1">
        <f t="array" aca="1" ref="F70" ca="1">OFFSET(E70,-1,1)</f>
        <v>1</v>
      </c>
      <c r="I70" s="38" cm="1">
        <f t="array" ref="I70">AC70</f>
        <v>0</v>
      </c>
      <c r="U70" s="351" t="b">
        <f ca="1">AND(F70&gt;0,--RIGHT(AB70,1)&gt;1)</f>
        <v>0</v>
      </c>
      <c r="X70" s="515" t="s">
        <v>171</v>
      </c>
      <c r="Y70" s="998"/>
      <c r="Z70" s="1026"/>
      <c r="AA70" s="319" t="s">
        <v>172</v>
      </c>
      <c r="AB70" s="426" t="s">
        <v>539</v>
      </c>
      <c r="AC70" s="832"/>
      <c r="AD70" s="423" t="s">
        <v>535</v>
      </c>
      <c r="AE70" s="828"/>
      <c r="AF70" s="829"/>
      <c r="AG70" s="830"/>
      <c r="AH70" s="831"/>
      <c r="AI70" s="828"/>
      <c r="AJ70" s="829"/>
      <c r="AK70" s="829"/>
      <c r="AL70" s="432">
        <f>IF(AI70&lt;&gt;0,AK70/AI70,0)</f>
        <v>0</v>
      </c>
      <c r="AM70" s="433">
        <f>AK70-AJ70</f>
        <v>0</v>
      </c>
      <c r="AN70" s="831"/>
      <c r="AO70" s="428"/>
      <c r="AP70" s="428"/>
      <c r="AQ70" s="828"/>
      <c r="AR70" s="828"/>
      <c r="AS70" s="828"/>
      <c r="AT70" s="828"/>
      <c r="AU70" s="828"/>
      <c r="AV70" s="828"/>
      <c r="AW70" s="828"/>
      <c r="AX70" s="428"/>
      <c r="AY70" s="428"/>
      <c r="AZ70" s="828"/>
      <c r="BA70" s="828"/>
      <c r="BB70" s="828"/>
      <c r="BC70" s="828"/>
      <c r="BD70" s="828"/>
      <c r="BE70" s="828"/>
      <c r="BF70" s="828"/>
      <c r="BI70" s="654" t="s">
        <v>541</v>
      </c>
      <c r="BJ70" s="654" t="s">
        <v>542</v>
      </c>
      <c r="BK70" s="654" cm="1">
        <f t="array" ref="BK70">AC70</f>
        <v>0</v>
      </c>
      <c r="BM70" s="446" t="b">
        <v>1</v>
      </c>
    </row>
    <row r="71" spans="5:65" ht="14.25" customHeight="1">
      <c r="E71" s="446">
        <v>15</v>
      </c>
      <c r="F71" s="3" t="str" cm="1">
        <f t="array" aca="1" ref="F71" ca="1">OFFSET(E71,-1,1)</f>
        <v>1</v>
      </c>
      <c r="U71" s="351" t="b">
        <f ca="1">F71&gt;0</f>
        <v>1</v>
      </c>
      <c r="X71" s="515" t="s">
        <v>407</v>
      </c>
      <c r="Y71" s="998"/>
      <c r="Z71" s="1026"/>
      <c r="AB71" s="89"/>
      <c r="AC71" s="215" t="s">
        <v>175</v>
      </c>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L71" s="446" t="s">
        <v>542</v>
      </c>
    </row>
    <row r="72" spans="5:65" ht="74.45" customHeight="1">
      <c r="E72" s="446">
        <v>22.5</v>
      </c>
      <c r="F72" s="3" t="str" cm="1">
        <f t="array" aca="1" ref="F72" ca="1">OFFSET(E72,-1,1)</f>
        <v>1</v>
      </c>
      <c r="H72" s="38" t="s">
        <v>543</v>
      </c>
      <c r="U72" s="351" t="b" cm="1">
        <f t="array" aca="1" ref="U72" ca="1">U71</f>
        <v>1</v>
      </c>
      <c r="Y72" s="998"/>
      <c r="Z72" s="1026"/>
      <c r="AB72" s="39" t="s">
        <v>544</v>
      </c>
      <c r="AC72" s="105" t="s">
        <v>545</v>
      </c>
      <c r="AD72" s="11" t="s">
        <v>535</v>
      </c>
      <c r="AE72" s="187">
        <v>283</v>
      </c>
      <c r="AF72" s="189">
        <v>283</v>
      </c>
      <c r="AG72" s="190">
        <v>283</v>
      </c>
      <c r="AH72" s="113" t="s">
        <v>566</v>
      </c>
      <c r="AI72" s="187">
        <v>326</v>
      </c>
      <c r="AJ72" s="189">
        <v>354</v>
      </c>
      <c r="AK72" s="189">
        <f>ROUND((326*1.051),0)</f>
        <v>343</v>
      </c>
      <c r="AL72" s="192">
        <f>IF(AI72&lt;&gt;0,AK72/AI72,0)</f>
        <v>1.0521472392638036</v>
      </c>
      <c r="AM72" s="191">
        <f>AK72-AJ72</f>
        <v>-11</v>
      </c>
      <c r="AN72" s="113" t="s">
        <v>567</v>
      </c>
      <c r="AO72" s="187">
        <v>357</v>
      </c>
      <c r="AP72" s="187">
        <v>371</v>
      </c>
      <c r="AQ72" s="187"/>
      <c r="AR72" s="187"/>
      <c r="AS72" s="187"/>
      <c r="AT72" s="187"/>
      <c r="AU72" s="187"/>
      <c r="AV72" s="187"/>
      <c r="AW72" s="187"/>
      <c r="AX72" s="187">
        <f>ROUND((AK72*1.04),0)</f>
        <v>357</v>
      </c>
      <c r="AY72" s="187">
        <f>ROUND((AX72*1.04),0)</f>
        <v>371</v>
      </c>
      <c r="AZ72" s="187"/>
      <c r="BA72" s="187"/>
      <c r="BB72" s="187"/>
      <c r="BC72" s="187"/>
      <c r="BD72" s="187"/>
      <c r="BE72" s="187"/>
      <c r="BF72" s="187"/>
      <c r="BI72" s="654" t="s">
        <v>546</v>
      </c>
    </row>
    <row r="73" spans="5:65" ht="21.75" hidden="1" customHeight="1">
      <c r="E73" s="446">
        <v>22.5</v>
      </c>
      <c r="F73" s="3" t="str" cm="1">
        <f t="array" aca="1" ref="F73" ca="1">OFFSET(E73,-1,1)</f>
        <v>1</v>
      </c>
      <c r="I73" s="38" cm="1">
        <f t="array" ref="I73">AC73</f>
        <v>0</v>
      </c>
      <c r="U73" s="351" t="b">
        <f ca="1">AND(F73&gt;0,--RIGHT(AB73,1)&gt;1)</f>
        <v>0</v>
      </c>
      <c r="X73" s="515" t="s">
        <v>171</v>
      </c>
      <c r="Y73" s="998"/>
      <c r="Z73" s="1026"/>
      <c r="AA73" s="319" t="s">
        <v>172</v>
      </c>
      <c r="AB73" s="39" t="s">
        <v>544</v>
      </c>
      <c r="AC73" s="834"/>
      <c r="AD73" s="11" t="s">
        <v>535</v>
      </c>
      <c r="AE73" s="822"/>
      <c r="AF73" s="824"/>
      <c r="AG73" s="833"/>
      <c r="AH73" s="823"/>
      <c r="AI73" s="822"/>
      <c r="AJ73" s="824"/>
      <c r="AK73" s="824"/>
      <c r="AL73" s="192">
        <f>IF(AI73&lt;&gt;0,AK73/AI73,0)</f>
        <v>0</v>
      </c>
      <c r="AM73" s="191">
        <f>AK73-AJ73</f>
        <v>0</v>
      </c>
      <c r="AN73" s="823"/>
      <c r="AO73" s="187"/>
      <c r="AP73" s="187"/>
      <c r="AQ73" s="822"/>
      <c r="AR73" s="822"/>
      <c r="AS73" s="822"/>
      <c r="AT73" s="822"/>
      <c r="AU73" s="822"/>
      <c r="AV73" s="822"/>
      <c r="AW73" s="822"/>
      <c r="AX73" s="187"/>
      <c r="AY73" s="187"/>
      <c r="AZ73" s="822"/>
      <c r="BA73" s="822"/>
      <c r="BB73" s="822"/>
      <c r="BC73" s="822"/>
      <c r="BD73" s="822"/>
      <c r="BE73" s="822"/>
      <c r="BF73" s="822"/>
      <c r="BI73" s="654" t="s">
        <v>546</v>
      </c>
      <c r="BJ73" s="654" t="s">
        <v>547</v>
      </c>
      <c r="BK73" s="654" cm="1">
        <f t="array" ref="BK73">AC73</f>
        <v>0</v>
      </c>
      <c r="BM73" s="446" t="b">
        <v>1</v>
      </c>
    </row>
    <row r="74" spans="5:65" ht="14.25" customHeight="1">
      <c r="E74" s="446">
        <v>15</v>
      </c>
      <c r="F74" s="3" t="str" cm="1">
        <f t="array" aca="1" ref="F74" ca="1">OFFSET(E74,-1,1)</f>
        <v>1</v>
      </c>
      <c r="U74" s="351" t="b">
        <f ca="1">F74&gt;0</f>
        <v>1</v>
      </c>
      <c r="X74" s="515" t="s">
        <v>407</v>
      </c>
      <c r="Y74" s="998"/>
      <c r="Z74" s="1026"/>
      <c r="AB74" s="89"/>
      <c r="AC74" s="215" t="s">
        <v>175</v>
      </c>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L74" s="446" t="s">
        <v>547</v>
      </c>
    </row>
    <row r="75" spans="5:65" ht="72.95" customHeight="1">
      <c r="E75" s="446">
        <v>22.5</v>
      </c>
      <c r="F75" s="3" t="str" cm="1">
        <f t="array" aca="1" ref="F75" ca="1">OFFSET(E75,-1,1)</f>
        <v>1</v>
      </c>
      <c r="H75" s="38" t="s">
        <v>548</v>
      </c>
      <c r="U75" s="351" t="b" cm="1">
        <f t="array" aca="1" ref="U75" ca="1">U74</f>
        <v>1</v>
      </c>
      <c r="Y75" s="998"/>
      <c r="Z75" s="1026"/>
      <c r="AB75" s="39" t="s">
        <v>549</v>
      </c>
      <c r="AC75" s="105" t="s">
        <v>550</v>
      </c>
      <c r="AD75" s="11" t="s">
        <v>535</v>
      </c>
      <c r="AE75" s="187">
        <v>1337</v>
      </c>
      <c r="AF75" s="189">
        <f>ROUND((1337.1*1.1),0)</f>
        <v>1471</v>
      </c>
      <c r="AG75" s="190">
        <f>ROUND((1337.1*1.1),0)</f>
        <v>1471</v>
      </c>
      <c r="AH75" s="113" t="s">
        <v>568</v>
      </c>
      <c r="AI75" s="187">
        <v>1535</v>
      </c>
      <c r="AJ75" s="189">
        <v>1665</v>
      </c>
      <c r="AK75" s="189">
        <f>ROUND((330*4.65*1.051),0)</f>
        <v>1613</v>
      </c>
      <c r="AL75" s="192">
        <f>IF(AI75&lt;&gt;0,AK75/AI75,0)</f>
        <v>1.0508143322475569</v>
      </c>
      <c r="AM75" s="191">
        <f>AK75-AJ75</f>
        <v>-52</v>
      </c>
      <c r="AN75" s="113" t="s">
        <v>569</v>
      </c>
      <c r="AO75" s="187">
        <v>1807</v>
      </c>
      <c r="AP75" s="187">
        <v>1807</v>
      </c>
      <c r="AQ75" s="187"/>
      <c r="AR75" s="187"/>
      <c r="AS75" s="187"/>
      <c r="AT75" s="187"/>
      <c r="AU75" s="187"/>
      <c r="AV75" s="187"/>
      <c r="AW75" s="187"/>
      <c r="AX75" s="187">
        <f>ROUND((AK75*1.04),0)</f>
        <v>1678</v>
      </c>
      <c r="AY75" s="187">
        <f>ROUND((AX75*1.04),0)</f>
        <v>1745</v>
      </c>
      <c r="AZ75" s="187"/>
      <c r="BA75" s="187"/>
      <c r="BB75" s="187"/>
      <c r="BC75" s="187"/>
      <c r="BD75" s="187"/>
      <c r="BE75" s="187"/>
      <c r="BF75" s="187"/>
      <c r="BI75" s="654" t="s">
        <v>551</v>
      </c>
    </row>
    <row r="76" spans="5:65" ht="21.75" hidden="1" customHeight="1">
      <c r="E76" s="446">
        <v>22.5</v>
      </c>
      <c r="F76" s="3" t="str" cm="1">
        <f t="array" aca="1" ref="F76" ca="1">OFFSET(E76,-1,1)</f>
        <v>1</v>
      </c>
      <c r="I76" s="38" cm="1">
        <f t="array" ref="I76">AC76</f>
        <v>0</v>
      </c>
      <c r="U76" s="351" t="b">
        <f ca="1">AND(F76&gt;0,--RIGHT(AB76,1)&gt;1)</f>
        <v>0</v>
      </c>
      <c r="X76" s="515" t="s">
        <v>171</v>
      </c>
      <c r="Y76" s="998"/>
      <c r="Z76" s="1026"/>
      <c r="AA76" s="319" t="s">
        <v>172</v>
      </c>
      <c r="AB76" s="39" t="s">
        <v>549</v>
      </c>
      <c r="AC76" s="834"/>
      <c r="AD76" s="11" t="s">
        <v>535</v>
      </c>
      <c r="AE76" s="822"/>
      <c r="AF76" s="824"/>
      <c r="AG76" s="833"/>
      <c r="AH76" s="823"/>
      <c r="AI76" s="822"/>
      <c r="AJ76" s="824"/>
      <c r="AK76" s="824"/>
      <c r="AL76" s="192">
        <f>IF(AI76&lt;&gt;0,AK76/AI76,0)</f>
        <v>0</v>
      </c>
      <c r="AM76" s="191">
        <f>AK76-AJ76</f>
        <v>0</v>
      </c>
      <c r="AN76" s="823"/>
      <c r="AO76" s="187"/>
      <c r="AP76" s="187"/>
      <c r="AQ76" s="822"/>
      <c r="AR76" s="822"/>
      <c r="AS76" s="822"/>
      <c r="AT76" s="822"/>
      <c r="AU76" s="822"/>
      <c r="AV76" s="822"/>
      <c r="AW76" s="822"/>
      <c r="AX76" s="187"/>
      <c r="AY76" s="187"/>
      <c r="AZ76" s="822"/>
      <c r="BA76" s="822"/>
      <c r="BB76" s="822"/>
      <c r="BC76" s="822"/>
      <c r="BD76" s="822"/>
      <c r="BE76" s="822"/>
      <c r="BF76" s="822"/>
      <c r="BI76" s="654" t="s">
        <v>551</v>
      </c>
      <c r="BJ76" s="654" t="s">
        <v>552</v>
      </c>
      <c r="BK76" s="654" cm="1">
        <f t="array" ref="BK76">AC76</f>
        <v>0</v>
      </c>
      <c r="BM76" s="446" t="b">
        <v>1</v>
      </c>
    </row>
    <row r="77" spans="5:65" ht="14.25" customHeight="1">
      <c r="E77" s="446">
        <v>15</v>
      </c>
      <c r="F77" s="3" t="str" cm="1">
        <f t="array" aca="1" ref="F77" ca="1">OFFSET(E77,-1,1)</f>
        <v>1</v>
      </c>
      <c r="U77" s="351" t="b">
        <f ca="1">F77&gt;0</f>
        <v>1</v>
      </c>
      <c r="X77" s="515" t="s">
        <v>407</v>
      </c>
      <c r="Y77" s="998"/>
      <c r="Z77" s="1026"/>
      <c r="AB77" s="89"/>
      <c r="AC77" s="215" t="s">
        <v>175</v>
      </c>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L77" s="446" t="s">
        <v>552</v>
      </c>
    </row>
    <row r="78" spans="5:65" ht="79.7" customHeight="1">
      <c r="E78" s="446">
        <v>15</v>
      </c>
      <c r="F78" s="3" t="str" cm="1">
        <f t="array" aca="1" ref="F78" ca="1">OFFSET(E78,-1,1)</f>
        <v>1</v>
      </c>
      <c r="H78" s="38" t="s">
        <v>325</v>
      </c>
      <c r="U78" s="351" t="b" cm="1">
        <f t="array" aca="1" ref="U78" ca="1">U77</f>
        <v>1</v>
      </c>
      <c r="Y78" s="998"/>
      <c r="Z78" s="1026"/>
      <c r="AB78" s="49">
        <v>3</v>
      </c>
      <c r="AC78" s="55" t="s">
        <v>553</v>
      </c>
      <c r="AD78" s="52" t="s">
        <v>501</v>
      </c>
      <c r="AE78" s="187"/>
      <c r="AF78" s="189"/>
      <c r="AG78" s="190">
        <v>2.2000000000000002</v>
      </c>
      <c r="AH78" s="113" t="s">
        <v>570</v>
      </c>
      <c r="AI78" s="187">
        <v>2.2000000000000002</v>
      </c>
      <c r="AJ78" s="189">
        <v>2.2000000000000002</v>
      </c>
      <c r="AK78" s="189">
        <v>2.2000000000000002</v>
      </c>
      <c r="AL78" s="192">
        <f>IF(AI78&lt;&gt;0,AK78/AI78,0)</f>
        <v>1</v>
      </c>
      <c r="AM78" s="191">
        <f>AK78-AJ78</f>
        <v>0</v>
      </c>
      <c r="AN78" s="113" t="s">
        <v>571</v>
      </c>
      <c r="AO78" s="187">
        <v>2.2000000000000002</v>
      </c>
      <c r="AP78" s="187">
        <v>2.2000000000000002</v>
      </c>
      <c r="AQ78" s="187"/>
      <c r="AR78" s="187"/>
      <c r="AS78" s="187"/>
      <c r="AT78" s="187"/>
      <c r="AU78" s="187"/>
      <c r="AV78" s="187"/>
      <c r="AW78" s="187"/>
      <c r="AX78" s="187">
        <v>2.2000000000000002</v>
      </c>
      <c r="AY78" s="187">
        <v>2.2000000000000002</v>
      </c>
      <c r="AZ78" s="187"/>
      <c r="BA78" s="187"/>
      <c r="BB78" s="187"/>
      <c r="BC78" s="187"/>
      <c r="BD78" s="187"/>
      <c r="BE78" s="187"/>
      <c r="BF78" s="187"/>
      <c r="BI78" s="654" t="s">
        <v>554</v>
      </c>
    </row>
    <row r="79" spans="5:65" ht="14.25" customHeight="1">
      <c r="E79" s="446">
        <v>15</v>
      </c>
      <c r="F79" s="3" t="str" cm="1">
        <f t="array" aca="1" ref="F79" ca="1">OFFSET(E79,-1,1)</f>
        <v>1</v>
      </c>
      <c r="H79" s="38" t="s">
        <v>324</v>
      </c>
      <c r="U79" s="351" t="b" cm="1">
        <f t="array" aca="1" ref="U79" ca="1">U78</f>
        <v>1</v>
      </c>
      <c r="Y79" s="998"/>
      <c r="Z79" s="1026"/>
      <c r="AB79" s="49">
        <v>4</v>
      </c>
      <c r="AC79" s="55" t="s">
        <v>555</v>
      </c>
      <c r="AD79" s="52" t="s">
        <v>501</v>
      </c>
      <c r="AE79" s="187"/>
      <c r="AF79" s="189"/>
      <c r="AG79" s="190"/>
      <c r="AH79" s="113"/>
      <c r="AI79" s="187"/>
      <c r="AJ79" s="189"/>
      <c r="AK79" s="189"/>
      <c r="AL79" s="192">
        <f>IF(AI79&lt;&gt;0,AK79/AI79,0)</f>
        <v>0</v>
      </c>
      <c r="AM79" s="191">
        <f>AK79-AJ79</f>
        <v>0</v>
      </c>
      <c r="AN79" s="113"/>
      <c r="AO79" s="187"/>
      <c r="AP79" s="187"/>
      <c r="AQ79" s="187"/>
      <c r="AR79" s="187"/>
      <c r="AS79" s="187"/>
      <c r="AT79" s="187"/>
      <c r="AU79" s="187"/>
      <c r="AV79" s="187"/>
      <c r="AW79" s="187"/>
      <c r="AX79" s="187"/>
      <c r="AY79" s="187"/>
      <c r="AZ79" s="187"/>
      <c r="BA79" s="187"/>
      <c r="BB79" s="187"/>
      <c r="BC79" s="187"/>
      <c r="BD79" s="187"/>
      <c r="BE79" s="187"/>
      <c r="BF79" s="187"/>
      <c r="BI79" s="654" t="s">
        <v>556</v>
      </c>
    </row>
    <row r="80" spans="5:65" ht="14.25" customHeight="1">
      <c r="E80" s="446">
        <v>15</v>
      </c>
      <c r="F80" s="3" t="str" cm="1">
        <f t="array" aca="1" ref="F80" ca="1">OFFSET(E80,-1,1)</f>
        <v>1</v>
      </c>
      <c r="H80" s="38" t="s">
        <v>557</v>
      </c>
      <c r="U80" s="351" t="b" cm="1">
        <f t="array" aca="1" ref="U80" ca="1">U79</f>
        <v>1</v>
      </c>
      <c r="Y80" s="998"/>
      <c r="Z80" s="1026"/>
      <c r="AB80" s="39" t="s">
        <v>440</v>
      </c>
      <c r="AC80" s="54" t="s">
        <v>558</v>
      </c>
      <c r="AD80" s="52"/>
      <c r="AE80" s="190"/>
      <c r="AF80" s="190"/>
      <c r="AG80" s="190"/>
      <c r="AH80" s="195"/>
      <c r="AI80" s="190"/>
      <c r="AJ80" s="190"/>
      <c r="AK80" s="190"/>
      <c r="AL80" s="192">
        <f>IF(AI80&lt;&gt;0,AK80/AI80,0)</f>
        <v>0</v>
      </c>
      <c r="AM80" s="191">
        <f>AK80-AJ80</f>
        <v>0</v>
      </c>
      <c r="AN80" s="195"/>
      <c r="AO80" s="190"/>
      <c r="AP80" s="190"/>
      <c r="AQ80" s="190"/>
      <c r="AR80" s="190"/>
      <c r="AS80" s="190"/>
      <c r="AT80" s="190"/>
      <c r="AU80" s="190"/>
      <c r="AV80" s="190"/>
      <c r="AW80" s="190"/>
      <c r="AX80" s="190"/>
      <c r="AY80" s="190"/>
      <c r="AZ80" s="190"/>
      <c r="BA80" s="190"/>
      <c r="BB80" s="190"/>
      <c r="BC80" s="190"/>
      <c r="BD80" s="190"/>
      <c r="BE80" s="190"/>
      <c r="BF80" s="190"/>
      <c r="BI80" s="654" t="s">
        <v>559</v>
      </c>
    </row>
    <row r="81" spans="5:61" ht="14.25" customHeight="1">
      <c r="E81" s="446">
        <v>15</v>
      </c>
      <c r="F81" s="3" t="str" cm="1">
        <f t="array" aca="1" ref="F81" ca="1">OFFSET(E81,-1,1)</f>
        <v>1</v>
      </c>
      <c r="H81" s="38" t="s">
        <v>560</v>
      </c>
      <c r="U81" s="351" t="b" cm="1">
        <f t="array" aca="1" ref="U81" ca="1">U80</f>
        <v>1</v>
      </c>
      <c r="Y81" s="998"/>
      <c r="Z81" s="1026"/>
      <c r="AB81" s="39" t="s">
        <v>442</v>
      </c>
      <c r="AC81" s="53" t="s">
        <v>561</v>
      </c>
      <c r="AD81" s="52"/>
      <c r="AE81" s="190"/>
      <c r="AF81" s="190"/>
      <c r="AG81" s="190"/>
      <c r="AH81" s="195"/>
      <c r="AI81" s="190"/>
      <c r="AJ81" s="190"/>
      <c r="AK81" s="190"/>
      <c r="AL81" s="192">
        <f>IF(AI81&lt;&gt;0,AK81/AI81,0)</f>
        <v>0</v>
      </c>
      <c r="AM81" s="191">
        <f>AK81-AJ81</f>
        <v>0</v>
      </c>
      <c r="AN81" s="195"/>
      <c r="AO81" s="190"/>
      <c r="AP81" s="190"/>
      <c r="AQ81" s="190"/>
      <c r="AR81" s="190"/>
      <c r="AS81" s="190"/>
      <c r="AT81" s="190"/>
      <c r="AU81" s="190"/>
      <c r="AV81" s="190"/>
      <c r="AW81" s="190"/>
      <c r="AX81" s="190"/>
      <c r="AY81" s="190"/>
      <c r="AZ81" s="190"/>
      <c r="BA81" s="190"/>
      <c r="BB81" s="190"/>
      <c r="BC81" s="190"/>
      <c r="BD81" s="190"/>
      <c r="BE81" s="190"/>
      <c r="BF81" s="190"/>
      <c r="BI81" s="654" t="s">
        <v>562</v>
      </c>
    </row>
    <row r="82" spans="5:61" ht="10.9" customHeight="1">
      <c r="E82" s="446">
        <v>11.25</v>
      </c>
      <c r="V82" s="38" t="s">
        <v>175</v>
      </c>
      <c r="W82" s="56" t="s">
        <v>572</v>
      </c>
    </row>
  </sheetData>
  <sheetProtection formatColumns="0" formatRows="0" insertRows="0" deleteColumns="0" deleteRows="0" sort="0" autoFilter="0"/>
  <mergeCells count="7">
    <mergeCell ref="Y55:Y81"/>
    <mergeCell ref="Z55:Z81"/>
    <mergeCell ref="AB24:AB25"/>
    <mergeCell ref="AC24:AC25"/>
    <mergeCell ref="AD24:AD25"/>
    <mergeCell ref="Y28:Y54"/>
    <mergeCell ref="Z28:Z54"/>
  </mergeCells>
  <dataValidations count="2">
    <dataValidation allowBlank="1" showErrorMessage="1" errorTitle="Ошибка" error="Допускается ввод только неотрицательных чисел!" sqref="AH26 AN26 AE27:BF27" xr:uid="{00000000-0002-0000-0800-000000000000}"/>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51</vt:i4>
      </vt:variant>
      <vt:variant>
        <vt:lpstr>Именованные диапазоны</vt:lpstr>
      </vt:variant>
      <vt:variant>
        <vt:i4>569</vt:i4>
      </vt:variant>
    </vt:vector>
  </HeadingPairs>
  <TitlesOfParts>
    <vt:vector size="620"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Черновик 1</vt:lpstr>
      <vt:lpstr>Черновик 2</vt:lpstr>
      <vt:lpstr>Черновик 3</vt:lpstr>
      <vt:lpstr>Черновик 4</vt:lpstr>
      <vt:lpstr>Черновик 5</vt:lpstr>
      <vt:lpstr>Черновик 6</vt:lpstr>
      <vt:lpstr>Черновик 7</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Белоусова Ирина</cp:lastModifiedBy>
  <cp:lastPrinted>2010-03-18T14:38:46Z</cp:lastPrinted>
  <dcterms:created xsi:type="dcterms:W3CDTF">2004-05-21T07:18:45Z</dcterms:created>
  <dcterms:modified xsi:type="dcterms:W3CDTF">2026-02-02T01:57:11Z</dcterms:modified>
</cp:coreProperties>
</file>